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6.xml" ContentType="application/vnd.openxmlformats-officedocument.drawing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7.xml" ContentType="application/vnd.openxmlformats-officedocument.drawing+xml"/>
  <Override PartName="/xl/charts/chart37.xml" ContentType="application/vnd.openxmlformats-officedocument.drawingml.chart+xml"/>
  <Override PartName="/xl/drawings/drawing8.xml" ContentType="application/vnd.openxmlformats-officedocument.drawing+xml"/>
  <Override PartName="/xl/charts/chart38.xml" ContentType="application/vnd.openxmlformats-officedocument.drawingml.chart+xml"/>
  <Override PartName="/xl/drawings/drawing9.xml" ContentType="application/vnd.openxmlformats-officedocument.drawing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10.xml" ContentType="application/vnd.openxmlformats-officedocument.drawing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11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drawings/drawing12.xml" ContentType="application/vnd.openxmlformats-officedocument.drawing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drawings/drawing13.xml" ContentType="application/vnd.openxmlformats-officedocument.drawing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drawings/drawing14.xml" ContentType="application/vnd.openxmlformats-officedocument.drawing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drawings/drawing15.xml" ContentType="application/vnd.openxmlformats-officedocument.drawing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drawings/drawing16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705" windowWidth="15090" windowHeight="6510" tabRatio="904" firstSheet="1" activeTab="14"/>
  </bookViews>
  <sheets>
    <sheet name="Données" sheetId="1" r:id="rId1"/>
    <sheet name="mod.RK1" sheetId="2" r:id="rId2"/>
    <sheet name="mod.O5" sheetId="14" r:id="rId3"/>
    <sheet name="mod.math." sheetId="22" r:id="rId4"/>
    <sheet name="vesta" sheetId="17" r:id="rId5"/>
    <sheet name="dragon" sheetId="18" r:id="rId6"/>
    <sheet name="courbes" sheetId="21" r:id="rId7"/>
    <sheet name="Dragon_vs_RK1" sheetId="23" r:id="rId8"/>
    <sheet name="allcourbes" sheetId="4" r:id="rId9"/>
    <sheet name="M.Pu" sheetId="12" r:id="rId10"/>
    <sheet name="V.Pu" sheetId="13" r:id="rId11"/>
    <sheet name="Pu238" sheetId="25" r:id="rId12"/>
    <sheet name="Pu239 " sheetId="37" r:id="rId13"/>
    <sheet name="Pu2340 " sheetId="38" r:id="rId14"/>
    <sheet name="Pu241" sheetId="39" r:id="rId15"/>
    <sheet name="Pu242" sheetId="40" r:id="rId16"/>
    <sheet name="Am241)" sheetId="41" r:id="rId17"/>
    <sheet name="U235" sheetId="42" r:id="rId18"/>
    <sheet name="U238" sheetId="43" r:id="rId19"/>
  </sheets>
  <externalReferences>
    <externalReference r:id="rId20"/>
    <externalReference r:id="rId21"/>
    <externalReference r:id="rId22"/>
    <externalReference r:id="rId23"/>
  </externalReferences>
  <calcPr calcId="145621"/>
</workbook>
</file>

<file path=xl/calcChain.xml><?xml version="1.0" encoding="utf-8"?>
<calcChain xmlns="http://schemas.openxmlformats.org/spreadsheetml/2006/main">
  <c r="N137" i="43" l="1"/>
  <c r="J137" i="43"/>
  <c r="N136" i="43"/>
  <c r="J136" i="43"/>
  <c r="N135" i="43"/>
  <c r="J135" i="43"/>
  <c r="N134" i="43"/>
  <c r="J134" i="43"/>
  <c r="N133" i="43"/>
  <c r="J133" i="43"/>
  <c r="N132" i="43"/>
  <c r="J132" i="43"/>
  <c r="N131" i="43"/>
  <c r="J131" i="43"/>
  <c r="N130" i="43"/>
  <c r="J130" i="43"/>
  <c r="N129" i="43"/>
  <c r="J129" i="43"/>
  <c r="N128" i="43"/>
  <c r="J128" i="43"/>
  <c r="N127" i="43"/>
  <c r="J127" i="43"/>
  <c r="N126" i="43"/>
  <c r="J126" i="43"/>
  <c r="N125" i="43"/>
  <c r="J125" i="43"/>
  <c r="N124" i="43"/>
  <c r="J124" i="43"/>
  <c r="N123" i="43"/>
  <c r="L123" i="43"/>
  <c r="J123" i="43"/>
  <c r="N122" i="43"/>
  <c r="L122" i="43"/>
  <c r="J122" i="43"/>
  <c r="N121" i="43"/>
  <c r="L121" i="43"/>
  <c r="J121" i="43"/>
  <c r="N120" i="43"/>
  <c r="L120" i="43"/>
  <c r="J120" i="43"/>
  <c r="N119" i="43"/>
  <c r="L119" i="43"/>
  <c r="J119" i="43"/>
  <c r="N118" i="43"/>
  <c r="L118" i="43"/>
  <c r="J118" i="43"/>
  <c r="N117" i="43"/>
  <c r="L117" i="43"/>
  <c r="J117" i="43"/>
  <c r="N116" i="43"/>
  <c r="L116" i="43"/>
  <c r="J116" i="43"/>
  <c r="N115" i="43"/>
  <c r="L115" i="43"/>
  <c r="J115" i="43"/>
  <c r="N114" i="43"/>
  <c r="L114" i="43"/>
  <c r="J114" i="43"/>
  <c r="N113" i="43"/>
  <c r="L113" i="43"/>
  <c r="J113" i="43"/>
  <c r="N112" i="43"/>
  <c r="L112" i="43"/>
  <c r="J112" i="43"/>
  <c r="N111" i="43"/>
  <c r="L111" i="43"/>
  <c r="J111" i="43"/>
  <c r="N110" i="43"/>
  <c r="L110" i="43"/>
  <c r="J110" i="43"/>
  <c r="N109" i="43"/>
  <c r="L109" i="43"/>
  <c r="J109" i="43"/>
  <c r="N108" i="43"/>
  <c r="L108" i="43"/>
  <c r="J108" i="43"/>
  <c r="N107" i="43"/>
  <c r="L107" i="43"/>
  <c r="J107" i="43"/>
  <c r="N106" i="43"/>
  <c r="L106" i="43"/>
  <c r="J106" i="43"/>
  <c r="N105" i="43"/>
  <c r="L105" i="43"/>
  <c r="J105" i="43"/>
  <c r="N104" i="43"/>
  <c r="L104" i="43"/>
  <c r="J104" i="43"/>
  <c r="N103" i="43"/>
  <c r="L103" i="43"/>
  <c r="J103" i="43"/>
  <c r="N102" i="43"/>
  <c r="L102" i="43"/>
  <c r="J102" i="43"/>
  <c r="N101" i="43"/>
  <c r="L101" i="43"/>
  <c r="J101" i="43"/>
  <c r="N100" i="43"/>
  <c r="L100" i="43"/>
  <c r="J100" i="43"/>
  <c r="N99" i="43"/>
  <c r="L99" i="43"/>
  <c r="J99" i="43"/>
  <c r="N98" i="43"/>
  <c r="L98" i="43"/>
  <c r="J98" i="43"/>
  <c r="N97" i="43"/>
  <c r="L97" i="43"/>
  <c r="J97" i="43"/>
  <c r="N96" i="43"/>
  <c r="L96" i="43"/>
  <c r="J96" i="43"/>
  <c r="N95" i="43"/>
  <c r="L95" i="43"/>
  <c r="J95" i="43"/>
  <c r="N94" i="43"/>
  <c r="L94" i="43"/>
  <c r="J94" i="43"/>
  <c r="N93" i="43"/>
  <c r="L93" i="43"/>
  <c r="J93" i="43"/>
  <c r="N92" i="43"/>
  <c r="L92" i="43"/>
  <c r="J92" i="43"/>
  <c r="N91" i="43"/>
  <c r="L91" i="43"/>
  <c r="J91" i="43"/>
  <c r="N90" i="43"/>
  <c r="L90" i="43"/>
  <c r="J90" i="43"/>
  <c r="N89" i="43"/>
  <c r="L89" i="43"/>
  <c r="J89" i="43"/>
  <c r="N88" i="43"/>
  <c r="L88" i="43"/>
  <c r="J88" i="43"/>
  <c r="N87" i="43"/>
  <c r="L87" i="43"/>
  <c r="J87" i="43"/>
  <c r="N86" i="43"/>
  <c r="L86" i="43"/>
  <c r="J86" i="43"/>
  <c r="N85" i="43"/>
  <c r="L85" i="43"/>
  <c r="J85" i="43"/>
  <c r="N84" i="43"/>
  <c r="L84" i="43"/>
  <c r="J84" i="43"/>
  <c r="N83" i="43"/>
  <c r="L83" i="43"/>
  <c r="J83" i="43"/>
  <c r="N82" i="43"/>
  <c r="L82" i="43"/>
  <c r="J82" i="43"/>
  <c r="N81" i="43"/>
  <c r="L81" i="43"/>
  <c r="J81" i="43"/>
  <c r="N80" i="43"/>
  <c r="L80" i="43"/>
  <c r="J80" i="43"/>
  <c r="N79" i="43"/>
  <c r="L79" i="43"/>
  <c r="J79" i="43"/>
  <c r="N78" i="43"/>
  <c r="L78" i="43"/>
  <c r="J78" i="43"/>
  <c r="N77" i="43"/>
  <c r="L77" i="43"/>
  <c r="J77" i="43"/>
  <c r="N76" i="43"/>
  <c r="L76" i="43"/>
  <c r="J76" i="43"/>
  <c r="N75" i="43"/>
  <c r="L75" i="43"/>
  <c r="J75" i="43"/>
  <c r="N74" i="43"/>
  <c r="L74" i="43"/>
  <c r="J74" i="43"/>
  <c r="N73" i="43"/>
  <c r="L73" i="43"/>
  <c r="J73" i="43"/>
  <c r="N72" i="43"/>
  <c r="L72" i="43"/>
  <c r="J72" i="43"/>
  <c r="N71" i="43"/>
  <c r="L71" i="43"/>
  <c r="J71" i="43"/>
  <c r="N70" i="43"/>
  <c r="L70" i="43"/>
  <c r="J70" i="43"/>
  <c r="N69" i="43"/>
  <c r="L69" i="43"/>
  <c r="J69" i="43"/>
  <c r="N68" i="43"/>
  <c r="L68" i="43"/>
  <c r="J68" i="43"/>
  <c r="N67" i="43"/>
  <c r="L67" i="43"/>
  <c r="J67" i="43"/>
  <c r="N66" i="43"/>
  <c r="L66" i="43"/>
  <c r="J66" i="43"/>
  <c r="N65" i="43"/>
  <c r="L65" i="43"/>
  <c r="J65" i="43"/>
  <c r="N64" i="43"/>
  <c r="L64" i="43"/>
  <c r="J64" i="43"/>
  <c r="N63" i="43"/>
  <c r="L63" i="43"/>
  <c r="J63" i="43"/>
  <c r="N62" i="43"/>
  <c r="L62" i="43"/>
  <c r="J62" i="43"/>
  <c r="N61" i="43"/>
  <c r="L61" i="43"/>
  <c r="J61" i="43"/>
  <c r="N60" i="43"/>
  <c r="L60" i="43"/>
  <c r="J60" i="43"/>
  <c r="N59" i="43"/>
  <c r="L59" i="43"/>
  <c r="J59" i="43"/>
  <c r="N58" i="43"/>
  <c r="L58" i="43"/>
  <c r="J58" i="43"/>
  <c r="N57" i="43"/>
  <c r="L57" i="43"/>
  <c r="J57" i="43"/>
  <c r="N56" i="43"/>
  <c r="L56" i="43"/>
  <c r="J56" i="43"/>
  <c r="N55" i="43"/>
  <c r="L55" i="43"/>
  <c r="J55" i="43"/>
  <c r="N54" i="43"/>
  <c r="L54" i="43"/>
  <c r="J54" i="43"/>
  <c r="N53" i="43"/>
  <c r="L53" i="43"/>
  <c r="J53" i="43"/>
  <c r="P52" i="43"/>
  <c r="N52" i="43"/>
  <c r="L52" i="43"/>
  <c r="J52" i="43"/>
  <c r="P51" i="43"/>
  <c r="N51" i="43"/>
  <c r="L51" i="43"/>
  <c r="J51" i="43"/>
  <c r="P50" i="43"/>
  <c r="N50" i="43"/>
  <c r="L50" i="43"/>
  <c r="J50" i="43"/>
  <c r="P49" i="43"/>
  <c r="N49" i="43"/>
  <c r="L49" i="43"/>
  <c r="J49" i="43"/>
  <c r="P48" i="43"/>
  <c r="N48" i="43"/>
  <c r="L48" i="43"/>
  <c r="J48" i="43"/>
  <c r="P47" i="43"/>
  <c r="N47" i="43"/>
  <c r="L47" i="43"/>
  <c r="J47" i="43"/>
  <c r="P46" i="43"/>
  <c r="N46" i="43"/>
  <c r="L46" i="43"/>
  <c r="J46" i="43"/>
  <c r="P45" i="43"/>
  <c r="N45" i="43"/>
  <c r="L45" i="43"/>
  <c r="J45" i="43"/>
  <c r="P44" i="43"/>
  <c r="N44" i="43"/>
  <c r="L44" i="43"/>
  <c r="J44" i="43"/>
  <c r="P43" i="43"/>
  <c r="N43" i="43"/>
  <c r="L43" i="43"/>
  <c r="J43" i="43"/>
  <c r="P42" i="43"/>
  <c r="N42" i="43"/>
  <c r="L42" i="43"/>
  <c r="J42" i="43"/>
  <c r="P41" i="43"/>
  <c r="N41" i="43"/>
  <c r="L41" i="43"/>
  <c r="J41" i="43"/>
  <c r="P40" i="43"/>
  <c r="N40" i="43"/>
  <c r="L40" i="43"/>
  <c r="J40" i="43"/>
  <c r="P39" i="43"/>
  <c r="N39" i="43"/>
  <c r="L39" i="43"/>
  <c r="J39" i="43"/>
  <c r="P38" i="43"/>
  <c r="N38" i="43"/>
  <c r="L38" i="43"/>
  <c r="J38" i="43"/>
  <c r="P37" i="43"/>
  <c r="N37" i="43"/>
  <c r="L37" i="43"/>
  <c r="J37" i="43"/>
  <c r="P36" i="43"/>
  <c r="N36" i="43"/>
  <c r="L36" i="43"/>
  <c r="J36" i="43"/>
  <c r="P35" i="43"/>
  <c r="N35" i="43"/>
  <c r="L35" i="43"/>
  <c r="J35" i="43"/>
  <c r="P34" i="43"/>
  <c r="N34" i="43"/>
  <c r="L34" i="43"/>
  <c r="J34" i="43"/>
  <c r="P33" i="43"/>
  <c r="N33" i="43"/>
  <c r="L33" i="43"/>
  <c r="J33" i="43"/>
  <c r="P32" i="43"/>
  <c r="N32" i="43"/>
  <c r="L32" i="43"/>
  <c r="J32" i="43"/>
  <c r="P31" i="43"/>
  <c r="N31" i="43"/>
  <c r="L31" i="43"/>
  <c r="J31" i="43"/>
  <c r="P30" i="43"/>
  <c r="N30" i="43"/>
  <c r="L30" i="43"/>
  <c r="J30" i="43"/>
  <c r="P29" i="43"/>
  <c r="N29" i="43"/>
  <c r="L29" i="43"/>
  <c r="J29" i="43"/>
  <c r="P28" i="43"/>
  <c r="N28" i="43"/>
  <c r="L28" i="43"/>
  <c r="J28" i="43"/>
  <c r="P27" i="43"/>
  <c r="N27" i="43"/>
  <c r="L27" i="43"/>
  <c r="J27" i="43"/>
  <c r="P26" i="43"/>
  <c r="N26" i="43"/>
  <c r="L26" i="43"/>
  <c r="J26" i="43"/>
  <c r="P25" i="43"/>
  <c r="N25" i="43"/>
  <c r="L25" i="43"/>
  <c r="J25" i="43"/>
  <c r="P24" i="43"/>
  <c r="N24" i="43"/>
  <c r="L24" i="43"/>
  <c r="J24" i="43"/>
  <c r="P23" i="43"/>
  <c r="N23" i="43"/>
  <c r="L23" i="43"/>
  <c r="J23" i="43"/>
  <c r="P22" i="43"/>
  <c r="N22" i="43"/>
  <c r="L22" i="43"/>
  <c r="J22" i="43"/>
  <c r="P21" i="43"/>
  <c r="N21" i="43"/>
  <c r="L21" i="43"/>
  <c r="J21" i="43"/>
  <c r="P20" i="43"/>
  <c r="N20" i="43"/>
  <c r="L20" i="43"/>
  <c r="J20" i="43"/>
  <c r="P19" i="43"/>
  <c r="N19" i="43"/>
  <c r="L19" i="43"/>
  <c r="J19" i="43"/>
  <c r="P18" i="43"/>
  <c r="N18" i="43"/>
  <c r="L18" i="43"/>
  <c r="J18" i="43"/>
  <c r="P17" i="43"/>
  <c r="N17" i="43"/>
  <c r="L17" i="43"/>
  <c r="J17" i="43"/>
  <c r="P16" i="43"/>
  <c r="N16" i="43"/>
  <c r="L16" i="43"/>
  <c r="J16" i="43"/>
  <c r="P15" i="43"/>
  <c r="N15" i="43"/>
  <c r="L15" i="43"/>
  <c r="J15" i="43"/>
  <c r="P14" i="43"/>
  <c r="N14" i="43"/>
  <c r="L14" i="43"/>
  <c r="J14" i="43"/>
  <c r="P13" i="43"/>
  <c r="N13" i="43"/>
  <c r="L13" i="43"/>
  <c r="J13" i="43"/>
  <c r="P12" i="43"/>
  <c r="N12" i="43"/>
  <c r="L12" i="43"/>
  <c r="J12" i="43"/>
  <c r="P11" i="43"/>
  <c r="N11" i="43"/>
  <c r="L11" i="43"/>
  <c r="J11" i="43"/>
  <c r="P10" i="43"/>
  <c r="N10" i="43"/>
  <c r="L10" i="43"/>
  <c r="J10" i="43"/>
  <c r="B10" i="43"/>
  <c r="R9" i="43"/>
  <c r="P9" i="43"/>
  <c r="N9" i="43"/>
  <c r="L9" i="43"/>
  <c r="J9" i="43"/>
  <c r="R8" i="43"/>
  <c r="P8" i="43"/>
  <c r="N8" i="43"/>
  <c r="L8" i="43"/>
  <c r="J8" i="43"/>
  <c r="R7" i="43"/>
  <c r="P7" i="43"/>
  <c r="N7" i="43"/>
  <c r="L7" i="43"/>
  <c r="J7" i="43"/>
  <c r="R6" i="43"/>
  <c r="P6" i="43"/>
  <c r="N6" i="43"/>
  <c r="L6" i="43"/>
  <c r="J6" i="43"/>
  <c r="R5" i="43"/>
  <c r="P5" i="43"/>
  <c r="N5" i="43"/>
  <c r="L5" i="43"/>
  <c r="J5" i="43"/>
  <c r="R4" i="43"/>
  <c r="P4" i="43"/>
  <c r="N4" i="43"/>
  <c r="L4" i="43"/>
  <c r="J4" i="43"/>
  <c r="R3" i="43"/>
  <c r="P3" i="43"/>
  <c r="N3" i="43"/>
  <c r="L3" i="43"/>
  <c r="R2" i="43"/>
  <c r="P2" i="43"/>
  <c r="N2" i="43"/>
  <c r="L2" i="43"/>
  <c r="J2" i="43"/>
  <c r="N137" i="42"/>
  <c r="J137" i="42"/>
  <c r="N136" i="42"/>
  <c r="J136" i="42"/>
  <c r="N135" i="42"/>
  <c r="J135" i="42"/>
  <c r="N134" i="42"/>
  <c r="J134" i="42"/>
  <c r="N133" i="42"/>
  <c r="J133" i="42"/>
  <c r="N132" i="42"/>
  <c r="J132" i="42"/>
  <c r="N131" i="42"/>
  <c r="J131" i="42"/>
  <c r="N130" i="42"/>
  <c r="J130" i="42"/>
  <c r="N129" i="42"/>
  <c r="J129" i="42"/>
  <c r="N128" i="42"/>
  <c r="J128" i="42"/>
  <c r="N127" i="42"/>
  <c r="J127" i="42"/>
  <c r="N126" i="42"/>
  <c r="J126" i="42"/>
  <c r="N125" i="42"/>
  <c r="J125" i="42"/>
  <c r="N124" i="42"/>
  <c r="J124" i="42"/>
  <c r="N123" i="42"/>
  <c r="L123" i="42"/>
  <c r="J123" i="42"/>
  <c r="N122" i="42"/>
  <c r="L122" i="42"/>
  <c r="J122" i="42"/>
  <c r="N121" i="42"/>
  <c r="L121" i="42"/>
  <c r="J121" i="42"/>
  <c r="N120" i="42"/>
  <c r="L120" i="42"/>
  <c r="J120" i="42"/>
  <c r="N119" i="42"/>
  <c r="L119" i="42"/>
  <c r="J119" i="42"/>
  <c r="N118" i="42"/>
  <c r="L118" i="42"/>
  <c r="J118" i="42"/>
  <c r="N117" i="42"/>
  <c r="L117" i="42"/>
  <c r="J117" i="42"/>
  <c r="N116" i="42"/>
  <c r="L116" i="42"/>
  <c r="J116" i="42"/>
  <c r="N115" i="42"/>
  <c r="L115" i="42"/>
  <c r="J115" i="42"/>
  <c r="N114" i="42"/>
  <c r="L114" i="42"/>
  <c r="J114" i="42"/>
  <c r="N113" i="42"/>
  <c r="L113" i="42"/>
  <c r="J113" i="42"/>
  <c r="N112" i="42"/>
  <c r="L112" i="42"/>
  <c r="J112" i="42"/>
  <c r="N111" i="42"/>
  <c r="L111" i="42"/>
  <c r="J111" i="42"/>
  <c r="N110" i="42"/>
  <c r="L110" i="42"/>
  <c r="J110" i="42"/>
  <c r="N109" i="42"/>
  <c r="L109" i="42"/>
  <c r="J109" i="42"/>
  <c r="N108" i="42"/>
  <c r="L108" i="42"/>
  <c r="J108" i="42"/>
  <c r="N107" i="42"/>
  <c r="L107" i="42"/>
  <c r="J107" i="42"/>
  <c r="N106" i="42"/>
  <c r="L106" i="42"/>
  <c r="J106" i="42"/>
  <c r="N105" i="42"/>
  <c r="L105" i="42"/>
  <c r="J105" i="42"/>
  <c r="N104" i="42"/>
  <c r="L104" i="42"/>
  <c r="J104" i="42"/>
  <c r="N103" i="42"/>
  <c r="L103" i="42"/>
  <c r="J103" i="42"/>
  <c r="N102" i="42"/>
  <c r="L102" i="42"/>
  <c r="J102" i="42"/>
  <c r="N101" i="42"/>
  <c r="L101" i="42"/>
  <c r="J101" i="42"/>
  <c r="N100" i="42"/>
  <c r="L100" i="42"/>
  <c r="J100" i="42"/>
  <c r="N99" i="42"/>
  <c r="L99" i="42"/>
  <c r="J99" i="42"/>
  <c r="N98" i="42"/>
  <c r="L98" i="42"/>
  <c r="J98" i="42"/>
  <c r="N97" i="42"/>
  <c r="L97" i="42"/>
  <c r="J97" i="42"/>
  <c r="N96" i="42"/>
  <c r="L96" i="42"/>
  <c r="J96" i="42"/>
  <c r="N95" i="42"/>
  <c r="L95" i="42"/>
  <c r="J95" i="42"/>
  <c r="N94" i="42"/>
  <c r="L94" i="42"/>
  <c r="J94" i="42"/>
  <c r="N93" i="42"/>
  <c r="L93" i="42"/>
  <c r="J93" i="42"/>
  <c r="N92" i="42"/>
  <c r="L92" i="42"/>
  <c r="J92" i="42"/>
  <c r="N91" i="42"/>
  <c r="L91" i="42"/>
  <c r="J91" i="42"/>
  <c r="N90" i="42"/>
  <c r="L90" i="42"/>
  <c r="J90" i="42"/>
  <c r="N89" i="42"/>
  <c r="L89" i="42"/>
  <c r="J89" i="42"/>
  <c r="N88" i="42"/>
  <c r="L88" i="42"/>
  <c r="J88" i="42"/>
  <c r="N87" i="42"/>
  <c r="L87" i="42"/>
  <c r="J87" i="42"/>
  <c r="N86" i="42"/>
  <c r="L86" i="42"/>
  <c r="J86" i="42"/>
  <c r="N85" i="42"/>
  <c r="L85" i="42"/>
  <c r="J85" i="42"/>
  <c r="N84" i="42"/>
  <c r="L84" i="42"/>
  <c r="J84" i="42"/>
  <c r="N83" i="42"/>
  <c r="L83" i="42"/>
  <c r="J83" i="42"/>
  <c r="N82" i="42"/>
  <c r="L82" i="42"/>
  <c r="J82" i="42"/>
  <c r="N81" i="42"/>
  <c r="L81" i="42"/>
  <c r="J81" i="42"/>
  <c r="N80" i="42"/>
  <c r="L80" i="42"/>
  <c r="J80" i="42"/>
  <c r="N79" i="42"/>
  <c r="L79" i="42"/>
  <c r="J79" i="42"/>
  <c r="N78" i="42"/>
  <c r="L78" i="42"/>
  <c r="J78" i="42"/>
  <c r="N77" i="42"/>
  <c r="L77" i="42"/>
  <c r="J77" i="42"/>
  <c r="N76" i="42"/>
  <c r="L76" i="42"/>
  <c r="J76" i="42"/>
  <c r="N75" i="42"/>
  <c r="L75" i="42"/>
  <c r="J75" i="42"/>
  <c r="N74" i="42"/>
  <c r="L74" i="42"/>
  <c r="J74" i="42"/>
  <c r="N73" i="42"/>
  <c r="L73" i="42"/>
  <c r="J73" i="42"/>
  <c r="N72" i="42"/>
  <c r="L72" i="42"/>
  <c r="J72" i="42"/>
  <c r="N71" i="42"/>
  <c r="L71" i="42"/>
  <c r="J71" i="42"/>
  <c r="N70" i="42"/>
  <c r="L70" i="42"/>
  <c r="J70" i="42"/>
  <c r="N69" i="42"/>
  <c r="L69" i="42"/>
  <c r="J69" i="42"/>
  <c r="N68" i="42"/>
  <c r="L68" i="42"/>
  <c r="J68" i="42"/>
  <c r="N67" i="42"/>
  <c r="L67" i="42"/>
  <c r="J67" i="42"/>
  <c r="N66" i="42"/>
  <c r="L66" i="42"/>
  <c r="J66" i="42"/>
  <c r="N65" i="42"/>
  <c r="L65" i="42"/>
  <c r="J65" i="42"/>
  <c r="N64" i="42"/>
  <c r="L64" i="42"/>
  <c r="J64" i="42"/>
  <c r="N63" i="42"/>
  <c r="L63" i="42"/>
  <c r="J63" i="42"/>
  <c r="N62" i="42"/>
  <c r="L62" i="42"/>
  <c r="J62" i="42"/>
  <c r="N61" i="42"/>
  <c r="L61" i="42"/>
  <c r="J61" i="42"/>
  <c r="N60" i="42"/>
  <c r="L60" i="42"/>
  <c r="J60" i="42"/>
  <c r="N59" i="42"/>
  <c r="L59" i="42"/>
  <c r="J59" i="42"/>
  <c r="N58" i="42"/>
  <c r="L58" i="42"/>
  <c r="J58" i="42"/>
  <c r="N57" i="42"/>
  <c r="L57" i="42"/>
  <c r="J57" i="42"/>
  <c r="N56" i="42"/>
  <c r="L56" i="42"/>
  <c r="J56" i="42"/>
  <c r="N55" i="42"/>
  <c r="L55" i="42"/>
  <c r="J55" i="42"/>
  <c r="N54" i="42"/>
  <c r="L54" i="42"/>
  <c r="J54" i="42"/>
  <c r="N53" i="42"/>
  <c r="L53" i="42"/>
  <c r="J53" i="42"/>
  <c r="P52" i="42"/>
  <c r="N52" i="42"/>
  <c r="L52" i="42"/>
  <c r="J52" i="42"/>
  <c r="P51" i="42"/>
  <c r="N51" i="42"/>
  <c r="L51" i="42"/>
  <c r="J51" i="42"/>
  <c r="P50" i="42"/>
  <c r="N50" i="42"/>
  <c r="L50" i="42"/>
  <c r="J50" i="42"/>
  <c r="P49" i="42"/>
  <c r="N49" i="42"/>
  <c r="L49" i="42"/>
  <c r="J49" i="42"/>
  <c r="P48" i="42"/>
  <c r="N48" i="42"/>
  <c r="L48" i="42"/>
  <c r="J48" i="42"/>
  <c r="P47" i="42"/>
  <c r="N47" i="42"/>
  <c r="L47" i="42"/>
  <c r="J47" i="42"/>
  <c r="P46" i="42"/>
  <c r="N46" i="42"/>
  <c r="L46" i="42"/>
  <c r="J46" i="42"/>
  <c r="P45" i="42"/>
  <c r="N45" i="42"/>
  <c r="L45" i="42"/>
  <c r="J45" i="42"/>
  <c r="P44" i="42"/>
  <c r="N44" i="42"/>
  <c r="L44" i="42"/>
  <c r="J44" i="42"/>
  <c r="P43" i="42"/>
  <c r="N43" i="42"/>
  <c r="L43" i="42"/>
  <c r="J43" i="42"/>
  <c r="P42" i="42"/>
  <c r="N42" i="42"/>
  <c r="L42" i="42"/>
  <c r="J42" i="42"/>
  <c r="P41" i="42"/>
  <c r="N41" i="42"/>
  <c r="L41" i="42"/>
  <c r="J41" i="42"/>
  <c r="P40" i="42"/>
  <c r="N40" i="42"/>
  <c r="L40" i="42"/>
  <c r="J40" i="42"/>
  <c r="P39" i="42"/>
  <c r="N39" i="42"/>
  <c r="L39" i="42"/>
  <c r="J39" i="42"/>
  <c r="P38" i="42"/>
  <c r="N38" i="42"/>
  <c r="L38" i="42"/>
  <c r="J38" i="42"/>
  <c r="P37" i="42"/>
  <c r="N37" i="42"/>
  <c r="L37" i="42"/>
  <c r="J37" i="42"/>
  <c r="P36" i="42"/>
  <c r="N36" i="42"/>
  <c r="L36" i="42"/>
  <c r="J36" i="42"/>
  <c r="P35" i="42"/>
  <c r="N35" i="42"/>
  <c r="L35" i="42"/>
  <c r="J35" i="42"/>
  <c r="P34" i="42"/>
  <c r="N34" i="42"/>
  <c r="L34" i="42"/>
  <c r="J34" i="42"/>
  <c r="P33" i="42"/>
  <c r="N33" i="42"/>
  <c r="L33" i="42"/>
  <c r="J33" i="42"/>
  <c r="P32" i="42"/>
  <c r="N32" i="42"/>
  <c r="L32" i="42"/>
  <c r="J32" i="42"/>
  <c r="P31" i="42"/>
  <c r="N31" i="42"/>
  <c r="L31" i="42"/>
  <c r="J31" i="42"/>
  <c r="P30" i="42"/>
  <c r="N30" i="42"/>
  <c r="L30" i="42"/>
  <c r="J30" i="42"/>
  <c r="P29" i="42"/>
  <c r="N29" i="42"/>
  <c r="L29" i="42"/>
  <c r="J29" i="42"/>
  <c r="P28" i="42"/>
  <c r="N28" i="42"/>
  <c r="L28" i="42"/>
  <c r="J28" i="42"/>
  <c r="P27" i="42"/>
  <c r="N27" i="42"/>
  <c r="L27" i="42"/>
  <c r="J27" i="42"/>
  <c r="P26" i="42"/>
  <c r="N26" i="42"/>
  <c r="L26" i="42"/>
  <c r="J26" i="42"/>
  <c r="P25" i="42"/>
  <c r="N25" i="42"/>
  <c r="L25" i="42"/>
  <c r="J25" i="42"/>
  <c r="P24" i="42"/>
  <c r="N24" i="42"/>
  <c r="L24" i="42"/>
  <c r="J24" i="42"/>
  <c r="P23" i="42"/>
  <c r="N23" i="42"/>
  <c r="L23" i="42"/>
  <c r="J23" i="42"/>
  <c r="P22" i="42"/>
  <c r="N22" i="42"/>
  <c r="L22" i="42"/>
  <c r="J22" i="42"/>
  <c r="P21" i="42"/>
  <c r="N21" i="42"/>
  <c r="L21" i="42"/>
  <c r="J21" i="42"/>
  <c r="P20" i="42"/>
  <c r="N20" i="42"/>
  <c r="L20" i="42"/>
  <c r="J20" i="42"/>
  <c r="P19" i="42"/>
  <c r="N19" i="42"/>
  <c r="L19" i="42"/>
  <c r="J19" i="42"/>
  <c r="P18" i="42"/>
  <c r="N18" i="42"/>
  <c r="L18" i="42"/>
  <c r="J18" i="42"/>
  <c r="P17" i="42"/>
  <c r="N17" i="42"/>
  <c r="L17" i="42"/>
  <c r="J17" i="42"/>
  <c r="P16" i="42"/>
  <c r="N16" i="42"/>
  <c r="L16" i="42"/>
  <c r="J16" i="42"/>
  <c r="P15" i="42"/>
  <c r="N15" i="42"/>
  <c r="L15" i="42"/>
  <c r="J15" i="42"/>
  <c r="P14" i="42"/>
  <c r="N14" i="42"/>
  <c r="L14" i="42"/>
  <c r="J14" i="42"/>
  <c r="P13" i="42"/>
  <c r="N13" i="42"/>
  <c r="L13" i="42"/>
  <c r="J13" i="42"/>
  <c r="P12" i="42"/>
  <c r="N12" i="42"/>
  <c r="L12" i="42"/>
  <c r="J12" i="42"/>
  <c r="P11" i="42"/>
  <c r="N11" i="42"/>
  <c r="L11" i="42"/>
  <c r="J11" i="42"/>
  <c r="P10" i="42"/>
  <c r="N10" i="42"/>
  <c r="L10" i="42"/>
  <c r="J10" i="42"/>
  <c r="B10" i="42"/>
  <c r="R9" i="42"/>
  <c r="P9" i="42"/>
  <c r="N9" i="42"/>
  <c r="L9" i="42"/>
  <c r="J9" i="42"/>
  <c r="R8" i="42"/>
  <c r="P8" i="42"/>
  <c r="N8" i="42"/>
  <c r="L8" i="42"/>
  <c r="J8" i="42"/>
  <c r="R7" i="42"/>
  <c r="P7" i="42"/>
  <c r="N7" i="42"/>
  <c r="L7" i="42"/>
  <c r="J7" i="42"/>
  <c r="R6" i="42"/>
  <c r="P6" i="42"/>
  <c r="N6" i="42"/>
  <c r="L6" i="42"/>
  <c r="J6" i="42"/>
  <c r="R5" i="42"/>
  <c r="P5" i="42"/>
  <c r="N5" i="42"/>
  <c r="L5" i="42"/>
  <c r="J5" i="42"/>
  <c r="R4" i="42"/>
  <c r="P4" i="42"/>
  <c r="N4" i="42"/>
  <c r="L4" i="42"/>
  <c r="J4" i="42"/>
  <c r="R3" i="42"/>
  <c r="P3" i="42"/>
  <c r="N3" i="42"/>
  <c r="L3" i="42"/>
  <c r="R2" i="42"/>
  <c r="P2" i="42"/>
  <c r="N2" i="42"/>
  <c r="L2" i="42"/>
  <c r="J2" i="42"/>
  <c r="N137" i="41"/>
  <c r="J137" i="41"/>
  <c r="N136" i="41"/>
  <c r="J136" i="41"/>
  <c r="N135" i="41"/>
  <c r="J135" i="41"/>
  <c r="N134" i="41"/>
  <c r="J134" i="41"/>
  <c r="N133" i="41"/>
  <c r="J133" i="41"/>
  <c r="N132" i="41"/>
  <c r="J132" i="41"/>
  <c r="N131" i="41"/>
  <c r="J131" i="41"/>
  <c r="N130" i="41"/>
  <c r="J130" i="41"/>
  <c r="N129" i="41"/>
  <c r="J129" i="41"/>
  <c r="N128" i="41"/>
  <c r="J128" i="41"/>
  <c r="N127" i="41"/>
  <c r="J127" i="41"/>
  <c r="N126" i="41"/>
  <c r="J126" i="41"/>
  <c r="N125" i="41"/>
  <c r="J125" i="41"/>
  <c r="N124" i="41"/>
  <c r="J124" i="41"/>
  <c r="N123" i="41"/>
  <c r="L123" i="41"/>
  <c r="J123" i="41"/>
  <c r="N122" i="41"/>
  <c r="L122" i="41"/>
  <c r="J122" i="41"/>
  <c r="N121" i="41"/>
  <c r="L121" i="41"/>
  <c r="J121" i="41"/>
  <c r="N120" i="41"/>
  <c r="L120" i="41"/>
  <c r="J120" i="41"/>
  <c r="N119" i="41"/>
  <c r="L119" i="41"/>
  <c r="J119" i="41"/>
  <c r="N118" i="41"/>
  <c r="L118" i="41"/>
  <c r="J118" i="41"/>
  <c r="N117" i="41"/>
  <c r="L117" i="41"/>
  <c r="J117" i="41"/>
  <c r="N116" i="41"/>
  <c r="L116" i="41"/>
  <c r="J116" i="41"/>
  <c r="N115" i="41"/>
  <c r="L115" i="41"/>
  <c r="J115" i="41"/>
  <c r="N114" i="41"/>
  <c r="L114" i="41"/>
  <c r="J114" i="41"/>
  <c r="N113" i="41"/>
  <c r="L113" i="41"/>
  <c r="J113" i="41"/>
  <c r="N112" i="41"/>
  <c r="L112" i="41"/>
  <c r="J112" i="41"/>
  <c r="N111" i="41"/>
  <c r="L111" i="41"/>
  <c r="J111" i="41"/>
  <c r="N110" i="41"/>
  <c r="L110" i="41"/>
  <c r="J110" i="41"/>
  <c r="N109" i="41"/>
  <c r="L109" i="41"/>
  <c r="J109" i="41"/>
  <c r="N108" i="41"/>
  <c r="L108" i="41"/>
  <c r="J108" i="41"/>
  <c r="N107" i="41"/>
  <c r="L107" i="41"/>
  <c r="J107" i="41"/>
  <c r="N106" i="41"/>
  <c r="L106" i="41"/>
  <c r="J106" i="41"/>
  <c r="N105" i="41"/>
  <c r="L105" i="41"/>
  <c r="J105" i="41"/>
  <c r="N104" i="41"/>
  <c r="L104" i="41"/>
  <c r="J104" i="41"/>
  <c r="N103" i="41"/>
  <c r="L103" i="41"/>
  <c r="J103" i="41"/>
  <c r="N102" i="41"/>
  <c r="L102" i="41"/>
  <c r="J102" i="41"/>
  <c r="N101" i="41"/>
  <c r="L101" i="41"/>
  <c r="J101" i="41"/>
  <c r="N100" i="41"/>
  <c r="L100" i="41"/>
  <c r="J100" i="41"/>
  <c r="N99" i="41"/>
  <c r="L99" i="41"/>
  <c r="J99" i="41"/>
  <c r="N98" i="41"/>
  <c r="L98" i="41"/>
  <c r="J98" i="41"/>
  <c r="N97" i="41"/>
  <c r="L97" i="41"/>
  <c r="J97" i="41"/>
  <c r="N96" i="41"/>
  <c r="L96" i="41"/>
  <c r="J96" i="41"/>
  <c r="N95" i="41"/>
  <c r="L95" i="41"/>
  <c r="J95" i="41"/>
  <c r="N94" i="41"/>
  <c r="L94" i="41"/>
  <c r="J94" i="41"/>
  <c r="N93" i="41"/>
  <c r="L93" i="41"/>
  <c r="J93" i="41"/>
  <c r="N92" i="41"/>
  <c r="L92" i="41"/>
  <c r="J92" i="41"/>
  <c r="N91" i="41"/>
  <c r="L91" i="41"/>
  <c r="J91" i="41"/>
  <c r="N90" i="41"/>
  <c r="L90" i="41"/>
  <c r="J90" i="41"/>
  <c r="N89" i="41"/>
  <c r="L89" i="41"/>
  <c r="J89" i="41"/>
  <c r="N88" i="41"/>
  <c r="L88" i="41"/>
  <c r="J88" i="41"/>
  <c r="N87" i="41"/>
  <c r="L87" i="41"/>
  <c r="J87" i="41"/>
  <c r="N86" i="41"/>
  <c r="L86" i="41"/>
  <c r="J86" i="41"/>
  <c r="N85" i="41"/>
  <c r="L85" i="41"/>
  <c r="J85" i="41"/>
  <c r="N84" i="41"/>
  <c r="L84" i="41"/>
  <c r="J84" i="41"/>
  <c r="N83" i="41"/>
  <c r="L83" i="41"/>
  <c r="J83" i="41"/>
  <c r="N82" i="41"/>
  <c r="L82" i="41"/>
  <c r="J82" i="41"/>
  <c r="N81" i="41"/>
  <c r="L81" i="41"/>
  <c r="J81" i="41"/>
  <c r="N80" i="41"/>
  <c r="L80" i="41"/>
  <c r="J80" i="41"/>
  <c r="N79" i="41"/>
  <c r="L79" i="41"/>
  <c r="J79" i="41"/>
  <c r="N78" i="41"/>
  <c r="L78" i="41"/>
  <c r="J78" i="41"/>
  <c r="N77" i="41"/>
  <c r="L77" i="41"/>
  <c r="J77" i="41"/>
  <c r="N76" i="41"/>
  <c r="L76" i="41"/>
  <c r="J76" i="41"/>
  <c r="N75" i="41"/>
  <c r="L75" i="41"/>
  <c r="J75" i="41"/>
  <c r="N74" i="41"/>
  <c r="L74" i="41"/>
  <c r="J74" i="41"/>
  <c r="N73" i="41"/>
  <c r="L73" i="41"/>
  <c r="J73" i="41"/>
  <c r="N72" i="41"/>
  <c r="L72" i="41"/>
  <c r="J72" i="41"/>
  <c r="N71" i="41"/>
  <c r="L71" i="41"/>
  <c r="J71" i="41"/>
  <c r="N70" i="41"/>
  <c r="L70" i="41"/>
  <c r="J70" i="41"/>
  <c r="N69" i="41"/>
  <c r="L69" i="41"/>
  <c r="J69" i="41"/>
  <c r="N68" i="41"/>
  <c r="L68" i="41"/>
  <c r="J68" i="41"/>
  <c r="N67" i="41"/>
  <c r="L67" i="41"/>
  <c r="J67" i="41"/>
  <c r="N66" i="41"/>
  <c r="L66" i="41"/>
  <c r="J66" i="41"/>
  <c r="N65" i="41"/>
  <c r="L65" i="41"/>
  <c r="J65" i="41"/>
  <c r="N64" i="41"/>
  <c r="L64" i="41"/>
  <c r="J64" i="41"/>
  <c r="N63" i="41"/>
  <c r="L63" i="41"/>
  <c r="J63" i="41"/>
  <c r="N62" i="41"/>
  <c r="L62" i="41"/>
  <c r="J62" i="41"/>
  <c r="N61" i="41"/>
  <c r="L61" i="41"/>
  <c r="J61" i="41"/>
  <c r="N60" i="41"/>
  <c r="L60" i="41"/>
  <c r="J60" i="41"/>
  <c r="N59" i="41"/>
  <c r="L59" i="41"/>
  <c r="J59" i="41"/>
  <c r="N58" i="41"/>
  <c r="L58" i="41"/>
  <c r="J58" i="41"/>
  <c r="N57" i="41"/>
  <c r="L57" i="41"/>
  <c r="J57" i="41"/>
  <c r="N56" i="41"/>
  <c r="L56" i="41"/>
  <c r="J56" i="41"/>
  <c r="N55" i="41"/>
  <c r="L55" i="41"/>
  <c r="J55" i="41"/>
  <c r="N54" i="41"/>
  <c r="L54" i="41"/>
  <c r="J54" i="41"/>
  <c r="N53" i="41"/>
  <c r="L53" i="41"/>
  <c r="J53" i="41"/>
  <c r="P52" i="41"/>
  <c r="N52" i="41"/>
  <c r="L52" i="41"/>
  <c r="J52" i="41"/>
  <c r="P51" i="41"/>
  <c r="N51" i="41"/>
  <c r="L51" i="41"/>
  <c r="J51" i="41"/>
  <c r="P50" i="41"/>
  <c r="N50" i="41"/>
  <c r="L50" i="41"/>
  <c r="J50" i="41"/>
  <c r="P49" i="41"/>
  <c r="N49" i="41"/>
  <c r="L49" i="41"/>
  <c r="J49" i="41"/>
  <c r="P48" i="41"/>
  <c r="N48" i="41"/>
  <c r="L48" i="41"/>
  <c r="J48" i="41"/>
  <c r="P47" i="41"/>
  <c r="N47" i="41"/>
  <c r="L47" i="41"/>
  <c r="J47" i="41"/>
  <c r="P46" i="41"/>
  <c r="N46" i="41"/>
  <c r="L46" i="41"/>
  <c r="J46" i="41"/>
  <c r="P45" i="41"/>
  <c r="N45" i="41"/>
  <c r="L45" i="41"/>
  <c r="J45" i="41"/>
  <c r="P44" i="41"/>
  <c r="N44" i="41"/>
  <c r="L44" i="41"/>
  <c r="J44" i="41"/>
  <c r="P43" i="41"/>
  <c r="N43" i="41"/>
  <c r="L43" i="41"/>
  <c r="J43" i="41"/>
  <c r="P42" i="41"/>
  <c r="N42" i="41"/>
  <c r="L42" i="41"/>
  <c r="J42" i="41"/>
  <c r="P41" i="41"/>
  <c r="N41" i="41"/>
  <c r="L41" i="41"/>
  <c r="J41" i="41"/>
  <c r="P40" i="41"/>
  <c r="N40" i="41"/>
  <c r="L40" i="41"/>
  <c r="J40" i="41"/>
  <c r="P39" i="41"/>
  <c r="N39" i="41"/>
  <c r="L39" i="41"/>
  <c r="J39" i="41"/>
  <c r="P38" i="41"/>
  <c r="N38" i="41"/>
  <c r="L38" i="41"/>
  <c r="J38" i="41"/>
  <c r="P37" i="41"/>
  <c r="N37" i="41"/>
  <c r="L37" i="41"/>
  <c r="J37" i="41"/>
  <c r="P36" i="41"/>
  <c r="N36" i="41"/>
  <c r="L36" i="41"/>
  <c r="J36" i="41"/>
  <c r="P35" i="41"/>
  <c r="N35" i="41"/>
  <c r="L35" i="41"/>
  <c r="J35" i="41"/>
  <c r="P34" i="41"/>
  <c r="N34" i="41"/>
  <c r="L34" i="41"/>
  <c r="J34" i="41"/>
  <c r="P33" i="41"/>
  <c r="N33" i="41"/>
  <c r="L33" i="41"/>
  <c r="J33" i="41"/>
  <c r="P32" i="41"/>
  <c r="N32" i="41"/>
  <c r="L32" i="41"/>
  <c r="J32" i="41"/>
  <c r="P31" i="41"/>
  <c r="N31" i="41"/>
  <c r="L31" i="41"/>
  <c r="J31" i="41"/>
  <c r="P30" i="41"/>
  <c r="N30" i="41"/>
  <c r="L30" i="41"/>
  <c r="J30" i="41"/>
  <c r="P29" i="41"/>
  <c r="N29" i="41"/>
  <c r="L29" i="41"/>
  <c r="J29" i="41"/>
  <c r="P28" i="41"/>
  <c r="N28" i="41"/>
  <c r="L28" i="41"/>
  <c r="J28" i="41"/>
  <c r="P27" i="41"/>
  <c r="N27" i="41"/>
  <c r="L27" i="41"/>
  <c r="J27" i="41"/>
  <c r="P26" i="41"/>
  <c r="N26" i="41"/>
  <c r="L26" i="41"/>
  <c r="J26" i="41"/>
  <c r="P25" i="41"/>
  <c r="N25" i="41"/>
  <c r="L25" i="41"/>
  <c r="J25" i="41"/>
  <c r="P24" i="41"/>
  <c r="N24" i="41"/>
  <c r="L24" i="41"/>
  <c r="J24" i="41"/>
  <c r="P23" i="41"/>
  <c r="N23" i="41"/>
  <c r="L23" i="41"/>
  <c r="J23" i="41"/>
  <c r="P22" i="41"/>
  <c r="N22" i="41"/>
  <c r="L22" i="41"/>
  <c r="J22" i="41"/>
  <c r="P21" i="41"/>
  <c r="N21" i="41"/>
  <c r="L21" i="41"/>
  <c r="J21" i="41"/>
  <c r="P20" i="41"/>
  <c r="N20" i="41"/>
  <c r="L20" i="41"/>
  <c r="J20" i="41"/>
  <c r="P19" i="41"/>
  <c r="N19" i="41"/>
  <c r="L19" i="41"/>
  <c r="J19" i="41"/>
  <c r="P18" i="41"/>
  <c r="N18" i="41"/>
  <c r="L18" i="41"/>
  <c r="J18" i="41"/>
  <c r="P17" i="41"/>
  <c r="N17" i="41"/>
  <c r="L17" i="41"/>
  <c r="J17" i="41"/>
  <c r="P16" i="41"/>
  <c r="N16" i="41"/>
  <c r="L16" i="41"/>
  <c r="J16" i="41"/>
  <c r="P15" i="41"/>
  <c r="N15" i="41"/>
  <c r="L15" i="41"/>
  <c r="J15" i="41"/>
  <c r="P14" i="41"/>
  <c r="N14" i="41"/>
  <c r="L14" i="41"/>
  <c r="J14" i="41"/>
  <c r="P13" i="41"/>
  <c r="N13" i="41"/>
  <c r="L13" i="41"/>
  <c r="J13" i="41"/>
  <c r="P12" i="41"/>
  <c r="N12" i="41"/>
  <c r="L12" i="41"/>
  <c r="J12" i="41"/>
  <c r="P11" i="41"/>
  <c r="N11" i="41"/>
  <c r="L11" i="41"/>
  <c r="J11" i="41"/>
  <c r="P10" i="41"/>
  <c r="N10" i="41"/>
  <c r="L10" i="41"/>
  <c r="J10" i="41"/>
  <c r="B10" i="41"/>
  <c r="R9" i="41"/>
  <c r="P9" i="41"/>
  <c r="N9" i="41"/>
  <c r="L9" i="41"/>
  <c r="J9" i="41"/>
  <c r="R8" i="41"/>
  <c r="P8" i="41"/>
  <c r="N8" i="41"/>
  <c r="L8" i="41"/>
  <c r="J8" i="41"/>
  <c r="R7" i="41"/>
  <c r="P7" i="41"/>
  <c r="N7" i="41"/>
  <c r="L7" i="41"/>
  <c r="J7" i="41"/>
  <c r="R6" i="41"/>
  <c r="P6" i="41"/>
  <c r="N6" i="41"/>
  <c r="L6" i="41"/>
  <c r="J6" i="41"/>
  <c r="R5" i="41"/>
  <c r="P5" i="41"/>
  <c r="N5" i="41"/>
  <c r="L5" i="41"/>
  <c r="J5" i="41"/>
  <c r="R4" i="41"/>
  <c r="P4" i="41"/>
  <c r="N4" i="41"/>
  <c r="L4" i="41"/>
  <c r="J4" i="41"/>
  <c r="R3" i="41"/>
  <c r="P3" i="41"/>
  <c r="N3" i="41"/>
  <c r="L3" i="41"/>
  <c r="R2" i="41"/>
  <c r="P2" i="41"/>
  <c r="N2" i="41"/>
  <c r="L2" i="41"/>
  <c r="J2" i="41"/>
  <c r="N137" i="40"/>
  <c r="J137" i="40"/>
  <c r="N136" i="40"/>
  <c r="J136" i="40"/>
  <c r="N135" i="40"/>
  <c r="J135" i="40"/>
  <c r="N134" i="40"/>
  <c r="J134" i="40"/>
  <c r="N133" i="40"/>
  <c r="J133" i="40"/>
  <c r="N132" i="40"/>
  <c r="J132" i="40"/>
  <c r="N131" i="40"/>
  <c r="J131" i="40"/>
  <c r="N130" i="40"/>
  <c r="J130" i="40"/>
  <c r="N129" i="40"/>
  <c r="J129" i="40"/>
  <c r="N128" i="40"/>
  <c r="J128" i="40"/>
  <c r="N127" i="40"/>
  <c r="J127" i="40"/>
  <c r="N126" i="40"/>
  <c r="J126" i="40"/>
  <c r="N125" i="40"/>
  <c r="J125" i="40"/>
  <c r="N124" i="40"/>
  <c r="J124" i="40"/>
  <c r="N123" i="40"/>
  <c r="L123" i="40"/>
  <c r="J123" i="40"/>
  <c r="N122" i="40"/>
  <c r="L122" i="40"/>
  <c r="J122" i="40"/>
  <c r="N121" i="40"/>
  <c r="L121" i="40"/>
  <c r="J121" i="40"/>
  <c r="N120" i="40"/>
  <c r="L120" i="40"/>
  <c r="J120" i="40"/>
  <c r="N119" i="40"/>
  <c r="L119" i="40"/>
  <c r="J119" i="40"/>
  <c r="N118" i="40"/>
  <c r="L118" i="40"/>
  <c r="J118" i="40"/>
  <c r="N117" i="40"/>
  <c r="L117" i="40"/>
  <c r="J117" i="40"/>
  <c r="N116" i="40"/>
  <c r="L116" i="40"/>
  <c r="J116" i="40"/>
  <c r="N115" i="40"/>
  <c r="L115" i="40"/>
  <c r="J115" i="40"/>
  <c r="N114" i="40"/>
  <c r="L114" i="40"/>
  <c r="J114" i="40"/>
  <c r="N113" i="40"/>
  <c r="L113" i="40"/>
  <c r="J113" i="40"/>
  <c r="N112" i="40"/>
  <c r="L112" i="40"/>
  <c r="J112" i="40"/>
  <c r="N111" i="40"/>
  <c r="L111" i="40"/>
  <c r="J111" i="40"/>
  <c r="N110" i="40"/>
  <c r="L110" i="40"/>
  <c r="J110" i="40"/>
  <c r="N109" i="40"/>
  <c r="L109" i="40"/>
  <c r="J109" i="40"/>
  <c r="N108" i="40"/>
  <c r="L108" i="40"/>
  <c r="J108" i="40"/>
  <c r="N107" i="40"/>
  <c r="L107" i="40"/>
  <c r="J107" i="40"/>
  <c r="N106" i="40"/>
  <c r="L106" i="40"/>
  <c r="J106" i="40"/>
  <c r="N105" i="40"/>
  <c r="L105" i="40"/>
  <c r="J105" i="40"/>
  <c r="N104" i="40"/>
  <c r="L104" i="40"/>
  <c r="J104" i="40"/>
  <c r="N103" i="40"/>
  <c r="L103" i="40"/>
  <c r="J103" i="40"/>
  <c r="N102" i="40"/>
  <c r="L102" i="40"/>
  <c r="J102" i="40"/>
  <c r="N101" i="40"/>
  <c r="L101" i="40"/>
  <c r="J101" i="40"/>
  <c r="N100" i="40"/>
  <c r="L100" i="40"/>
  <c r="J100" i="40"/>
  <c r="N99" i="40"/>
  <c r="L99" i="40"/>
  <c r="J99" i="40"/>
  <c r="N98" i="40"/>
  <c r="L98" i="40"/>
  <c r="J98" i="40"/>
  <c r="N97" i="40"/>
  <c r="L97" i="40"/>
  <c r="J97" i="40"/>
  <c r="N96" i="40"/>
  <c r="L96" i="40"/>
  <c r="J96" i="40"/>
  <c r="N95" i="40"/>
  <c r="L95" i="40"/>
  <c r="J95" i="40"/>
  <c r="N94" i="40"/>
  <c r="L94" i="40"/>
  <c r="J94" i="40"/>
  <c r="N93" i="40"/>
  <c r="L93" i="40"/>
  <c r="J93" i="40"/>
  <c r="N92" i="40"/>
  <c r="L92" i="40"/>
  <c r="J92" i="40"/>
  <c r="N91" i="40"/>
  <c r="L91" i="40"/>
  <c r="J91" i="40"/>
  <c r="N90" i="40"/>
  <c r="L90" i="40"/>
  <c r="J90" i="40"/>
  <c r="N89" i="40"/>
  <c r="L89" i="40"/>
  <c r="J89" i="40"/>
  <c r="N88" i="40"/>
  <c r="L88" i="40"/>
  <c r="J88" i="40"/>
  <c r="N87" i="40"/>
  <c r="L87" i="40"/>
  <c r="J87" i="40"/>
  <c r="N86" i="40"/>
  <c r="L86" i="40"/>
  <c r="J86" i="40"/>
  <c r="N85" i="40"/>
  <c r="L85" i="40"/>
  <c r="J85" i="40"/>
  <c r="N84" i="40"/>
  <c r="L84" i="40"/>
  <c r="J84" i="40"/>
  <c r="N83" i="40"/>
  <c r="L83" i="40"/>
  <c r="J83" i="40"/>
  <c r="N82" i="40"/>
  <c r="L82" i="40"/>
  <c r="J82" i="40"/>
  <c r="N81" i="40"/>
  <c r="L81" i="40"/>
  <c r="J81" i="40"/>
  <c r="N80" i="40"/>
  <c r="L80" i="40"/>
  <c r="J80" i="40"/>
  <c r="N79" i="40"/>
  <c r="L79" i="40"/>
  <c r="J79" i="40"/>
  <c r="N78" i="40"/>
  <c r="L78" i="40"/>
  <c r="J78" i="40"/>
  <c r="N77" i="40"/>
  <c r="L77" i="40"/>
  <c r="J77" i="40"/>
  <c r="N76" i="40"/>
  <c r="L76" i="40"/>
  <c r="J76" i="40"/>
  <c r="N75" i="40"/>
  <c r="L75" i="40"/>
  <c r="J75" i="40"/>
  <c r="N74" i="40"/>
  <c r="L74" i="40"/>
  <c r="J74" i="40"/>
  <c r="N73" i="40"/>
  <c r="L73" i="40"/>
  <c r="J73" i="40"/>
  <c r="N72" i="40"/>
  <c r="L72" i="40"/>
  <c r="J72" i="40"/>
  <c r="N71" i="40"/>
  <c r="L71" i="40"/>
  <c r="J71" i="40"/>
  <c r="N70" i="40"/>
  <c r="L70" i="40"/>
  <c r="J70" i="40"/>
  <c r="N69" i="40"/>
  <c r="L69" i="40"/>
  <c r="J69" i="40"/>
  <c r="N68" i="40"/>
  <c r="L68" i="40"/>
  <c r="J68" i="40"/>
  <c r="N67" i="40"/>
  <c r="L67" i="40"/>
  <c r="J67" i="40"/>
  <c r="N66" i="40"/>
  <c r="L66" i="40"/>
  <c r="J66" i="40"/>
  <c r="N65" i="40"/>
  <c r="L65" i="40"/>
  <c r="J65" i="40"/>
  <c r="N64" i="40"/>
  <c r="L64" i="40"/>
  <c r="J64" i="40"/>
  <c r="N63" i="40"/>
  <c r="L63" i="40"/>
  <c r="J63" i="40"/>
  <c r="N62" i="40"/>
  <c r="L62" i="40"/>
  <c r="J62" i="40"/>
  <c r="N61" i="40"/>
  <c r="L61" i="40"/>
  <c r="J61" i="40"/>
  <c r="N60" i="40"/>
  <c r="L60" i="40"/>
  <c r="J60" i="40"/>
  <c r="N59" i="40"/>
  <c r="L59" i="40"/>
  <c r="J59" i="40"/>
  <c r="N58" i="40"/>
  <c r="L58" i="40"/>
  <c r="J58" i="40"/>
  <c r="N57" i="40"/>
  <c r="L57" i="40"/>
  <c r="J57" i="40"/>
  <c r="N56" i="40"/>
  <c r="L56" i="40"/>
  <c r="J56" i="40"/>
  <c r="N55" i="40"/>
  <c r="L55" i="40"/>
  <c r="J55" i="40"/>
  <c r="N54" i="40"/>
  <c r="L54" i="40"/>
  <c r="J54" i="40"/>
  <c r="N53" i="40"/>
  <c r="L53" i="40"/>
  <c r="J53" i="40"/>
  <c r="P52" i="40"/>
  <c r="N52" i="40"/>
  <c r="L52" i="40"/>
  <c r="J52" i="40"/>
  <c r="P51" i="40"/>
  <c r="N51" i="40"/>
  <c r="L51" i="40"/>
  <c r="J51" i="40"/>
  <c r="P50" i="40"/>
  <c r="N50" i="40"/>
  <c r="L50" i="40"/>
  <c r="J50" i="40"/>
  <c r="P49" i="40"/>
  <c r="N49" i="40"/>
  <c r="L49" i="40"/>
  <c r="J49" i="40"/>
  <c r="P48" i="40"/>
  <c r="N48" i="40"/>
  <c r="L48" i="40"/>
  <c r="J48" i="40"/>
  <c r="P47" i="40"/>
  <c r="N47" i="40"/>
  <c r="L47" i="40"/>
  <c r="J47" i="40"/>
  <c r="P46" i="40"/>
  <c r="N46" i="40"/>
  <c r="L46" i="40"/>
  <c r="J46" i="40"/>
  <c r="P45" i="40"/>
  <c r="N45" i="40"/>
  <c r="L45" i="40"/>
  <c r="J45" i="40"/>
  <c r="P44" i="40"/>
  <c r="N44" i="40"/>
  <c r="L44" i="40"/>
  <c r="J44" i="40"/>
  <c r="P43" i="40"/>
  <c r="N43" i="40"/>
  <c r="L43" i="40"/>
  <c r="J43" i="40"/>
  <c r="P42" i="40"/>
  <c r="N42" i="40"/>
  <c r="L42" i="40"/>
  <c r="J42" i="40"/>
  <c r="P41" i="40"/>
  <c r="N41" i="40"/>
  <c r="L41" i="40"/>
  <c r="J41" i="40"/>
  <c r="P40" i="40"/>
  <c r="N40" i="40"/>
  <c r="L40" i="40"/>
  <c r="J40" i="40"/>
  <c r="P39" i="40"/>
  <c r="N39" i="40"/>
  <c r="L39" i="40"/>
  <c r="J39" i="40"/>
  <c r="P38" i="40"/>
  <c r="N38" i="40"/>
  <c r="L38" i="40"/>
  <c r="J38" i="40"/>
  <c r="P37" i="40"/>
  <c r="N37" i="40"/>
  <c r="L37" i="40"/>
  <c r="J37" i="40"/>
  <c r="P36" i="40"/>
  <c r="N36" i="40"/>
  <c r="L36" i="40"/>
  <c r="J36" i="40"/>
  <c r="P35" i="40"/>
  <c r="N35" i="40"/>
  <c r="L35" i="40"/>
  <c r="J35" i="40"/>
  <c r="P34" i="40"/>
  <c r="N34" i="40"/>
  <c r="L34" i="40"/>
  <c r="J34" i="40"/>
  <c r="P33" i="40"/>
  <c r="N33" i="40"/>
  <c r="L33" i="40"/>
  <c r="J33" i="40"/>
  <c r="P32" i="40"/>
  <c r="N32" i="40"/>
  <c r="L32" i="40"/>
  <c r="J32" i="40"/>
  <c r="P31" i="40"/>
  <c r="N31" i="40"/>
  <c r="L31" i="40"/>
  <c r="J31" i="40"/>
  <c r="P30" i="40"/>
  <c r="N30" i="40"/>
  <c r="L30" i="40"/>
  <c r="J30" i="40"/>
  <c r="P29" i="40"/>
  <c r="N29" i="40"/>
  <c r="L29" i="40"/>
  <c r="J29" i="40"/>
  <c r="P28" i="40"/>
  <c r="N28" i="40"/>
  <c r="L28" i="40"/>
  <c r="J28" i="40"/>
  <c r="P27" i="40"/>
  <c r="N27" i="40"/>
  <c r="L27" i="40"/>
  <c r="J27" i="40"/>
  <c r="P26" i="40"/>
  <c r="N26" i="40"/>
  <c r="L26" i="40"/>
  <c r="J26" i="40"/>
  <c r="P25" i="40"/>
  <c r="N25" i="40"/>
  <c r="L25" i="40"/>
  <c r="J25" i="40"/>
  <c r="P24" i="40"/>
  <c r="N24" i="40"/>
  <c r="L24" i="40"/>
  <c r="J24" i="40"/>
  <c r="P23" i="40"/>
  <c r="N23" i="40"/>
  <c r="L23" i="40"/>
  <c r="J23" i="40"/>
  <c r="P22" i="40"/>
  <c r="N22" i="40"/>
  <c r="L22" i="40"/>
  <c r="J22" i="40"/>
  <c r="P21" i="40"/>
  <c r="N21" i="40"/>
  <c r="L21" i="40"/>
  <c r="J21" i="40"/>
  <c r="P20" i="40"/>
  <c r="N20" i="40"/>
  <c r="L20" i="40"/>
  <c r="J20" i="40"/>
  <c r="P19" i="40"/>
  <c r="N19" i="40"/>
  <c r="L19" i="40"/>
  <c r="J19" i="40"/>
  <c r="P18" i="40"/>
  <c r="N18" i="40"/>
  <c r="L18" i="40"/>
  <c r="J18" i="40"/>
  <c r="P17" i="40"/>
  <c r="N17" i="40"/>
  <c r="L17" i="40"/>
  <c r="J17" i="40"/>
  <c r="P16" i="40"/>
  <c r="N16" i="40"/>
  <c r="L16" i="40"/>
  <c r="J16" i="40"/>
  <c r="P15" i="40"/>
  <c r="N15" i="40"/>
  <c r="L15" i="40"/>
  <c r="J15" i="40"/>
  <c r="P14" i="40"/>
  <c r="N14" i="40"/>
  <c r="L14" i="40"/>
  <c r="J14" i="40"/>
  <c r="P13" i="40"/>
  <c r="N13" i="40"/>
  <c r="L13" i="40"/>
  <c r="J13" i="40"/>
  <c r="P12" i="40"/>
  <c r="N12" i="40"/>
  <c r="L12" i="40"/>
  <c r="J12" i="40"/>
  <c r="P11" i="40"/>
  <c r="N11" i="40"/>
  <c r="L11" i="40"/>
  <c r="J11" i="40"/>
  <c r="P10" i="40"/>
  <c r="N10" i="40"/>
  <c r="L10" i="40"/>
  <c r="J10" i="40"/>
  <c r="B10" i="40"/>
  <c r="R9" i="40"/>
  <c r="P9" i="40"/>
  <c r="N9" i="40"/>
  <c r="L9" i="40"/>
  <c r="J9" i="40"/>
  <c r="R8" i="40"/>
  <c r="P8" i="40"/>
  <c r="N8" i="40"/>
  <c r="L8" i="40"/>
  <c r="J8" i="40"/>
  <c r="R7" i="40"/>
  <c r="P7" i="40"/>
  <c r="N7" i="40"/>
  <c r="L7" i="40"/>
  <c r="J7" i="40"/>
  <c r="R6" i="40"/>
  <c r="P6" i="40"/>
  <c r="N6" i="40"/>
  <c r="L6" i="40"/>
  <c r="J6" i="40"/>
  <c r="R5" i="40"/>
  <c r="P5" i="40"/>
  <c r="N5" i="40"/>
  <c r="L5" i="40"/>
  <c r="J5" i="40"/>
  <c r="R4" i="40"/>
  <c r="P4" i="40"/>
  <c r="N4" i="40"/>
  <c r="L4" i="40"/>
  <c r="J4" i="40"/>
  <c r="R3" i="40"/>
  <c r="P3" i="40"/>
  <c r="N3" i="40"/>
  <c r="L3" i="40"/>
  <c r="R2" i="40"/>
  <c r="P2" i="40"/>
  <c r="N2" i="40"/>
  <c r="L2" i="40"/>
  <c r="J2" i="40"/>
  <c r="N137" i="39"/>
  <c r="J137" i="39"/>
  <c r="N136" i="39"/>
  <c r="J136" i="39"/>
  <c r="N135" i="39"/>
  <c r="J135" i="39"/>
  <c r="N134" i="39"/>
  <c r="J134" i="39"/>
  <c r="N133" i="39"/>
  <c r="J133" i="39"/>
  <c r="N132" i="39"/>
  <c r="J132" i="39"/>
  <c r="N131" i="39"/>
  <c r="J131" i="39"/>
  <c r="N130" i="39"/>
  <c r="J130" i="39"/>
  <c r="N129" i="39"/>
  <c r="J129" i="39"/>
  <c r="N128" i="39"/>
  <c r="J128" i="39"/>
  <c r="N127" i="39"/>
  <c r="J127" i="39"/>
  <c r="N126" i="39"/>
  <c r="J126" i="39"/>
  <c r="N125" i="39"/>
  <c r="J125" i="39"/>
  <c r="N124" i="39"/>
  <c r="J124" i="39"/>
  <c r="N123" i="39"/>
  <c r="L123" i="39"/>
  <c r="J123" i="39"/>
  <c r="N122" i="39"/>
  <c r="L122" i="39"/>
  <c r="J122" i="39"/>
  <c r="N121" i="39"/>
  <c r="L121" i="39"/>
  <c r="J121" i="39"/>
  <c r="N120" i="39"/>
  <c r="L120" i="39"/>
  <c r="J120" i="39"/>
  <c r="N119" i="39"/>
  <c r="L119" i="39"/>
  <c r="J119" i="39"/>
  <c r="N118" i="39"/>
  <c r="L118" i="39"/>
  <c r="J118" i="39"/>
  <c r="N117" i="39"/>
  <c r="L117" i="39"/>
  <c r="J117" i="39"/>
  <c r="N116" i="39"/>
  <c r="L116" i="39"/>
  <c r="J116" i="39"/>
  <c r="N115" i="39"/>
  <c r="L115" i="39"/>
  <c r="J115" i="39"/>
  <c r="N114" i="39"/>
  <c r="L114" i="39"/>
  <c r="J114" i="39"/>
  <c r="N113" i="39"/>
  <c r="L113" i="39"/>
  <c r="J113" i="39"/>
  <c r="N112" i="39"/>
  <c r="L112" i="39"/>
  <c r="J112" i="39"/>
  <c r="N111" i="39"/>
  <c r="L111" i="39"/>
  <c r="J111" i="39"/>
  <c r="N110" i="39"/>
  <c r="L110" i="39"/>
  <c r="J110" i="39"/>
  <c r="N109" i="39"/>
  <c r="L109" i="39"/>
  <c r="J109" i="39"/>
  <c r="N108" i="39"/>
  <c r="L108" i="39"/>
  <c r="J108" i="39"/>
  <c r="N107" i="39"/>
  <c r="L107" i="39"/>
  <c r="J107" i="39"/>
  <c r="N106" i="39"/>
  <c r="L106" i="39"/>
  <c r="J106" i="39"/>
  <c r="N105" i="39"/>
  <c r="L105" i="39"/>
  <c r="J105" i="39"/>
  <c r="N104" i="39"/>
  <c r="L104" i="39"/>
  <c r="J104" i="39"/>
  <c r="N103" i="39"/>
  <c r="L103" i="39"/>
  <c r="J103" i="39"/>
  <c r="N102" i="39"/>
  <c r="L102" i="39"/>
  <c r="J102" i="39"/>
  <c r="N101" i="39"/>
  <c r="L101" i="39"/>
  <c r="J101" i="39"/>
  <c r="N100" i="39"/>
  <c r="L100" i="39"/>
  <c r="J100" i="39"/>
  <c r="N99" i="39"/>
  <c r="L99" i="39"/>
  <c r="J99" i="39"/>
  <c r="N98" i="39"/>
  <c r="L98" i="39"/>
  <c r="J98" i="39"/>
  <c r="N97" i="39"/>
  <c r="L97" i="39"/>
  <c r="J97" i="39"/>
  <c r="N96" i="39"/>
  <c r="L96" i="39"/>
  <c r="J96" i="39"/>
  <c r="N95" i="39"/>
  <c r="L95" i="39"/>
  <c r="J95" i="39"/>
  <c r="N94" i="39"/>
  <c r="L94" i="39"/>
  <c r="J94" i="39"/>
  <c r="N93" i="39"/>
  <c r="L93" i="39"/>
  <c r="J93" i="39"/>
  <c r="N92" i="39"/>
  <c r="L92" i="39"/>
  <c r="J92" i="39"/>
  <c r="N91" i="39"/>
  <c r="L91" i="39"/>
  <c r="J91" i="39"/>
  <c r="N90" i="39"/>
  <c r="L90" i="39"/>
  <c r="J90" i="39"/>
  <c r="N89" i="39"/>
  <c r="L89" i="39"/>
  <c r="J89" i="39"/>
  <c r="N88" i="39"/>
  <c r="L88" i="39"/>
  <c r="J88" i="39"/>
  <c r="N87" i="39"/>
  <c r="L87" i="39"/>
  <c r="J87" i="39"/>
  <c r="N86" i="39"/>
  <c r="L86" i="39"/>
  <c r="J86" i="39"/>
  <c r="N85" i="39"/>
  <c r="L85" i="39"/>
  <c r="J85" i="39"/>
  <c r="N84" i="39"/>
  <c r="L84" i="39"/>
  <c r="J84" i="39"/>
  <c r="N83" i="39"/>
  <c r="L83" i="39"/>
  <c r="J83" i="39"/>
  <c r="N82" i="39"/>
  <c r="L82" i="39"/>
  <c r="J82" i="39"/>
  <c r="N81" i="39"/>
  <c r="L81" i="39"/>
  <c r="J81" i="39"/>
  <c r="N80" i="39"/>
  <c r="L80" i="39"/>
  <c r="J80" i="39"/>
  <c r="N79" i="39"/>
  <c r="L79" i="39"/>
  <c r="J79" i="39"/>
  <c r="N78" i="39"/>
  <c r="L78" i="39"/>
  <c r="J78" i="39"/>
  <c r="N77" i="39"/>
  <c r="L77" i="39"/>
  <c r="J77" i="39"/>
  <c r="N76" i="39"/>
  <c r="L76" i="39"/>
  <c r="J76" i="39"/>
  <c r="N75" i="39"/>
  <c r="L75" i="39"/>
  <c r="J75" i="39"/>
  <c r="N74" i="39"/>
  <c r="L74" i="39"/>
  <c r="J74" i="39"/>
  <c r="N73" i="39"/>
  <c r="L73" i="39"/>
  <c r="J73" i="39"/>
  <c r="N72" i="39"/>
  <c r="L72" i="39"/>
  <c r="J72" i="39"/>
  <c r="N71" i="39"/>
  <c r="L71" i="39"/>
  <c r="J71" i="39"/>
  <c r="N70" i="39"/>
  <c r="L70" i="39"/>
  <c r="J70" i="39"/>
  <c r="N69" i="39"/>
  <c r="L69" i="39"/>
  <c r="J69" i="39"/>
  <c r="N68" i="39"/>
  <c r="L68" i="39"/>
  <c r="J68" i="39"/>
  <c r="N67" i="39"/>
  <c r="L67" i="39"/>
  <c r="J67" i="39"/>
  <c r="N66" i="39"/>
  <c r="L66" i="39"/>
  <c r="J66" i="39"/>
  <c r="N65" i="39"/>
  <c r="L65" i="39"/>
  <c r="J65" i="39"/>
  <c r="N64" i="39"/>
  <c r="L64" i="39"/>
  <c r="J64" i="39"/>
  <c r="N63" i="39"/>
  <c r="L63" i="39"/>
  <c r="J63" i="39"/>
  <c r="N62" i="39"/>
  <c r="L62" i="39"/>
  <c r="J62" i="39"/>
  <c r="N61" i="39"/>
  <c r="L61" i="39"/>
  <c r="J61" i="39"/>
  <c r="N60" i="39"/>
  <c r="L60" i="39"/>
  <c r="J60" i="39"/>
  <c r="N59" i="39"/>
  <c r="L59" i="39"/>
  <c r="J59" i="39"/>
  <c r="N58" i="39"/>
  <c r="L58" i="39"/>
  <c r="J58" i="39"/>
  <c r="N57" i="39"/>
  <c r="L57" i="39"/>
  <c r="J57" i="39"/>
  <c r="N56" i="39"/>
  <c r="L56" i="39"/>
  <c r="J56" i="39"/>
  <c r="N55" i="39"/>
  <c r="L55" i="39"/>
  <c r="J55" i="39"/>
  <c r="N54" i="39"/>
  <c r="L54" i="39"/>
  <c r="J54" i="39"/>
  <c r="N53" i="39"/>
  <c r="L53" i="39"/>
  <c r="J53" i="39"/>
  <c r="P52" i="39"/>
  <c r="N52" i="39"/>
  <c r="L52" i="39"/>
  <c r="J52" i="39"/>
  <c r="P51" i="39"/>
  <c r="N51" i="39"/>
  <c r="L51" i="39"/>
  <c r="J51" i="39"/>
  <c r="P50" i="39"/>
  <c r="N50" i="39"/>
  <c r="L50" i="39"/>
  <c r="J50" i="39"/>
  <c r="P49" i="39"/>
  <c r="N49" i="39"/>
  <c r="L49" i="39"/>
  <c r="J49" i="39"/>
  <c r="P48" i="39"/>
  <c r="N48" i="39"/>
  <c r="L48" i="39"/>
  <c r="J48" i="39"/>
  <c r="P47" i="39"/>
  <c r="N47" i="39"/>
  <c r="L47" i="39"/>
  <c r="J47" i="39"/>
  <c r="P46" i="39"/>
  <c r="N46" i="39"/>
  <c r="L46" i="39"/>
  <c r="J46" i="39"/>
  <c r="P45" i="39"/>
  <c r="N45" i="39"/>
  <c r="L45" i="39"/>
  <c r="J45" i="39"/>
  <c r="P44" i="39"/>
  <c r="N44" i="39"/>
  <c r="L44" i="39"/>
  <c r="J44" i="39"/>
  <c r="P43" i="39"/>
  <c r="N43" i="39"/>
  <c r="L43" i="39"/>
  <c r="J43" i="39"/>
  <c r="P42" i="39"/>
  <c r="N42" i="39"/>
  <c r="L42" i="39"/>
  <c r="J42" i="39"/>
  <c r="P41" i="39"/>
  <c r="N41" i="39"/>
  <c r="L41" i="39"/>
  <c r="J41" i="39"/>
  <c r="P40" i="39"/>
  <c r="N40" i="39"/>
  <c r="L40" i="39"/>
  <c r="J40" i="39"/>
  <c r="P39" i="39"/>
  <c r="N39" i="39"/>
  <c r="L39" i="39"/>
  <c r="J39" i="39"/>
  <c r="P38" i="39"/>
  <c r="N38" i="39"/>
  <c r="L38" i="39"/>
  <c r="J38" i="39"/>
  <c r="P37" i="39"/>
  <c r="N37" i="39"/>
  <c r="L37" i="39"/>
  <c r="J37" i="39"/>
  <c r="P36" i="39"/>
  <c r="N36" i="39"/>
  <c r="L36" i="39"/>
  <c r="J36" i="39"/>
  <c r="P35" i="39"/>
  <c r="N35" i="39"/>
  <c r="L35" i="39"/>
  <c r="J35" i="39"/>
  <c r="P34" i="39"/>
  <c r="N34" i="39"/>
  <c r="L34" i="39"/>
  <c r="J34" i="39"/>
  <c r="P33" i="39"/>
  <c r="N33" i="39"/>
  <c r="L33" i="39"/>
  <c r="J33" i="39"/>
  <c r="P32" i="39"/>
  <c r="N32" i="39"/>
  <c r="L32" i="39"/>
  <c r="J32" i="39"/>
  <c r="P31" i="39"/>
  <c r="N31" i="39"/>
  <c r="L31" i="39"/>
  <c r="J31" i="39"/>
  <c r="P30" i="39"/>
  <c r="N30" i="39"/>
  <c r="L30" i="39"/>
  <c r="J30" i="39"/>
  <c r="P29" i="39"/>
  <c r="N29" i="39"/>
  <c r="L29" i="39"/>
  <c r="J29" i="39"/>
  <c r="P28" i="39"/>
  <c r="N28" i="39"/>
  <c r="L28" i="39"/>
  <c r="J28" i="39"/>
  <c r="P27" i="39"/>
  <c r="N27" i="39"/>
  <c r="L27" i="39"/>
  <c r="J27" i="39"/>
  <c r="P26" i="39"/>
  <c r="N26" i="39"/>
  <c r="L26" i="39"/>
  <c r="J26" i="39"/>
  <c r="P25" i="39"/>
  <c r="N25" i="39"/>
  <c r="L25" i="39"/>
  <c r="J25" i="39"/>
  <c r="P24" i="39"/>
  <c r="N24" i="39"/>
  <c r="L24" i="39"/>
  <c r="J24" i="39"/>
  <c r="P23" i="39"/>
  <c r="N23" i="39"/>
  <c r="L23" i="39"/>
  <c r="J23" i="39"/>
  <c r="P22" i="39"/>
  <c r="N22" i="39"/>
  <c r="L22" i="39"/>
  <c r="J22" i="39"/>
  <c r="P21" i="39"/>
  <c r="N21" i="39"/>
  <c r="L21" i="39"/>
  <c r="J21" i="39"/>
  <c r="P20" i="39"/>
  <c r="N20" i="39"/>
  <c r="L20" i="39"/>
  <c r="J20" i="39"/>
  <c r="P19" i="39"/>
  <c r="N19" i="39"/>
  <c r="L19" i="39"/>
  <c r="J19" i="39"/>
  <c r="P18" i="39"/>
  <c r="N18" i="39"/>
  <c r="L18" i="39"/>
  <c r="J18" i="39"/>
  <c r="P17" i="39"/>
  <c r="N17" i="39"/>
  <c r="L17" i="39"/>
  <c r="J17" i="39"/>
  <c r="P16" i="39"/>
  <c r="N16" i="39"/>
  <c r="L16" i="39"/>
  <c r="J16" i="39"/>
  <c r="P15" i="39"/>
  <c r="N15" i="39"/>
  <c r="L15" i="39"/>
  <c r="J15" i="39"/>
  <c r="P14" i="39"/>
  <c r="N14" i="39"/>
  <c r="L14" i="39"/>
  <c r="J14" i="39"/>
  <c r="P13" i="39"/>
  <c r="N13" i="39"/>
  <c r="L13" i="39"/>
  <c r="J13" i="39"/>
  <c r="P12" i="39"/>
  <c r="N12" i="39"/>
  <c r="L12" i="39"/>
  <c r="J12" i="39"/>
  <c r="P11" i="39"/>
  <c r="N11" i="39"/>
  <c r="L11" i="39"/>
  <c r="J11" i="39"/>
  <c r="P10" i="39"/>
  <c r="N10" i="39"/>
  <c r="L10" i="39"/>
  <c r="J10" i="39"/>
  <c r="B10" i="39"/>
  <c r="R9" i="39"/>
  <c r="P9" i="39"/>
  <c r="N9" i="39"/>
  <c r="L9" i="39"/>
  <c r="J9" i="39"/>
  <c r="R8" i="39"/>
  <c r="P8" i="39"/>
  <c r="N8" i="39"/>
  <c r="L8" i="39"/>
  <c r="J8" i="39"/>
  <c r="R7" i="39"/>
  <c r="P7" i="39"/>
  <c r="N7" i="39"/>
  <c r="L7" i="39"/>
  <c r="J7" i="39"/>
  <c r="R6" i="39"/>
  <c r="P6" i="39"/>
  <c r="N6" i="39"/>
  <c r="L6" i="39"/>
  <c r="J6" i="39"/>
  <c r="R5" i="39"/>
  <c r="P5" i="39"/>
  <c r="N5" i="39"/>
  <c r="L5" i="39"/>
  <c r="J5" i="39"/>
  <c r="R4" i="39"/>
  <c r="P4" i="39"/>
  <c r="N4" i="39"/>
  <c r="L4" i="39"/>
  <c r="J4" i="39"/>
  <c r="R3" i="39"/>
  <c r="P3" i="39"/>
  <c r="N3" i="39"/>
  <c r="L3" i="39"/>
  <c r="R2" i="39"/>
  <c r="P2" i="39"/>
  <c r="N2" i="39"/>
  <c r="L2" i="39"/>
  <c r="J2" i="39"/>
  <c r="N137" i="38"/>
  <c r="J137" i="38"/>
  <c r="N136" i="38"/>
  <c r="J136" i="38"/>
  <c r="N135" i="38"/>
  <c r="J135" i="38"/>
  <c r="N134" i="38"/>
  <c r="J134" i="38"/>
  <c r="N133" i="38"/>
  <c r="J133" i="38"/>
  <c r="N132" i="38"/>
  <c r="J132" i="38"/>
  <c r="N131" i="38"/>
  <c r="J131" i="38"/>
  <c r="N130" i="38"/>
  <c r="J130" i="38"/>
  <c r="N129" i="38"/>
  <c r="J129" i="38"/>
  <c r="N128" i="38"/>
  <c r="J128" i="38"/>
  <c r="N127" i="38"/>
  <c r="J127" i="38"/>
  <c r="N126" i="38"/>
  <c r="J126" i="38"/>
  <c r="N125" i="38"/>
  <c r="J125" i="38"/>
  <c r="N124" i="38"/>
  <c r="J124" i="38"/>
  <c r="N123" i="38"/>
  <c r="L123" i="38"/>
  <c r="J123" i="38"/>
  <c r="N122" i="38"/>
  <c r="L122" i="38"/>
  <c r="J122" i="38"/>
  <c r="N121" i="38"/>
  <c r="L121" i="38"/>
  <c r="J121" i="38"/>
  <c r="N120" i="38"/>
  <c r="L120" i="38"/>
  <c r="J120" i="38"/>
  <c r="N119" i="38"/>
  <c r="L119" i="38"/>
  <c r="J119" i="38"/>
  <c r="N118" i="38"/>
  <c r="L118" i="38"/>
  <c r="J118" i="38"/>
  <c r="N117" i="38"/>
  <c r="L117" i="38"/>
  <c r="J117" i="38"/>
  <c r="N116" i="38"/>
  <c r="L116" i="38"/>
  <c r="J116" i="38"/>
  <c r="N115" i="38"/>
  <c r="L115" i="38"/>
  <c r="J115" i="38"/>
  <c r="N114" i="38"/>
  <c r="L114" i="38"/>
  <c r="J114" i="38"/>
  <c r="N113" i="38"/>
  <c r="L113" i="38"/>
  <c r="J113" i="38"/>
  <c r="N112" i="38"/>
  <c r="L112" i="38"/>
  <c r="J112" i="38"/>
  <c r="N111" i="38"/>
  <c r="L111" i="38"/>
  <c r="J111" i="38"/>
  <c r="N110" i="38"/>
  <c r="L110" i="38"/>
  <c r="J110" i="38"/>
  <c r="N109" i="38"/>
  <c r="L109" i="38"/>
  <c r="J109" i="38"/>
  <c r="N108" i="38"/>
  <c r="L108" i="38"/>
  <c r="J108" i="38"/>
  <c r="N107" i="38"/>
  <c r="L107" i="38"/>
  <c r="J107" i="38"/>
  <c r="N106" i="38"/>
  <c r="L106" i="38"/>
  <c r="J106" i="38"/>
  <c r="N105" i="38"/>
  <c r="L105" i="38"/>
  <c r="J105" i="38"/>
  <c r="N104" i="38"/>
  <c r="L104" i="38"/>
  <c r="J104" i="38"/>
  <c r="N103" i="38"/>
  <c r="L103" i="38"/>
  <c r="J103" i="38"/>
  <c r="N102" i="38"/>
  <c r="L102" i="38"/>
  <c r="J102" i="38"/>
  <c r="N101" i="38"/>
  <c r="L101" i="38"/>
  <c r="J101" i="38"/>
  <c r="N100" i="38"/>
  <c r="L100" i="38"/>
  <c r="J100" i="38"/>
  <c r="N99" i="38"/>
  <c r="L99" i="38"/>
  <c r="J99" i="38"/>
  <c r="N98" i="38"/>
  <c r="L98" i="38"/>
  <c r="J98" i="38"/>
  <c r="N97" i="38"/>
  <c r="L97" i="38"/>
  <c r="J97" i="38"/>
  <c r="N96" i="38"/>
  <c r="L96" i="38"/>
  <c r="J96" i="38"/>
  <c r="N95" i="38"/>
  <c r="L95" i="38"/>
  <c r="J95" i="38"/>
  <c r="N94" i="38"/>
  <c r="L94" i="38"/>
  <c r="J94" i="38"/>
  <c r="N93" i="38"/>
  <c r="L93" i="38"/>
  <c r="J93" i="38"/>
  <c r="N92" i="38"/>
  <c r="L92" i="38"/>
  <c r="J92" i="38"/>
  <c r="N91" i="38"/>
  <c r="L91" i="38"/>
  <c r="J91" i="38"/>
  <c r="N90" i="38"/>
  <c r="L90" i="38"/>
  <c r="J90" i="38"/>
  <c r="N89" i="38"/>
  <c r="L89" i="38"/>
  <c r="J89" i="38"/>
  <c r="N88" i="38"/>
  <c r="L88" i="38"/>
  <c r="J88" i="38"/>
  <c r="N87" i="38"/>
  <c r="L87" i="38"/>
  <c r="J87" i="38"/>
  <c r="N86" i="38"/>
  <c r="L86" i="38"/>
  <c r="J86" i="38"/>
  <c r="N85" i="38"/>
  <c r="L85" i="38"/>
  <c r="J85" i="38"/>
  <c r="N84" i="38"/>
  <c r="L84" i="38"/>
  <c r="J84" i="38"/>
  <c r="N83" i="38"/>
  <c r="L83" i="38"/>
  <c r="J83" i="38"/>
  <c r="N82" i="38"/>
  <c r="L82" i="38"/>
  <c r="J82" i="38"/>
  <c r="N81" i="38"/>
  <c r="L81" i="38"/>
  <c r="J81" i="38"/>
  <c r="N80" i="38"/>
  <c r="L80" i="38"/>
  <c r="J80" i="38"/>
  <c r="N79" i="38"/>
  <c r="L79" i="38"/>
  <c r="J79" i="38"/>
  <c r="N78" i="38"/>
  <c r="L78" i="38"/>
  <c r="J78" i="38"/>
  <c r="N77" i="38"/>
  <c r="L77" i="38"/>
  <c r="J77" i="38"/>
  <c r="N76" i="38"/>
  <c r="L76" i="38"/>
  <c r="J76" i="38"/>
  <c r="N75" i="38"/>
  <c r="L75" i="38"/>
  <c r="J75" i="38"/>
  <c r="N74" i="38"/>
  <c r="L74" i="38"/>
  <c r="J74" i="38"/>
  <c r="N73" i="38"/>
  <c r="L73" i="38"/>
  <c r="J73" i="38"/>
  <c r="N72" i="38"/>
  <c r="L72" i="38"/>
  <c r="J72" i="38"/>
  <c r="N71" i="38"/>
  <c r="L71" i="38"/>
  <c r="J71" i="38"/>
  <c r="N70" i="38"/>
  <c r="L70" i="38"/>
  <c r="J70" i="38"/>
  <c r="N69" i="38"/>
  <c r="L69" i="38"/>
  <c r="J69" i="38"/>
  <c r="N68" i="38"/>
  <c r="L68" i="38"/>
  <c r="J68" i="38"/>
  <c r="N67" i="38"/>
  <c r="L67" i="38"/>
  <c r="J67" i="38"/>
  <c r="N66" i="38"/>
  <c r="L66" i="38"/>
  <c r="J66" i="38"/>
  <c r="N65" i="38"/>
  <c r="L65" i="38"/>
  <c r="J65" i="38"/>
  <c r="N64" i="38"/>
  <c r="L64" i="38"/>
  <c r="J64" i="38"/>
  <c r="N63" i="38"/>
  <c r="L63" i="38"/>
  <c r="J63" i="38"/>
  <c r="N62" i="38"/>
  <c r="L62" i="38"/>
  <c r="J62" i="38"/>
  <c r="N61" i="38"/>
  <c r="L61" i="38"/>
  <c r="J61" i="38"/>
  <c r="N60" i="38"/>
  <c r="L60" i="38"/>
  <c r="J60" i="38"/>
  <c r="N59" i="38"/>
  <c r="L59" i="38"/>
  <c r="J59" i="38"/>
  <c r="N58" i="38"/>
  <c r="L58" i="38"/>
  <c r="J58" i="38"/>
  <c r="N57" i="38"/>
  <c r="L57" i="38"/>
  <c r="J57" i="38"/>
  <c r="N56" i="38"/>
  <c r="L56" i="38"/>
  <c r="J56" i="38"/>
  <c r="N55" i="38"/>
  <c r="L55" i="38"/>
  <c r="J55" i="38"/>
  <c r="N54" i="38"/>
  <c r="L54" i="38"/>
  <c r="J54" i="38"/>
  <c r="N53" i="38"/>
  <c r="L53" i="38"/>
  <c r="J53" i="38"/>
  <c r="P52" i="38"/>
  <c r="N52" i="38"/>
  <c r="L52" i="38"/>
  <c r="J52" i="38"/>
  <c r="P51" i="38"/>
  <c r="N51" i="38"/>
  <c r="L51" i="38"/>
  <c r="J51" i="38"/>
  <c r="P50" i="38"/>
  <c r="N50" i="38"/>
  <c r="L50" i="38"/>
  <c r="J50" i="38"/>
  <c r="P49" i="38"/>
  <c r="N49" i="38"/>
  <c r="L49" i="38"/>
  <c r="J49" i="38"/>
  <c r="P48" i="38"/>
  <c r="N48" i="38"/>
  <c r="L48" i="38"/>
  <c r="J48" i="38"/>
  <c r="P47" i="38"/>
  <c r="N47" i="38"/>
  <c r="L47" i="38"/>
  <c r="J47" i="38"/>
  <c r="P46" i="38"/>
  <c r="N46" i="38"/>
  <c r="L46" i="38"/>
  <c r="J46" i="38"/>
  <c r="P45" i="38"/>
  <c r="N45" i="38"/>
  <c r="L45" i="38"/>
  <c r="J45" i="38"/>
  <c r="P44" i="38"/>
  <c r="N44" i="38"/>
  <c r="L44" i="38"/>
  <c r="J44" i="38"/>
  <c r="P43" i="38"/>
  <c r="N43" i="38"/>
  <c r="L43" i="38"/>
  <c r="J43" i="38"/>
  <c r="P42" i="38"/>
  <c r="N42" i="38"/>
  <c r="L42" i="38"/>
  <c r="J42" i="38"/>
  <c r="P41" i="38"/>
  <c r="N41" i="38"/>
  <c r="L41" i="38"/>
  <c r="J41" i="38"/>
  <c r="P40" i="38"/>
  <c r="N40" i="38"/>
  <c r="L40" i="38"/>
  <c r="J40" i="38"/>
  <c r="P39" i="38"/>
  <c r="N39" i="38"/>
  <c r="L39" i="38"/>
  <c r="J39" i="38"/>
  <c r="P38" i="38"/>
  <c r="N38" i="38"/>
  <c r="L38" i="38"/>
  <c r="J38" i="38"/>
  <c r="P37" i="38"/>
  <c r="N37" i="38"/>
  <c r="L37" i="38"/>
  <c r="J37" i="38"/>
  <c r="P36" i="38"/>
  <c r="N36" i="38"/>
  <c r="L36" i="38"/>
  <c r="J36" i="38"/>
  <c r="P35" i="38"/>
  <c r="N35" i="38"/>
  <c r="L35" i="38"/>
  <c r="J35" i="38"/>
  <c r="P34" i="38"/>
  <c r="N34" i="38"/>
  <c r="L34" i="38"/>
  <c r="J34" i="38"/>
  <c r="P33" i="38"/>
  <c r="N33" i="38"/>
  <c r="L33" i="38"/>
  <c r="J33" i="38"/>
  <c r="P32" i="38"/>
  <c r="N32" i="38"/>
  <c r="L32" i="38"/>
  <c r="J32" i="38"/>
  <c r="P31" i="38"/>
  <c r="N31" i="38"/>
  <c r="L31" i="38"/>
  <c r="J31" i="38"/>
  <c r="P30" i="38"/>
  <c r="N30" i="38"/>
  <c r="L30" i="38"/>
  <c r="J30" i="38"/>
  <c r="P29" i="38"/>
  <c r="N29" i="38"/>
  <c r="L29" i="38"/>
  <c r="J29" i="38"/>
  <c r="P28" i="38"/>
  <c r="N28" i="38"/>
  <c r="L28" i="38"/>
  <c r="J28" i="38"/>
  <c r="P27" i="38"/>
  <c r="N27" i="38"/>
  <c r="L27" i="38"/>
  <c r="J27" i="38"/>
  <c r="P26" i="38"/>
  <c r="N26" i="38"/>
  <c r="L26" i="38"/>
  <c r="J26" i="38"/>
  <c r="P25" i="38"/>
  <c r="N25" i="38"/>
  <c r="L25" i="38"/>
  <c r="J25" i="38"/>
  <c r="P24" i="38"/>
  <c r="N24" i="38"/>
  <c r="L24" i="38"/>
  <c r="J24" i="38"/>
  <c r="P23" i="38"/>
  <c r="N23" i="38"/>
  <c r="L23" i="38"/>
  <c r="J23" i="38"/>
  <c r="P22" i="38"/>
  <c r="N22" i="38"/>
  <c r="L22" i="38"/>
  <c r="J22" i="38"/>
  <c r="P21" i="38"/>
  <c r="N21" i="38"/>
  <c r="L21" i="38"/>
  <c r="J21" i="38"/>
  <c r="P20" i="38"/>
  <c r="N20" i="38"/>
  <c r="L20" i="38"/>
  <c r="J20" i="38"/>
  <c r="P19" i="38"/>
  <c r="N19" i="38"/>
  <c r="L19" i="38"/>
  <c r="J19" i="38"/>
  <c r="P18" i="38"/>
  <c r="N18" i="38"/>
  <c r="L18" i="38"/>
  <c r="J18" i="38"/>
  <c r="P17" i="38"/>
  <c r="N17" i="38"/>
  <c r="L17" i="38"/>
  <c r="J17" i="38"/>
  <c r="P16" i="38"/>
  <c r="N16" i="38"/>
  <c r="L16" i="38"/>
  <c r="J16" i="38"/>
  <c r="P15" i="38"/>
  <c r="N15" i="38"/>
  <c r="L15" i="38"/>
  <c r="J15" i="38"/>
  <c r="P14" i="38"/>
  <c r="N14" i="38"/>
  <c r="L14" i="38"/>
  <c r="J14" i="38"/>
  <c r="P13" i="38"/>
  <c r="N13" i="38"/>
  <c r="L13" i="38"/>
  <c r="J13" i="38"/>
  <c r="P12" i="38"/>
  <c r="N12" i="38"/>
  <c r="L12" i="38"/>
  <c r="J12" i="38"/>
  <c r="P11" i="38"/>
  <c r="N11" i="38"/>
  <c r="L11" i="38"/>
  <c r="J11" i="38"/>
  <c r="P10" i="38"/>
  <c r="N10" i="38"/>
  <c r="L10" i="38"/>
  <c r="J10" i="38"/>
  <c r="B10" i="38"/>
  <c r="R9" i="38"/>
  <c r="P9" i="38"/>
  <c r="N9" i="38"/>
  <c r="L9" i="38"/>
  <c r="J9" i="38"/>
  <c r="R8" i="38"/>
  <c r="P8" i="38"/>
  <c r="N8" i="38"/>
  <c r="L8" i="38"/>
  <c r="J8" i="38"/>
  <c r="R7" i="38"/>
  <c r="P7" i="38"/>
  <c r="N7" i="38"/>
  <c r="L7" i="38"/>
  <c r="J7" i="38"/>
  <c r="R6" i="38"/>
  <c r="P6" i="38"/>
  <c r="N6" i="38"/>
  <c r="L6" i="38"/>
  <c r="J6" i="38"/>
  <c r="R5" i="38"/>
  <c r="P5" i="38"/>
  <c r="N5" i="38"/>
  <c r="L5" i="38"/>
  <c r="J5" i="38"/>
  <c r="R4" i="38"/>
  <c r="P4" i="38"/>
  <c r="N4" i="38"/>
  <c r="L4" i="38"/>
  <c r="J4" i="38"/>
  <c r="R3" i="38"/>
  <c r="P3" i="38"/>
  <c r="N3" i="38"/>
  <c r="L3" i="38"/>
  <c r="R2" i="38"/>
  <c r="P2" i="38"/>
  <c r="N2" i="38"/>
  <c r="L2" i="38"/>
  <c r="J2" i="38"/>
  <c r="N137" i="37"/>
  <c r="J137" i="37"/>
  <c r="N136" i="37"/>
  <c r="J136" i="37"/>
  <c r="N135" i="37"/>
  <c r="J135" i="37"/>
  <c r="N134" i="37"/>
  <c r="J134" i="37"/>
  <c r="N133" i="37"/>
  <c r="J133" i="37"/>
  <c r="N132" i="37"/>
  <c r="J132" i="37"/>
  <c r="N131" i="37"/>
  <c r="J131" i="37"/>
  <c r="N130" i="37"/>
  <c r="J130" i="37"/>
  <c r="N129" i="37"/>
  <c r="J129" i="37"/>
  <c r="N128" i="37"/>
  <c r="J128" i="37"/>
  <c r="N127" i="37"/>
  <c r="J127" i="37"/>
  <c r="N126" i="37"/>
  <c r="J126" i="37"/>
  <c r="N125" i="37"/>
  <c r="J125" i="37"/>
  <c r="N124" i="37"/>
  <c r="J124" i="37"/>
  <c r="N123" i="37"/>
  <c r="L123" i="37"/>
  <c r="J123" i="37"/>
  <c r="N122" i="37"/>
  <c r="L122" i="37"/>
  <c r="J122" i="37"/>
  <c r="N121" i="37"/>
  <c r="L121" i="37"/>
  <c r="J121" i="37"/>
  <c r="N120" i="37"/>
  <c r="L120" i="37"/>
  <c r="J120" i="37"/>
  <c r="N119" i="37"/>
  <c r="L119" i="37"/>
  <c r="J119" i="37"/>
  <c r="N118" i="37"/>
  <c r="L118" i="37"/>
  <c r="J118" i="37"/>
  <c r="N117" i="37"/>
  <c r="L117" i="37"/>
  <c r="J117" i="37"/>
  <c r="N116" i="37"/>
  <c r="L116" i="37"/>
  <c r="J116" i="37"/>
  <c r="N115" i="37"/>
  <c r="L115" i="37"/>
  <c r="J115" i="37"/>
  <c r="N114" i="37"/>
  <c r="L114" i="37"/>
  <c r="J114" i="37"/>
  <c r="N113" i="37"/>
  <c r="L113" i="37"/>
  <c r="J113" i="37"/>
  <c r="N112" i="37"/>
  <c r="L112" i="37"/>
  <c r="J112" i="37"/>
  <c r="N111" i="37"/>
  <c r="L111" i="37"/>
  <c r="J111" i="37"/>
  <c r="N110" i="37"/>
  <c r="L110" i="37"/>
  <c r="J110" i="37"/>
  <c r="N109" i="37"/>
  <c r="L109" i="37"/>
  <c r="J109" i="37"/>
  <c r="N108" i="37"/>
  <c r="L108" i="37"/>
  <c r="J108" i="37"/>
  <c r="N107" i="37"/>
  <c r="L107" i="37"/>
  <c r="J107" i="37"/>
  <c r="N106" i="37"/>
  <c r="L106" i="37"/>
  <c r="J106" i="37"/>
  <c r="N105" i="37"/>
  <c r="L105" i="37"/>
  <c r="J105" i="37"/>
  <c r="N104" i="37"/>
  <c r="L104" i="37"/>
  <c r="J104" i="37"/>
  <c r="N103" i="37"/>
  <c r="L103" i="37"/>
  <c r="J103" i="37"/>
  <c r="N102" i="37"/>
  <c r="L102" i="37"/>
  <c r="J102" i="37"/>
  <c r="N101" i="37"/>
  <c r="L101" i="37"/>
  <c r="J101" i="37"/>
  <c r="N100" i="37"/>
  <c r="L100" i="37"/>
  <c r="J100" i="37"/>
  <c r="N99" i="37"/>
  <c r="L99" i="37"/>
  <c r="J99" i="37"/>
  <c r="N98" i="37"/>
  <c r="L98" i="37"/>
  <c r="J98" i="37"/>
  <c r="N97" i="37"/>
  <c r="L97" i="37"/>
  <c r="J97" i="37"/>
  <c r="N96" i="37"/>
  <c r="L96" i="37"/>
  <c r="J96" i="37"/>
  <c r="N95" i="37"/>
  <c r="L95" i="37"/>
  <c r="J95" i="37"/>
  <c r="N94" i="37"/>
  <c r="L94" i="37"/>
  <c r="J94" i="37"/>
  <c r="N93" i="37"/>
  <c r="L93" i="37"/>
  <c r="J93" i="37"/>
  <c r="N92" i="37"/>
  <c r="L92" i="37"/>
  <c r="J92" i="37"/>
  <c r="N91" i="37"/>
  <c r="L91" i="37"/>
  <c r="J91" i="37"/>
  <c r="N90" i="37"/>
  <c r="L90" i="37"/>
  <c r="J90" i="37"/>
  <c r="N89" i="37"/>
  <c r="L89" i="37"/>
  <c r="J89" i="37"/>
  <c r="N88" i="37"/>
  <c r="L88" i="37"/>
  <c r="J88" i="37"/>
  <c r="N87" i="37"/>
  <c r="L87" i="37"/>
  <c r="J87" i="37"/>
  <c r="N86" i="37"/>
  <c r="L86" i="37"/>
  <c r="J86" i="37"/>
  <c r="N85" i="37"/>
  <c r="L85" i="37"/>
  <c r="J85" i="37"/>
  <c r="N84" i="37"/>
  <c r="L84" i="37"/>
  <c r="J84" i="37"/>
  <c r="N83" i="37"/>
  <c r="L83" i="37"/>
  <c r="J83" i="37"/>
  <c r="N82" i="37"/>
  <c r="L82" i="37"/>
  <c r="J82" i="37"/>
  <c r="N81" i="37"/>
  <c r="L81" i="37"/>
  <c r="J81" i="37"/>
  <c r="N80" i="37"/>
  <c r="L80" i="37"/>
  <c r="J80" i="37"/>
  <c r="N79" i="37"/>
  <c r="L79" i="37"/>
  <c r="J79" i="37"/>
  <c r="N78" i="37"/>
  <c r="L78" i="37"/>
  <c r="J78" i="37"/>
  <c r="N77" i="37"/>
  <c r="L77" i="37"/>
  <c r="J77" i="37"/>
  <c r="N76" i="37"/>
  <c r="L76" i="37"/>
  <c r="J76" i="37"/>
  <c r="N75" i="37"/>
  <c r="L75" i="37"/>
  <c r="J75" i="37"/>
  <c r="N74" i="37"/>
  <c r="L74" i="37"/>
  <c r="J74" i="37"/>
  <c r="N73" i="37"/>
  <c r="L73" i="37"/>
  <c r="J73" i="37"/>
  <c r="N72" i="37"/>
  <c r="L72" i="37"/>
  <c r="J72" i="37"/>
  <c r="N71" i="37"/>
  <c r="L71" i="37"/>
  <c r="J71" i="37"/>
  <c r="N70" i="37"/>
  <c r="L70" i="37"/>
  <c r="J70" i="37"/>
  <c r="N69" i="37"/>
  <c r="L69" i="37"/>
  <c r="J69" i="37"/>
  <c r="N68" i="37"/>
  <c r="L68" i="37"/>
  <c r="J68" i="37"/>
  <c r="N67" i="37"/>
  <c r="L67" i="37"/>
  <c r="J67" i="37"/>
  <c r="N66" i="37"/>
  <c r="L66" i="37"/>
  <c r="J66" i="37"/>
  <c r="N65" i="37"/>
  <c r="L65" i="37"/>
  <c r="J65" i="37"/>
  <c r="N64" i="37"/>
  <c r="L64" i="37"/>
  <c r="J64" i="37"/>
  <c r="N63" i="37"/>
  <c r="L63" i="37"/>
  <c r="J63" i="37"/>
  <c r="N62" i="37"/>
  <c r="L62" i="37"/>
  <c r="J62" i="37"/>
  <c r="N61" i="37"/>
  <c r="L61" i="37"/>
  <c r="J61" i="37"/>
  <c r="N60" i="37"/>
  <c r="L60" i="37"/>
  <c r="J60" i="37"/>
  <c r="N59" i="37"/>
  <c r="L59" i="37"/>
  <c r="J59" i="37"/>
  <c r="N58" i="37"/>
  <c r="L58" i="37"/>
  <c r="J58" i="37"/>
  <c r="N57" i="37"/>
  <c r="L57" i="37"/>
  <c r="J57" i="37"/>
  <c r="N56" i="37"/>
  <c r="L56" i="37"/>
  <c r="J56" i="37"/>
  <c r="N55" i="37"/>
  <c r="L55" i="37"/>
  <c r="J55" i="37"/>
  <c r="N54" i="37"/>
  <c r="L54" i="37"/>
  <c r="J54" i="37"/>
  <c r="N53" i="37"/>
  <c r="L53" i="37"/>
  <c r="J53" i="37"/>
  <c r="P52" i="37"/>
  <c r="N52" i="37"/>
  <c r="L52" i="37"/>
  <c r="J52" i="37"/>
  <c r="P51" i="37"/>
  <c r="N51" i="37"/>
  <c r="L51" i="37"/>
  <c r="J51" i="37"/>
  <c r="P50" i="37"/>
  <c r="N50" i="37"/>
  <c r="L50" i="37"/>
  <c r="J50" i="37"/>
  <c r="P49" i="37"/>
  <c r="N49" i="37"/>
  <c r="L49" i="37"/>
  <c r="J49" i="37"/>
  <c r="P48" i="37"/>
  <c r="N48" i="37"/>
  <c r="L48" i="37"/>
  <c r="J48" i="37"/>
  <c r="P47" i="37"/>
  <c r="N47" i="37"/>
  <c r="L47" i="37"/>
  <c r="J47" i="37"/>
  <c r="P46" i="37"/>
  <c r="N46" i="37"/>
  <c r="L46" i="37"/>
  <c r="J46" i="37"/>
  <c r="P45" i="37"/>
  <c r="N45" i="37"/>
  <c r="L45" i="37"/>
  <c r="J45" i="37"/>
  <c r="P44" i="37"/>
  <c r="N44" i="37"/>
  <c r="L44" i="37"/>
  <c r="J44" i="37"/>
  <c r="P43" i="37"/>
  <c r="N43" i="37"/>
  <c r="L43" i="37"/>
  <c r="J43" i="37"/>
  <c r="P42" i="37"/>
  <c r="N42" i="37"/>
  <c r="L42" i="37"/>
  <c r="J42" i="37"/>
  <c r="P41" i="37"/>
  <c r="N41" i="37"/>
  <c r="L41" i="37"/>
  <c r="J41" i="37"/>
  <c r="P40" i="37"/>
  <c r="N40" i="37"/>
  <c r="L40" i="37"/>
  <c r="J40" i="37"/>
  <c r="P39" i="37"/>
  <c r="N39" i="37"/>
  <c r="L39" i="37"/>
  <c r="J39" i="37"/>
  <c r="P38" i="37"/>
  <c r="N38" i="37"/>
  <c r="L38" i="37"/>
  <c r="J38" i="37"/>
  <c r="P37" i="37"/>
  <c r="N37" i="37"/>
  <c r="L37" i="37"/>
  <c r="J37" i="37"/>
  <c r="P36" i="37"/>
  <c r="N36" i="37"/>
  <c r="L36" i="37"/>
  <c r="J36" i="37"/>
  <c r="P35" i="37"/>
  <c r="N35" i="37"/>
  <c r="L35" i="37"/>
  <c r="J35" i="37"/>
  <c r="P34" i="37"/>
  <c r="N34" i="37"/>
  <c r="L34" i="37"/>
  <c r="J34" i="37"/>
  <c r="P33" i="37"/>
  <c r="N33" i="37"/>
  <c r="L33" i="37"/>
  <c r="J33" i="37"/>
  <c r="P32" i="37"/>
  <c r="N32" i="37"/>
  <c r="L32" i="37"/>
  <c r="J32" i="37"/>
  <c r="P31" i="37"/>
  <c r="N31" i="37"/>
  <c r="L31" i="37"/>
  <c r="J31" i="37"/>
  <c r="P30" i="37"/>
  <c r="N30" i="37"/>
  <c r="L30" i="37"/>
  <c r="J30" i="37"/>
  <c r="P29" i="37"/>
  <c r="N29" i="37"/>
  <c r="L29" i="37"/>
  <c r="J29" i="37"/>
  <c r="P28" i="37"/>
  <c r="N28" i="37"/>
  <c r="L28" i="37"/>
  <c r="J28" i="37"/>
  <c r="P27" i="37"/>
  <c r="N27" i="37"/>
  <c r="L27" i="37"/>
  <c r="J27" i="37"/>
  <c r="P26" i="37"/>
  <c r="N26" i="37"/>
  <c r="L26" i="37"/>
  <c r="J26" i="37"/>
  <c r="P25" i="37"/>
  <c r="N25" i="37"/>
  <c r="L25" i="37"/>
  <c r="J25" i="37"/>
  <c r="P24" i="37"/>
  <c r="N24" i="37"/>
  <c r="L24" i="37"/>
  <c r="J24" i="37"/>
  <c r="P23" i="37"/>
  <c r="N23" i="37"/>
  <c r="L23" i="37"/>
  <c r="J23" i="37"/>
  <c r="P22" i="37"/>
  <c r="N22" i="37"/>
  <c r="L22" i="37"/>
  <c r="J22" i="37"/>
  <c r="P21" i="37"/>
  <c r="N21" i="37"/>
  <c r="L21" i="37"/>
  <c r="J21" i="37"/>
  <c r="P20" i="37"/>
  <c r="N20" i="37"/>
  <c r="L20" i="37"/>
  <c r="J20" i="37"/>
  <c r="P19" i="37"/>
  <c r="N19" i="37"/>
  <c r="L19" i="37"/>
  <c r="J19" i="37"/>
  <c r="P18" i="37"/>
  <c r="N18" i="37"/>
  <c r="L18" i="37"/>
  <c r="J18" i="37"/>
  <c r="P17" i="37"/>
  <c r="N17" i="37"/>
  <c r="L17" i="37"/>
  <c r="J17" i="37"/>
  <c r="P16" i="37"/>
  <c r="N16" i="37"/>
  <c r="L16" i="37"/>
  <c r="J16" i="37"/>
  <c r="P15" i="37"/>
  <c r="N15" i="37"/>
  <c r="L15" i="37"/>
  <c r="J15" i="37"/>
  <c r="P14" i="37"/>
  <c r="N14" i="37"/>
  <c r="L14" i="37"/>
  <c r="J14" i="37"/>
  <c r="P13" i="37"/>
  <c r="N13" i="37"/>
  <c r="L13" i="37"/>
  <c r="J13" i="37"/>
  <c r="P12" i="37"/>
  <c r="N12" i="37"/>
  <c r="L12" i="37"/>
  <c r="J12" i="37"/>
  <c r="P11" i="37"/>
  <c r="N11" i="37"/>
  <c r="L11" i="37"/>
  <c r="J11" i="37"/>
  <c r="P10" i="37"/>
  <c r="N10" i="37"/>
  <c r="L10" i="37"/>
  <c r="J10" i="37"/>
  <c r="B10" i="37"/>
  <c r="R9" i="37"/>
  <c r="P9" i="37"/>
  <c r="N9" i="37"/>
  <c r="L9" i="37"/>
  <c r="J9" i="37"/>
  <c r="R8" i="37"/>
  <c r="P8" i="37"/>
  <c r="N8" i="37"/>
  <c r="L8" i="37"/>
  <c r="J8" i="37"/>
  <c r="R7" i="37"/>
  <c r="P7" i="37"/>
  <c r="N7" i="37"/>
  <c r="L7" i="37"/>
  <c r="J7" i="37"/>
  <c r="R6" i="37"/>
  <c r="P6" i="37"/>
  <c r="N6" i="37"/>
  <c r="L6" i="37"/>
  <c r="J6" i="37"/>
  <c r="R5" i="37"/>
  <c r="P5" i="37"/>
  <c r="N5" i="37"/>
  <c r="L5" i="37"/>
  <c r="J5" i="37"/>
  <c r="R4" i="37"/>
  <c r="P4" i="37"/>
  <c r="N4" i="37"/>
  <c r="L4" i="37"/>
  <c r="J4" i="37"/>
  <c r="R3" i="37"/>
  <c r="P3" i="37"/>
  <c r="N3" i="37"/>
  <c r="L3" i="37"/>
  <c r="R2" i="37"/>
  <c r="P2" i="37"/>
  <c r="N2" i="37"/>
  <c r="L2" i="37"/>
  <c r="J2" i="37"/>
  <c r="M2" i="39"/>
  <c r="A2" i="21" l="1"/>
  <c r="J3" i="43" s="1"/>
  <c r="N3" i="25"/>
  <c r="R3" i="25"/>
  <c r="R4" i="25"/>
  <c r="R5" i="25"/>
  <c r="R6" i="25"/>
  <c r="R7" i="25"/>
  <c r="R8" i="25"/>
  <c r="R9" i="25"/>
  <c r="R2" i="25"/>
  <c r="P3" i="25"/>
  <c r="P4" i="25"/>
  <c r="P5" i="25"/>
  <c r="P6" i="25"/>
  <c r="P7" i="25"/>
  <c r="P8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2" i="25"/>
  <c r="J4" i="25"/>
  <c r="J5" i="25"/>
  <c r="J6" i="25"/>
  <c r="J7" i="25"/>
  <c r="J8" i="25"/>
  <c r="J9" i="25"/>
  <c r="J10" i="25"/>
  <c r="J11" i="25"/>
  <c r="J12" i="25"/>
  <c r="J13" i="25"/>
  <c r="J14" i="25"/>
  <c r="J15" i="25"/>
  <c r="J16" i="25"/>
  <c r="J17" i="25"/>
  <c r="J18" i="25"/>
  <c r="J19" i="25"/>
  <c r="J20" i="25"/>
  <c r="J21" i="25"/>
  <c r="J22" i="25"/>
  <c r="J23" i="25"/>
  <c r="J24" i="25"/>
  <c r="J25" i="25"/>
  <c r="J26" i="25"/>
  <c r="J27" i="25"/>
  <c r="J28" i="25"/>
  <c r="J29" i="25"/>
  <c r="J30" i="25"/>
  <c r="J31" i="25"/>
  <c r="J32" i="25"/>
  <c r="J33" i="25"/>
  <c r="J34" i="25"/>
  <c r="J35" i="25"/>
  <c r="J36" i="25"/>
  <c r="J37" i="25"/>
  <c r="J38" i="25"/>
  <c r="J39" i="25"/>
  <c r="J40" i="25"/>
  <c r="J41" i="25"/>
  <c r="J42" i="25"/>
  <c r="J43" i="25"/>
  <c r="J44" i="25"/>
  <c r="J45" i="25"/>
  <c r="J46" i="25"/>
  <c r="J47" i="25"/>
  <c r="J48" i="25"/>
  <c r="J49" i="25"/>
  <c r="J50" i="25"/>
  <c r="J51" i="25"/>
  <c r="J52" i="25"/>
  <c r="J53" i="25"/>
  <c r="J54" i="25"/>
  <c r="J55" i="25"/>
  <c r="J56" i="25"/>
  <c r="J57" i="25"/>
  <c r="J58" i="25"/>
  <c r="J59" i="25"/>
  <c r="J60" i="25"/>
  <c r="J61" i="25"/>
  <c r="J62" i="25"/>
  <c r="J63" i="25"/>
  <c r="J64" i="25"/>
  <c r="J65" i="25"/>
  <c r="J66" i="25"/>
  <c r="J67" i="25"/>
  <c r="J68" i="25"/>
  <c r="J69" i="25"/>
  <c r="J70" i="25"/>
  <c r="J71" i="25"/>
  <c r="J72" i="25"/>
  <c r="J73" i="25"/>
  <c r="J74" i="25"/>
  <c r="J75" i="25"/>
  <c r="J76" i="25"/>
  <c r="J77" i="25"/>
  <c r="J78" i="25"/>
  <c r="J79" i="25"/>
  <c r="J80" i="25"/>
  <c r="J81" i="25"/>
  <c r="J82" i="25"/>
  <c r="J83" i="25"/>
  <c r="J84" i="25"/>
  <c r="J85" i="25"/>
  <c r="J86" i="25"/>
  <c r="J87" i="25"/>
  <c r="J88" i="25"/>
  <c r="J89" i="25"/>
  <c r="J90" i="25"/>
  <c r="J91" i="25"/>
  <c r="J92" i="25"/>
  <c r="J93" i="25"/>
  <c r="J94" i="25"/>
  <c r="J95" i="25"/>
  <c r="J96" i="25"/>
  <c r="J97" i="25"/>
  <c r="J98" i="25"/>
  <c r="J99" i="25"/>
  <c r="J100" i="25"/>
  <c r="J101" i="25"/>
  <c r="J102" i="25"/>
  <c r="J103" i="25"/>
  <c r="J104" i="25"/>
  <c r="J105" i="25"/>
  <c r="J106" i="25"/>
  <c r="J107" i="25"/>
  <c r="J108" i="25"/>
  <c r="J109" i="25"/>
  <c r="J110" i="25"/>
  <c r="J111" i="25"/>
  <c r="J112" i="25"/>
  <c r="J113" i="25"/>
  <c r="J114" i="25"/>
  <c r="J115" i="25"/>
  <c r="J116" i="25"/>
  <c r="J117" i="25"/>
  <c r="J118" i="25"/>
  <c r="J119" i="25"/>
  <c r="J120" i="25"/>
  <c r="J121" i="25"/>
  <c r="J122" i="25"/>
  <c r="J123" i="25"/>
  <c r="J124" i="25"/>
  <c r="J125" i="25"/>
  <c r="J126" i="25"/>
  <c r="J127" i="25"/>
  <c r="J128" i="25"/>
  <c r="J129" i="25"/>
  <c r="J130" i="25"/>
  <c r="J131" i="25"/>
  <c r="J132" i="25"/>
  <c r="J133" i="25"/>
  <c r="J134" i="25"/>
  <c r="J135" i="25"/>
  <c r="J136" i="25"/>
  <c r="J137" i="25"/>
  <c r="J2" i="25"/>
  <c r="L3" i="25"/>
  <c r="L4" i="25"/>
  <c r="L5" i="25"/>
  <c r="L6" i="25"/>
  <c r="L7" i="25"/>
  <c r="L8" i="25"/>
  <c r="L9" i="25"/>
  <c r="L10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24" i="25"/>
  <c r="L25" i="25"/>
  <c r="L26" i="25"/>
  <c r="L27" i="25"/>
  <c r="L28" i="25"/>
  <c r="L29" i="25"/>
  <c r="L30" i="25"/>
  <c r="L31" i="25"/>
  <c r="L32" i="25"/>
  <c r="L33" i="25"/>
  <c r="L34" i="25"/>
  <c r="L35" i="25"/>
  <c r="L36" i="25"/>
  <c r="L37" i="25"/>
  <c r="L38" i="25"/>
  <c r="L39" i="25"/>
  <c r="L40" i="25"/>
  <c r="L41" i="25"/>
  <c r="L42" i="25"/>
  <c r="L43" i="25"/>
  <c r="L44" i="25"/>
  <c r="L45" i="25"/>
  <c r="L46" i="25"/>
  <c r="L47" i="25"/>
  <c r="L48" i="25"/>
  <c r="L49" i="25"/>
  <c r="L50" i="25"/>
  <c r="L51" i="25"/>
  <c r="L52" i="25"/>
  <c r="L53" i="25"/>
  <c r="L54" i="25"/>
  <c r="L55" i="25"/>
  <c r="L56" i="25"/>
  <c r="L57" i="25"/>
  <c r="L58" i="25"/>
  <c r="L59" i="25"/>
  <c r="L60" i="25"/>
  <c r="L61" i="25"/>
  <c r="L62" i="25"/>
  <c r="L63" i="25"/>
  <c r="L64" i="25"/>
  <c r="L65" i="25"/>
  <c r="L66" i="25"/>
  <c r="L67" i="25"/>
  <c r="L68" i="25"/>
  <c r="L69" i="25"/>
  <c r="L70" i="25"/>
  <c r="L71" i="25"/>
  <c r="L72" i="25"/>
  <c r="L73" i="25"/>
  <c r="L74" i="25"/>
  <c r="L75" i="25"/>
  <c r="L76" i="25"/>
  <c r="L77" i="25"/>
  <c r="L78" i="25"/>
  <c r="L79" i="25"/>
  <c r="L80" i="25"/>
  <c r="L81" i="25"/>
  <c r="L82" i="25"/>
  <c r="L83" i="25"/>
  <c r="L84" i="25"/>
  <c r="L85" i="25"/>
  <c r="L86" i="25"/>
  <c r="L87" i="25"/>
  <c r="L88" i="25"/>
  <c r="L89" i="25"/>
  <c r="L90" i="25"/>
  <c r="L91" i="25"/>
  <c r="L92" i="25"/>
  <c r="L93" i="25"/>
  <c r="L94" i="25"/>
  <c r="L95" i="25"/>
  <c r="L96" i="25"/>
  <c r="L97" i="25"/>
  <c r="L98" i="25"/>
  <c r="L99" i="25"/>
  <c r="L100" i="25"/>
  <c r="L101" i="25"/>
  <c r="L102" i="25"/>
  <c r="L103" i="25"/>
  <c r="L104" i="25"/>
  <c r="L105" i="25"/>
  <c r="L106" i="25"/>
  <c r="L107" i="25"/>
  <c r="L108" i="25"/>
  <c r="L109" i="25"/>
  <c r="L110" i="25"/>
  <c r="L111" i="25"/>
  <c r="L112" i="25"/>
  <c r="L113" i="25"/>
  <c r="L114" i="25"/>
  <c r="L115" i="25"/>
  <c r="L116" i="25"/>
  <c r="L117" i="25"/>
  <c r="L118" i="25"/>
  <c r="L119" i="25"/>
  <c r="L120" i="25"/>
  <c r="L121" i="25"/>
  <c r="L122" i="25"/>
  <c r="L123" i="25"/>
  <c r="L2" i="25"/>
  <c r="N4" i="25"/>
  <c r="N5" i="25"/>
  <c r="N6" i="25"/>
  <c r="N7" i="25"/>
  <c r="N8" i="25"/>
  <c r="N9" i="25"/>
  <c r="N10" i="25"/>
  <c r="N11" i="25"/>
  <c r="N12" i="25"/>
  <c r="N13" i="25"/>
  <c r="N14" i="25"/>
  <c r="N15" i="25"/>
  <c r="N16" i="25"/>
  <c r="N17" i="25"/>
  <c r="N18" i="25"/>
  <c r="N19" i="25"/>
  <c r="N20" i="25"/>
  <c r="N21" i="25"/>
  <c r="N22" i="25"/>
  <c r="N23" i="25"/>
  <c r="N24" i="25"/>
  <c r="N25" i="25"/>
  <c r="N26" i="25"/>
  <c r="N27" i="25"/>
  <c r="N28" i="25"/>
  <c r="N29" i="25"/>
  <c r="N30" i="25"/>
  <c r="N31" i="25"/>
  <c r="N32" i="25"/>
  <c r="N33" i="25"/>
  <c r="N34" i="25"/>
  <c r="N35" i="25"/>
  <c r="N36" i="25"/>
  <c r="N37" i="25"/>
  <c r="N38" i="25"/>
  <c r="N39" i="25"/>
  <c r="N40" i="25"/>
  <c r="N41" i="25"/>
  <c r="N42" i="25"/>
  <c r="N43" i="25"/>
  <c r="N44" i="25"/>
  <c r="N45" i="25"/>
  <c r="N46" i="25"/>
  <c r="N47" i="25"/>
  <c r="N48" i="25"/>
  <c r="N49" i="25"/>
  <c r="N50" i="25"/>
  <c r="N51" i="25"/>
  <c r="N52" i="25"/>
  <c r="N53" i="25"/>
  <c r="N54" i="25"/>
  <c r="N55" i="25"/>
  <c r="N56" i="25"/>
  <c r="N57" i="25"/>
  <c r="N58" i="25"/>
  <c r="N59" i="25"/>
  <c r="N60" i="25"/>
  <c r="N61" i="25"/>
  <c r="N62" i="25"/>
  <c r="N63" i="25"/>
  <c r="N64" i="25"/>
  <c r="N65" i="25"/>
  <c r="N66" i="25"/>
  <c r="N67" i="25"/>
  <c r="N68" i="25"/>
  <c r="N69" i="25"/>
  <c r="N70" i="25"/>
  <c r="N71" i="25"/>
  <c r="N72" i="25"/>
  <c r="N73" i="25"/>
  <c r="N74" i="25"/>
  <c r="N75" i="25"/>
  <c r="N76" i="25"/>
  <c r="N77" i="25"/>
  <c r="N78" i="25"/>
  <c r="N79" i="25"/>
  <c r="N80" i="25"/>
  <c r="N81" i="25"/>
  <c r="N82" i="25"/>
  <c r="N83" i="25"/>
  <c r="N84" i="25"/>
  <c r="N85" i="25"/>
  <c r="N86" i="25"/>
  <c r="N87" i="25"/>
  <c r="N88" i="25"/>
  <c r="N89" i="25"/>
  <c r="N90" i="25"/>
  <c r="N91" i="25"/>
  <c r="N92" i="25"/>
  <c r="N93" i="25"/>
  <c r="N94" i="25"/>
  <c r="N95" i="25"/>
  <c r="N96" i="25"/>
  <c r="N97" i="25"/>
  <c r="N98" i="25"/>
  <c r="N99" i="25"/>
  <c r="N100" i="25"/>
  <c r="N101" i="25"/>
  <c r="N102" i="25"/>
  <c r="N103" i="25"/>
  <c r="N104" i="25"/>
  <c r="N105" i="25"/>
  <c r="N106" i="25"/>
  <c r="N107" i="25"/>
  <c r="N108" i="25"/>
  <c r="N109" i="25"/>
  <c r="N110" i="25"/>
  <c r="N111" i="25"/>
  <c r="N112" i="25"/>
  <c r="N113" i="25"/>
  <c r="N114" i="25"/>
  <c r="N115" i="25"/>
  <c r="N116" i="25"/>
  <c r="N117" i="25"/>
  <c r="N118" i="25"/>
  <c r="N119" i="25"/>
  <c r="N120" i="25"/>
  <c r="N121" i="25"/>
  <c r="N122" i="25"/>
  <c r="N123" i="25"/>
  <c r="N124" i="25"/>
  <c r="N125" i="25"/>
  <c r="N126" i="25"/>
  <c r="N127" i="25"/>
  <c r="N128" i="25"/>
  <c r="N129" i="25"/>
  <c r="N130" i="25"/>
  <c r="N131" i="25"/>
  <c r="N132" i="25"/>
  <c r="N133" i="25"/>
  <c r="N134" i="25"/>
  <c r="N135" i="25"/>
  <c r="N136" i="25"/>
  <c r="N137" i="25"/>
  <c r="N2" i="25"/>
  <c r="B10" i="25"/>
  <c r="T3" i="21"/>
  <c r="T4" i="21"/>
  <c r="T5" i="21"/>
  <c r="T6" i="21"/>
  <c r="T7" i="21"/>
  <c r="T8" i="21"/>
  <c r="T9" i="21"/>
  <c r="T10" i="21"/>
  <c r="T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1" i="21"/>
  <c r="T92" i="21"/>
  <c r="T93" i="21"/>
  <c r="T94" i="21"/>
  <c r="T95" i="21"/>
  <c r="T96" i="21"/>
  <c r="T97" i="21"/>
  <c r="T98" i="21"/>
  <c r="T99" i="21"/>
  <c r="T100" i="21"/>
  <c r="T101" i="21"/>
  <c r="T102" i="21"/>
  <c r="T103" i="21"/>
  <c r="T104" i="21"/>
  <c r="T105" i="21"/>
  <c r="T106" i="21"/>
  <c r="T107" i="21"/>
  <c r="T108" i="21"/>
  <c r="T109" i="21"/>
  <c r="T110" i="21"/>
  <c r="T111" i="21"/>
  <c r="T112" i="21"/>
  <c r="T113" i="21"/>
  <c r="T114" i="21"/>
  <c r="T115" i="21"/>
  <c r="T116" i="21"/>
  <c r="T117" i="21"/>
  <c r="T118" i="21"/>
  <c r="T119" i="21"/>
  <c r="T120" i="21"/>
  <c r="T121" i="21"/>
  <c r="T122" i="21"/>
  <c r="T123" i="21"/>
  <c r="T124" i="21"/>
  <c r="T125" i="21"/>
  <c r="T126" i="21"/>
  <c r="T127" i="21"/>
  <c r="T128" i="21"/>
  <c r="T129" i="21"/>
  <c r="T130" i="21"/>
  <c r="T131" i="21"/>
  <c r="T132" i="21"/>
  <c r="T133" i="21"/>
  <c r="T134" i="21"/>
  <c r="T135" i="21"/>
  <c r="T136" i="21"/>
  <c r="D3" i="23"/>
  <c r="E3" i="23"/>
  <c r="F3" i="23"/>
  <c r="G3" i="23"/>
  <c r="H3" i="23"/>
  <c r="I3" i="23"/>
  <c r="J3" i="23"/>
  <c r="K3" i="23"/>
  <c r="D4" i="23"/>
  <c r="E4" i="23"/>
  <c r="F4" i="23"/>
  <c r="G4" i="23"/>
  <c r="H4" i="23"/>
  <c r="I4" i="23"/>
  <c r="J4" i="23"/>
  <c r="K4" i="23"/>
  <c r="D5" i="23"/>
  <c r="E5" i="23"/>
  <c r="F5" i="23"/>
  <c r="G5" i="23"/>
  <c r="H5" i="23"/>
  <c r="I5" i="23"/>
  <c r="J5" i="23"/>
  <c r="K5" i="23"/>
  <c r="D6" i="23"/>
  <c r="E6" i="23"/>
  <c r="F6" i="23"/>
  <c r="G6" i="23"/>
  <c r="H6" i="23"/>
  <c r="I6" i="23"/>
  <c r="J6" i="23"/>
  <c r="K6" i="23"/>
  <c r="D7" i="23"/>
  <c r="E7" i="23"/>
  <c r="F7" i="23"/>
  <c r="G7" i="23"/>
  <c r="H7" i="23"/>
  <c r="I7" i="23"/>
  <c r="J7" i="23"/>
  <c r="K7" i="23"/>
  <c r="D8" i="23"/>
  <c r="E8" i="23"/>
  <c r="F8" i="23"/>
  <c r="G8" i="23"/>
  <c r="H8" i="23"/>
  <c r="I8" i="23"/>
  <c r="J8" i="23"/>
  <c r="K8" i="23"/>
  <c r="D9" i="23"/>
  <c r="E9" i="23"/>
  <c r="F9" i="23"/>
  <c r="G9" i="23"/>
  <c r="H9" i="23"/>
  <c r="I9" i="23"/>
  <c r="J9" i="23"/>
  <c r="K9" i="23"/>
  <c r="D10" i="23"/>
  <c r="E10" i="23"/>
  <c r="F10" i="23"/>
  <c r="G10" i="23"/>
  <c r="H10" i="23"/>
  <c r="I10" i="23"/>
  <c r="J10" i="23"/>
  <c r="K10" i="23"/>
  <c r="D11" i="23"/>
  <c r="E11" i="23"/>
  <c r="F11" i="23"/>
  <c r="G11" i="23"/>
  <c r="H11" i="23"/>
  <c r="I11" i="23"/>
  <c r="J11" i="23"/>
  <c r="K11" i="23"/>
  <c r="D12" i="23"/>
  <c r="E12" i="23"/>
  <c r="F12" i="23"/>
  <c r="G12" i="23"/>
  <c r="H12" i="23"/>
  <c r="I12" i="23"/>
  <c r="J12" i="23"/>
  <c r="K12" i="23"/>
  <c r="D13" i="23"/>
  <c r="E13" i="23"/>
  <c r="F13" i="23"/>
  <c r="G13" i="23"/>
  <c r="H13" i="23"/>
  <c r="I13" i="23"/>
  <c r="J13" i="23"/>
  <c r="K13" i="23"/>
  <c r="D14" i="23"/>
  <c r="E14" i="23"/>
  <c r="F14" i="23"/>
  <c r="G14" i="23"/>
  <c r="H14" i="23"/>
  <c r="I14" i="23"/>
  <c r="J14" i="23"/>
  <c r="K14" i="23"/>
  <c r="D15" i="23"/>
  <c r="E15" i="23"/>
  <c r="F15" i="23"/>
  <c r="G15" i="23"/>
  <c r="H15" i="23"/>
  <c r="I15" i="23"/>
  <c r="J15" i="23"/>
  <c r="K15" i="23"/>
  <c r="D16" i="23"/>
  <c r="E16" i="23"/>
  <c r="F16" i="23"/>
  <c r="G16" i="23"/>
  <c r="H16" i="23"/>
  <c r="I16" i="23"/>
  <c r="J16" i="23"/>
  <c r="K16" i="23"/>
  <c r="D17" i="23"/>
  <c r="E17" i="23"/>
  <c r="F17" i="23"/>
  <c r="G17" i="23"/>
  <c r="H17" i="23"/>
  <c r="I17" i="23"/>
  <c r="J17" i="23"/>
  <c r="K17" i="23"/>
  <c r="D18" i="23"/>
  <c r="E18" i="23"/>
  <c r="F18" i="23"/>
  <c r="G18" i="23"/>
  <c r="H18" i="23"/>
  <c r="I18" i="23"/>
  <c r="J18" i="23"/>
  <c r="K18" i="23"/>
  <c r="D19" i="23"/>
  <c r="E19" i="23"/>
  <c r="F19" i="23"/>
  <c r="G19" i="23"/>
  <c r="H19" i="23"/>
  <c r="I19" i="23"/>
  <c r="J19" i="23"/>
  <c r="K19" i="23"/>
  <c r="D20" i="23"/>
  <c r="E20" i="23"/>
  <c r="F20" i="23"/>
  <c r="G20" i="23"/>
  <c r="H20" i="23"/>
  <c r="I20" i="23"/>
  <c r="J20" i="23"/>
  <c r="K20" i="23"/>
  <c r="D21" i="23"/>
  <c r="E21" i="23"/>
  <c r="F21" i="23"/>
  <c r="G21" i="23"/>
  <c r="H21" i="23"/>
  <c r="I21" i="23"/>
  <c r="J21" i="23"/>
  <c r="K21" i="23"/>
  <c r="D22" i="23"/>
  <c r="E22" i="23"/>
  <c r="F22" i="23"/>
  <c r="G22" i="23"/>
  <c r="H22" i="23"/>
  <c r="I22" i="23"/>
  <c r="J22" i="23"/>
  <c r="K22" i="23"/>
  <c r="D23" i="23"/>
  <c r="E23" i="23"/>
  <c r="F23" i="23"/>
  <c r="G23" i="23"/>
  <c r="H23" i="23"/>
  <c r="I23" i="23"/>
  <c r="J23" i="23"/>
  <c r="K23" i="23"/>
  <c r="D24" i="23"/>
  <c r="E24" i="23"/>
  <c r="F24" i="23"/>
  <c r="G24" i="23"/>
  <c r="H24" i="23"/>
  <c r="I24" i="23"/>
  <c r="J24" i="23"/>
  <c r="K24" i="23"/>
  <c r="D25" i="23"/>
  <c r="E25" i="23"/>
  <c r="F25" i="23"/>
  <c r="G25" i="23"/>
  <c r="H25" i="23"/>
  <c r="I25" i="23"/>
  <c r="J25" i="23"/>
  <c r="K25" i="23"/>
  <c r="D26" i="23"/>
  <c r="E26" i="23"/>
  <c r="F26" i="23"/>
  <c r="G26" i="23"/>
  <c r="H26" i="23"/>
  <c r="I26" i="23"/>
  <c r="J26" i="23"/>
  <c r="K26" i="23"/>
  <c r="D27" i="23"/>
  <c r="E27" i="23"/>
  <c r="F27" i="23"/>
  <c r="G27" i="23"/>
  <c r="H27" i="23"/>
  <c r="I27" i="23"/>
  <c r="J27" i="23"/>
  <c r="K27" i="23"/>
  <c r="D28" i="23"/>
  <c r="E28" i="23"/>
  <c r="F28" i="23"/>
  <c r="G28" i="23"/>
  <c r="H28" i="23"/>
  <c r="I28" i="23"/>
  <c r="J28" i="23"/>
  <c r="K28" i="23"/>
  <c r="D29" i="23"/>
  <c r="E29" i="23"/>
  <c r="F29" i="23"/>
  <c r="G29" i="23"/>
  <c r="H29" i="23"/>
  <c r="I29" i="23"/>
  <c r="J29" i="23"/>
  <c r="K29" i="23"/>
  <c r="D30" i="23"/>
  <c r="E30" i="23"/>
  <c r="F30" i="23"/>
  <c r="G30" i="23"/>
  <c r="H30" i="23"/>
  <c r="I30" i="23"/>
  <c r="J30" i="23"/>
  <c r="K30" i="23"/>
  <c r="D31" i="23"/>
  <c r="E31" i="23"/>
  <c r="F31" i="23"/>
  <c r="G31" i="23"/>
  <c r="H31" i="23"/>
  <c r="I31" i="23"/>
  <c r="J31" i="23"/>
  <c r="K31" i="23"/>
  <c r="D32" i="23"/>
  <c r="E32" i="23"/>
  <c r="F32" i="23"/>
  <c r="G32" i="23"/>
  <c r="H32" i="23"/>
  <c r="I32" i="23"/>
  <c r="J32" i="23"/>
  <c r="K32" i="23"/>
  <c r="D33" i="23"/>
  <c r="E33" i="23"/>
  <c r="F33" i="23"/>
  <c r="G33" i="23"/>
  <c r="H33" i="23"/>
  <c r="I33" i="23"/>
  <c r="J33" i="23"/>
  <c r="K33" i="23"/>
  <c r="D34" i="23"/>
  <c r="E34" i="23"/>
  <c r="F34" i="23"/>
  <c r="G34" i="23"/>
  <c r="H34" i="23"/>
  <c r="I34" i="23"/>
  <c r="J34" i="23"/>
  <c r="K34" i="23"/>
  <c r="D35" i="23"/>
  <c r="E35" i="23"/>
  <c r="F35" i="23"/>
  <c r="G35" i="23"/>
  <c r="H35" i="23"/>
  <c r="I35" i="23"/>
  <c r="J35" i="23"/>
  <c r="K35" i="23"/>
  <c r="D36" i="23"/>
  <c r="E36" i="23"/>
  <c r="F36" i="23"/>
  <c r="G36" i="23"/>
  <c r="H36" i="23"/>
  <c r="I36" i="23"/>
  <c r="J36" i="23"/>
  <c r="K36" i="23"/>
  <c r="D37" i="23"/>
  <c r="E37" i="23"/>
  <c r="F37" i="23"/>
  <c r="G37" i="23"/>
  <c r="H37" i="23"/>
  <c r="I37" i="23"/>
  <c r="J37" i="23"/>
  <c r="K37" i="23"/>
  <c r="D38" i="23"/>
  <c r="E38" i="23"/>
  <c r="F38" i="23"/>
  <c r="G38" i="23"/>
  <c r="H38" i="23"/>
  <c r="I38" i="23"/>
  <c r="J38" i="23"/>
  <c r="K38" i="23"/>
  <c r="D39" i="23"/>
  <c r="E39" i="23"/>
  <c r="F39" i="23"/>
  <c r="G39" i="23"/>
  <c r="H39" i="23"/>
  <c r="I39" i="23"/>
  <c r="J39" i="23"/>
  <c r="K39" i="23"/>
  <c r="D40" i="23"/>
  <c r="E40" i="23"/>
  <c r="F40" i="23"/>
  <c r="G40" i="23"/>
  <c r="H40" i="23"/>
  <c r="I40" i="23"/>
  <c r="J40" i="23"/>
  <c r="K40" i="23"/>
  <c r="D41" i="23"/>
  <c r="E41" i="23"/>
  <c r="F41" i="23"/>
  <c r="G41" i="23"/>
  <c r="H41" i="23"/>
  <c r="I41" i="23"/>
  <c r="J41" i="23"/>
  <c r="K41" i="23"/>
  <c r="D42" i="23"/>
  <c r="E42" i="23"/>
  <c r="F42" i="23"/>
  <c r="G42" i="23"/>
  <c r="H42" i="23"/>
  <c r="I42" i="23"/>
  <c r="J42" i="23"/>
  <c r="K42" i="23"/>
  <c r="D43" i="23"/>
  <c r="E43" i="23"/>
  <c r="F43" i="23"/>
  <c r="G43" i="23"/>
  <c r="H43" i="23"/>
  <c r="I43" i="23"/>
  <c r="J43" i="23"/>
  <c r="K43" i="23"/>
  <c r="D44" i="23"/>
  <c r="E44" i="23"/>
  <c r="F44" i="23"/>
  <c r="G44" i="23"/>
  <c r="H44" i="23"/>
  <c r="I44" i="23"/>
  <c r="J44" i="23"/>
  <c r="K44" i="23"/>
  <c r="D45" i="23"/>
  <c r="E45" i="23"/>
  <c r="F45" i="23"/>
  <c r="G45" i="23"/>
  <c r="H45" i="23"/>
  <c r="I45" i="23"/>
  <c r="J45" i="23"/>
  <c r="K45" i="23"/>
  <c r="D46" i="23"/>
  <c r="E46" i="23"/>
  <c r="F46" i="23"/>
  <c r="G46" i="23"/>
  <c r="H46" i="23"/>
  <c r="I46" i="23"/>
  <c r="J46" i="23"/>
  <c r="K46" i="23"/>
  <c r="D47" i="23"/>
  <c r="E47" i="23"/>
  <c r="F47" i="23"/>
  <c r="G47" i="23"/>
  <c r="H47" i="23"/>
  <c r="I47" i="23"/>
  <c r="J47" i="23"/>
  <c r="K47" i="23"/>
  <c r="D48" i="23"/>
  <c r="E48" i="23"/>
  <c r="F48" i="23"/>
  <c r="G48" i="23"/>
  <c r="H48" i="23"/>
  <c r="I48" i="23"/>
  <c r="J48" i="23"/>
  <c r="K48" i="23"/>
  <c r="D49" i="23"/>
  <c r="E49" i="23"/>
  <c r="F49" i="23"/>
  <c r="G49" i="23"/>
  <c r="H49" i="23"/>
  <c r="I49" i="23"/>
  <c r="J49" i="23"/>
  <c r="K49" i="23"/>
  <c r="D50" i="23"/>
  <c r="E50" i="23"/>
  <c r="F50" i="23"/>
  <c r="G50" i="23"/>
  <c r="H50" i="23"/>
  <c r="I50" i="23"/>
  <c r="J50" i="23"/>
  <c r="K50" i="23"/>
  <c r="D51" i="23"/>
  <c r="E51" i="23"/>
  <c r="F51" i="23"/>
  <c r="G51" i="23"/>
  <c r="H51" i="23"/>
  <c r="I51" i="23"/>
  <c r="J51" i="23"/>
  <c r="K51" i="23"/>
  <c r="E2" i="23"/>
  <c r="F2" i="23"/>
  <c r="G2" i="23"/>
  <c r="H2" i="23"/>
  <c r="I2" i="23"/>
  <c r="J2" i="23"/>
  <c r="K2" i="23"/>
  <c r="S3" i="18"/>
  <c r="S4" i="18"/>
  <c r="S5" i="18"/>
  <c r="S6" i="18"/>
  <c r="S7" i="18"/>
  <c r="S8" i="18"/>
  <c r="S9" i="18"/>
  <c r="S10" i="18"/>
  <c r="S11" i="18"/>
  <c r="S12" i="18"/>
  <c r="S13" i="18"/>
  <c r="S14" i="18"/>
  <c r="S15" i="18"/>
  <c r="S16" i="18"/>
  <c r="S17" i="18"/>
  <c r="S18" i="18"/>
  <c r="S19" i="18"/>
  <c r="S20" i="18"/>
  <c r="S21" i="18"/>
  <c r="S22" i="18"/>
  <c r="S23" i="18"/>
  <c r="S24" i="18"/>
  <c r="S25" i="18"/>
  <c r="S26" i="18"/>
  <c r="S27" i="18"/>
  <c r="S28" i="18"/>
  <c r="S29" i="18"/>
  <c r="S30" i="18"/>
  <c r="S31" i="18"/>
  <c r="S32" i="18"/>
  <c r="S33" i="18"/>
  <c r="S34" i="18"/>
  <c r="S35" i="18"/>
  <c r="S36" i="18"/>
  <c r="S37" i="18"/>
  <c r="S38" i="18"/>
  <c r="S39" i="18"/>
  <c r="S40" i="18"/>
  <c r="S41" i="18"/>
  <c r="S42" i="18"/>
  <c r="S43" i="18"/>
  <c r="S44" i="18"/>
  <c r="S45" i="18"/>
  <c r="S46" i="18"/>
  <c r="S47" i="18"/>
  <c r="S48" i="18"/>
  <c r="S49" i="18"/>
  <c r="S50" i="18"/>
  <c r="S51" i="18"/>
  <c r="S2" i="18"/>
  <c r="R3" i="18"/>
  <c r="R4" i="18"/>
  <c r="R5" i="18"/>
  <c r="R6" i="18"/>
  <c r="R7" i="18"/>
  <c r="R8" i="18"/>
  <c r="R9" i="18"/>
  <c r="R10" i="18"/>
  <c r="R11" i="18"/>
  <c r="R12" i="18"/>
  <c r="R13" i="18"/>
  <c r="R14" i="18"/>
  <c r="R15" i="18"/>
  <c r="R16" i="18"/>
  <c r="R17" i="18"/>
  <c r="R18" i="18"/>
  <c r="R19" i="18"/>
  <c r="R20" i="18"/>
  <c r="R21" i="18"/>
  <c r="R22" i="18"/>
  <c r="R23" i="18"/>
  <c r="R24" i="18"/>
  <c r="R25" i="18"/>
  <c r="R26" i="18"/>
  <c r="R27" i="18"/>
  <c r="R28" i="18"/>
  <c r="R29" i="18"/>
  <c r="R30" i="18"/>
  <c r="R31" i="18"/>
  <c r="R32" i="18"/>
  <c r="R33" i="18"/>
  <c r="R34" i="18"/>
  <c r="R35" i="18"/>
  <c r="R36" i="18"/>
  <c r="R37" i="18"/>
  <c r="R38" i="18"/>
  <c r="R39" i="18"/>
  <c r="R40" i="18"/>
  <c r="R41" i="18"/>
  <c r="R42" i="18"/>
  <c r="R43" i="18"/>
  <c r="R44" i="18"/>
  <c r="R45" i="18"/>
  <c r="R46" i="18"/>
  <c r="R47" i="18"/>
  <c r="R48" i="18"/>
  <c r="R49" i="18"/>
  <c r="R50" i="18"/>
  <c r="R51" i="18"/>
  <c r="R2" i="18"/>
  <c r="N1" i="23"/>
  <c r="O1" i="23"/>
  <c r="C2" i="23"/>
  <c r="N2" i="23"/>
  <c r="O2" i="23"/>
  <c r="B3" i="23"/>
  <c r="C3" i="23" s="1"/>
  <c r="AM3" i="23" s="1"/>
  <c r="N3" i="23"/>
  <c r="O3" i="23"/>
  <c r="N4" i="23"/>
  <c r="O4" i="23"/>
  <c r="N5" i="23"/>
  <c r="O5" i="23"/>
  <c r="N6" i="23"/>
  <c r="O6" i="23"/>
  <c r="N7" i="23"/>
  <c r="O7" i="23"/>
  <c r="N8" i="23"/>
  <c r="O8" i="23"/>
  <c r="N9" i="23"/>
  <c r="O9" i="23"/>
  <c r="N10" i="23"/>
  <c r="O10" i="23"/>
  <c r="N11" i="23"/>
  <c r="O11" i="23"/>
  <c r="N12" i="23"/>
  <c r="O12" i="23"/>
  <c r="N13" i="23"/>
  <c r="O13" i="23"/>
  <c r="N14" i="23"/>
  <c r="O14" i="23"/>
  <c r="N15" i="23"/>
  <c r="O15" i="23"/>
  <c r="N16" i="23"/>
  <c r="O16" i="23"/>
  <c r="N17" i="23"/>
  <c r="O17" i="23"/>
  <c r="N18" i="23"/>
  <c r="O18" i="23"/>
  <c r="N19" i="23"/>
  <c r="O19" i="23"/>
  <c r="N20" i="23"/>
  <c r="O20" i="23"/>
  <c r="N21" i="23"/>
  <c r="O21" i="23"/>
  <c r="N22" i="23"/>
  <c r="O22" i="23"/>
  <c r="N23" i="23"/>
  <c r="O23" i="23"/>
  <c r="N24" i="23"/>
  <c r="O24" i="23"/>
  <c r="N25" i="23"/>
  <c r="O25" i="23"/>
  <c r="N26" i="23"/>
  <c r="O26" i="23"/>
  <c r="N27" i="23"/>
  <c r="O27" i="23"/>
  <c r="N28" i="23"/>
  <c r="O28" i="23"/>
  <c r="N29" i="23"/>
  <c r="O29" i="23"/>
  <c r="N30" i="23"/>
  <c r="O30" i="23"/>
  <c r="N31" i="23"/>
  <c r="O31" i="23"/>
  <c r="N32" i="23"/>
  <c r="O32" i="23"/>
  <c r="N33" i="23"/>
  <c r="O33" i="23"/>
  <c r="N34" i="23"/>
  <c r="O34" i="23"/>
  <c r="N35" i="23"/>
  <c r="O35" i="23"/>
  <c r="N36" i="23"/>
  <c r="O36" i="23"/>
  <c r="N37" i="23"/>
  <c r="O37" i="23"/>
  <c r="N38" i="23"/>
  <c r="O38" i="23"/>
  <c r="N39" i="23"/>
  <c r="O39" i="23"/>
  <c r="N40" i="23"/>
  <c r="O40" i="23"/>
  <c r="N41" i="23"/>
  <c r="O41" i="23"/>
  <c r="N42" i="23"/>
  <c r="O42" i="23"/>
  <c r="N43" i="23"/>
  <c r="O43" i="23"/>
  <c r="N44" i="23"/>
  <c r="O44" i="23"/>
  <c r="N45" i="23"/>
  <c r="O45" i="23"/>
  <c r="N46" i="23"/>
  <c r="O46" i="23"/>
  <c r="N47" i="23"/>
  <c r="O47" i="23"/>
  <c r="N48" i="23"/>
  <c r="O48" i="23"/>
  <c r="N49" i="23"/>
  <c r="O49" i="23"/>
  <c r="N50" i="23"/>
  <c r="O50" i="23"/>
  <c r="N51" i="23"/>
  <c r="O51" i="23"/>
  <c r="N52" i="23"/>
  <c r="O52" i="23"/>
  <c r="N53" i="23"/>
  <c r="O53" i="23"/>
  <c r="N54" i="23"/>
  <c r="O54" i="23"/>
  <c r="N55" i="23"/>
  <c r="O55" i="23"/>
  <c r="N56" i="23"/>
  <c r="O56" i="23"/>
  <c r="N57" i="23"/>
  <c r="O57" i="23"/>
  <c r="N58" i="23"/>
  <c r="O58" i="23"/>
  <c r="N59" i="23"/>
  <c r="O59" i="23"/>
  <c r="N60" i="23"/>
  <c r="O60" i="23"/>
  <c r="N61" i="23"/>
  <c r="O61" i="23"/>
  <c r="N62" i="23"/>
  <c r="O62" i="23"/>
  <c r="N63" i="23"/>
  <c r="O63" i="23"/>
  <c r="N64" i="23"/>
  <c r="O64" i="23"/>
  <c r="N65" i="23"/>
  <c r="O65" i="23"/>
  <c r="N66" i="23"/>
  <c r="O66" i="23"/>
  <c r="N67" i="23"/>
  <c r="O67" i="23"/>
  <c r="N68" i="23"/>
  <c r="O68" i="23"/>
  <c r="N69" i="23"/>
  <c r="O69" i="23"/>
  <c r="N70" i="23"/>
  <c r="O70" i="23"/>
  <c r="N71" i="23"/>
  <c r="O71" i="23"/>
  <c r="N72" i="23"/>
  <c r="O72" i="23"/>
  <c r="N73" i="23"/>
  <c r="O73" i="23"/>
  <c r="N74" i="23"/>
  <c r="O74" i="23"/>
  <c r="N75" i="23"/>
  <c r="O75" i="23"/>
  <c r="N76" i="23"/>
  <c r="O76" i="23"/>
  <c r="N77" i="23"/>
  <c r="O77" i="23"/>
  <c r="N78" i="23"/>
  <c r="O78" i="23"/>
  <c r="N79" i="23"/>
  <c r="O79" i="23"/>
  <c r="N80" i="23"/>
  <c r="O80" i="23"/>
  <c r="N81" i="23"/>
  <c r="O81" i="23"/>
  <c r="N82" i="23"/>
  <c r="O82" i="23"/>
  <c r="N83" i="23"/>
  <c r="O83" i="23"/>
  <c r="N84" i="23"/>
  <c r="O84" i="23"/>
  <c r="N85" i="23"/>
  <c r="O85" i="23"/>
  <c r="N86" i="23"/>
  <c r="O86" i="23"/>
  <c r="N87" i="23"/>
  <c r="O87" i="23"/>
  <c r="N88" i="23"/>
  <c r="O88" i="23"/>
  <c r="N89" i="23"/>
  <c r="O89" i="23"/>
  <c r="N90" i="23"/>
  <c r="O90" i="23"/>
  <c r="N91" i="23"/>
  <c r="O91" i="23"/>
  <c r="N92" i="23"/>
  <c r="O92" i="23"/>
  <c r="N93" i="23"/>
  <c r="O93" i="23"/>
  <c r="N94" i="23"/>
  <c r="O94" i="23"/>
  <c r="N95" i="23"/>
  <c r="O95" i="23"/>
  <c r="N96" i="23"/>
  <c r="O96" i="23"/>
  <c r="N97" i="23"/>
  <c r="O97" i="23"/>
  <c r="N98" i="23"/>
  <c r="O98" i="23"/>
  <c r="N99" i="23"/>
  <c r="O99" i="23"/>
  <c r="N100" i="23"/>
  <c r="O100" i="23"/>
  <c r="N101" i="23"/>
  <c r="O101" i="23"/>
  <c r="N102" i="23"/>
  <c r="O102" i="23"/>
  <c r="N103" i="23"/>
  <c r="O103" i="23"/>
  <c r="N104" i="23"/>
  <c r="O104" i="23"/>
  <c r="N105" i="23"/>
  <c r="O105" i="23"/>
  <c r="N106" i="23"/>
  <c r="O106" i="23"/>
  <c r="N107" i="23"/>
  <c r="O107" i="23"/>
  <c r="N108" i="23"/>
  <c r="O108" i="23"/>
  <c r="N109" i="23"/>
  <c r="O109" i="23"/>
  <c r="N110" i="23"/>
  <c r="O110" i="23"/>
  <c r="N111" i="23"/>
  <c r="O111" i="23"/>
  <c r="N112" i="23"/>
  <c r="O112" i="23"/>
  <c r="N113" i="23"/>
  <c r="O113" i="23"/>
  <c r="N114" i="23"/>
  <c r="O114" i="23"/>
  <c r="N115" i="23"/>
  <c r="O115" i="23"/>
  <c r="N116" i="23"/>
  <c r="O116" i="23"/>
  <c r="N117" i="23"/>
  <c r="O117" i="23"/>
  <c r="N118" i="23"/>
  <c r="O118" i="23"/>
  <c r="N119" i="23"/>
  <c r="O119" i="23"/>
  <c r="N120" i="23"/>
  <c r="O120" i="23"/>
  <c r="N121" i="23"/>
  <c r="O121" i="23"/>
  <c r="N122" i="23"/>
  <c r="O122" i="23"/>
  <c r="N123" i="23"/>
  <c r="O123" i="23"/>
  <c r="N124" i="23"/>
  <c r="O124" i="23"/>
  <c r="N125" i="23"/>
  <c r="O125" i="23"/>
  <c r="N126" i="23"/>
  <c r="O126" i="23"/>
  <c r="N127" i="23"/>
  <c r="O127" i="23"/>
  <c r="N128" i="23"/>
  <c r="O128" i="23"/>
  <c r="N129" i="23"/>
  <c r="O129" i="23"/>
  <c r="N130" i="23"/>
  <c r="O130" i="23"/>
  <c r="N131" i="23"/>
  <c r="O131" i="23"/>
  <c r="N132" i="23"/>
  <c r="O132" i="23"/>
  <c r="N133" i="23"/>
  <c r="O133" i="23"/>
  <c r="N134" i="23"/>
  <c r="O134" i="23"/>
  <c r="N135" i="23"/>
  <c r="O135" i="23"/>
  <c r="N136" i="23"/>
  <c r="O136" i="23"/>
  <c r="AM1" i="23"/>
  <c r="AW1" i="23" s="1"/>
  <c r="AO1" i="23"/>
  <c r="AP1" i="23"/>
  <c r="AZ1" i="23" s="1"/>
  <c r="AQ1" i="23"/>
  <c r="AR1" i="23"/>
  <c r="BB1" i="23" s="1"/>
  <c r="AS1" i="23"/>
  <c r="AT1" i="23"/>
  <c r="BD1" i="23" s="1"/>
  <c r="AX1" i="23"/>
  <c r="AY1" i="23"/>
  <c r="BA1" i="23"/>
  <c r="BC1" i="23"/>
  <c r="AM2" i="23"/>
  <c r="AW2" i="23"/>
  <c r="AW3" i="23"/>
  <c r="AW4" i="23"/>
  <c r="AW5" i="23"/>
  <c r="AW6" i="23"/>
  <c r="AW7" i="23"/>
  <c r="AW8" i="23"/>
  <c r="AW9" i="23"/>
  <c r="AW10" i="23"/>
  <c r="AW11" i="23"/>
  <c r="AW12" i="23"/>
  <c r="AW13" i="23"/>
  <c r="AW14" i="23"/>
  <c r="AW15" i="23"/>
  <c r="AW16" i="23"/>
  <c r="AW17" i="23"/>
  <c r="AW18" i="23"/>
  <c r="AW19" i="23"/>
  <c r="AW20" i="23"/>
  <c r="AW21" i="23"/>
  <c r="AW22" i="23"/>
  <c r="AW23" i="23"/>
  <c r="AW24" i="23"/>
  <c r="AW25" i="23"/>
  <c r="AW26" i="23"/>
  <c r="AW27" i="23"/>
  <c r="AW28" i="23"/>
  <c r="AW29" i="23"/>
  <c r="AW30" i="23"/>
  <c r="AW31" i="23"/>
  <c r="AW32" i="23"/>
  <c r="AW33" i="23"/>
  <c r="AW34" i="23"/>
  <c r="AW35" i="23"/>
  <c r="AW36" i="23"/>
  <c r="AW37" i="23"/>
  <c r="AW38" i="23"/>
  <c r="AW39" i="23"/>
  <c r="AW40" i="23"/>
  <c r="AW41" i="23"/>
  <c r="AW42" i="23"/>
  <c r="AW43" i="23"/>
  <c r="AW44" i="23"/>
  <c r="AW45" i="23"/>
  <c r="AW46" i="23"/>
  <c r="AW47" i="23"/>
  <c r="AW48" i="23"/>
  <c r="AW49" i="23"/>
  <c r="AW50" i="23"/>
  <c r="AW51" i="23"/>
  <c r="AW52" i="23"/>
  <c r="AW53" i="23"/>
  <c r="AW54" i="23"/>
  <c r="AW55" i="23"/>
  <c r="AW56" i="23"/>
  <c r="AW57" i="23"/>
  <c r="AW58" i="23"/>
  <c r="AW59" i="23"/>
  <c r="AW60" i="23"/>
  <c r="AW61" i="23"/>
  <c r="AW62" i="23"/>
  <c r="AW63" i="23"/>
  <c r="AW64" i="23"/>
  <c r="AW65" i="23"/>
  <c r="AW66" i="23"/>
  <c r="AW67" i="23"/>
  <c r="AW68" i="23"/>
  <c r="AW69" i="23"/>
  <c r="AW70" i="23"/>
  <c r="AW71" i="23"/>
  <c r="AW72" i="23"/>
  <c r="AW73" i="23"/>
  <c r="AW74" i="23"/>
  <c r="AW75" i="23"/>
  <c r="AW76" i="23"/>
  <c r="AW77" i="23"/>
  <c r="AW78" i="23"/>
  <c r="AW79" i="23"/>
  <c r="AW80" i="23"/>
  <c r="AW81" i="23"/>
  <c r="AW82" i="23"/>
  <c r="AW83" i="23"/>
  <c r="AW84" i="23"/>
  <c r="AW85" i="23"/>
  <c r="AW86" i="23"/>
  <c r="AW87" i="23"/>
  <c r="AW88" i="23"/>
  <c r="AW89" i="23"/>
  <c r="AW90" i="23"/>
  <c r="AW91" i="23"/>
  <c r="AW92" i="23"/>
  <c r="AW93" i="23"/>
  <c r="AW94" i="23"/>
  <c r="AW95" i="23"/>
  <c r="AW96" i="23"/>
  <c r="AW97" i="23"/>
  <c r="AW98" i="23"/>
  <c r="AW99" i="23"/>
  <c r="AW100" i="23"/>
  <c r="AW101" i="23"/>
  <c r="AW102" i="23"/>
  <c r="AW103" i="23"/>
  <c r="AW104" i="23"/>
  <c r="AW105" i="23"/>
  <c r="AW106" i="23"/>
  <c r="AW107" i="23"/>
  <c r="AW108" i="23"/>
  <c r="AW109" i="23"/>
  <c r="AW110" i="23"/>
  <c r="AW111" i="23"/>
  <c r="AW112" i="23"/>
  <c r="AW113" i="23"/>
  <c r="AW114" i="23"/>
  <c r="AW115" i="23"/>
  <c r="AW116" i="23"/>
  <c r="AW117" i="23"/>
  <c r="AW118" i="23"/>
  <c r="AW119" i="23"/>
  <c r="AW120" i="23"/>
  <c r="AW121" i="23"/>
  <c r="AW122" i="23"/>
  <c r="AW123" i="23"/>
  <c r="AW124" i="23"/>
  <c r="AW125" i="23"/>
  <c r="AW126" i="23"/>
  <c r="AW127" i="23"/>
  <c r="AW128" i="23"/>
  <c r="AW129" i="23"/>
  <c r="AW130" i="23"/>
  <c r="AW131" i="23"/>
  <c r="AW132" i="23"/>
  <c r="AW133" i="23"/>
  <c r="AW134" i="23"/>
  <c r="AW135" i="23"/>
  <c r="AW136" i="23"/>
  <c r="AB1" i="23"/>
  <c r="O136" i="43"/>
  <c r="Q135" i="43"/>
  <c r="K134" i="43"/>
  <c r="O132" i="43"/>
  <c r="Q131" i="43"/>
  <c r="K130" i="43"/>
  <c r="O128" i="43"/>
  <c r="Q127" i="43"/>
  <c r="K126" i="43"/>
  <c r="O124" i="43"/>
  <c r="Q123" i="43"/>
  <c r="M122" i="43"/>
  <c r="Q121" i="43"/>
  <c r="M120" i="43"/>
  <c r="Q119" i="43"/>
  <c r="M118" i="43"/>
  <c r="Q117" i="43"/>
  <c r="M116" i="43"/>
  <c r="Q115" i="43"/>
  <c r="M114" i="43"/>
  <c r="Q113" i="43"/>
  <c r="M112" i="43"/>
  <c r="Q111" i="43"/>
  <c r="M110" i="43"/>
  <c r="Q109" i="43"/>
  <c r="M108" i="43"/>
  <c r="Q107" i="43"/>
  <c r="M106" i="43"/>
  <c r="Q105" i="43"/>
  <c r="M104" i="43"/>
  <c r="Q103" i="43"/>
  <c r="M102" i="43"/>
  <c r="Q101" i="43"/>
  <c r="M100" i="43"/>
  <c r="Q99" i="43"/>
  <c r="M98" i="43"/>
  <c r="Q97" i="43"/>
  <c r="M96" i="43"/>
  <c r="Q95" i="43"/>
  <c r="M94" i="43"/>
  <c r="Q93" i="43"/>
  <c r="M92" i="43"/>
  <c r="Q91" i="43"/>
  <c r="M90" i="43"/>
  <c r="Q89" i="43"/>
  <c r="M88" i="43"/>
  <c r="Q87" i="43"/>
  <c r="M86" i="43"/>
  <c r="Q85" i="43"/>
  <c r="M84" i="43"/>
  <c r="Q83" i="43"/>
  <c r="M82" i="43"/>
  <c r="Q81" i="43"/>
  <c r="M80" i="43"/>
  <c r="Q79" i="43"/>
  <c r="M78" i="43"/>
  <c r="Q77" i="43"/>
  <c r="M76" i="43"/>
  <c r="Q75" i="43"/>
  <c r="M74" i="43"/>
  <c r="Q73" i="43"/>
  <c r="M72" i="43"/>
  <c r="Q71" i="43"/>
  <c r="O137" i="43"/>
  <c r="Q136" i="43"/>
  <c r="K135" i="43"/>
  <c r="O133" i="43"/>
  <c r="Q132" i="43"/>
  <c r="K131" i="43"/>
  <c r="O129" i="43"/>
  <c r="Q128" i="43"/>
  <c r="K127" i="43"/>
  <c r="O125" i="43"/>
  <c r="Q124" i="43"/>
  <c r="M123" i="43"/>
  <c r="Q122" i="43"/>
  <c r="M121" i="43"/>
  <c r="Q120" i="43"/>
  <c r="M119" i="43"/>
  <c r="Q118" i="43"/>
  <c r="M117" i="43"/>
  <c r="Q116" i="43"/>
  <c r="M115" i="43"/>
  <c r="Q114" i="43"/>
  <c r="M113" i="43"/>
  <c r="Q112" i="43"/>
  <c r="M111" i="43"/>
  <c r="Q110" i="43"/>
  <c r="M109" i="43"/>
  <c r="Q108" i="43"/>
  <c r="M107" i="43"/>
  <c r="Q106" i="43"/>
  <c r="M105" i="43"/>
  <c r="Q104" i="43"/>
  <c r="M103" i="43"/>
  <c r="Q102" i="43"/>
  <c r="M101" i="43"/>
  <c r="Q100" i="43"/>
  <c r="M99" i="43"/>
  <c r="Q98" i="43"/>
  <c r="M97" i="43"/>
  <c r="Q96" i="43"/>
  <c r="M95" i="43"/>
  <c r="Q94" i="43"/>
  <c r="M93" i="43"/>
  <c r="Q92" i="43"/>
  <c r="M91" i="43"/>
  <c r="Q90" i="43"/>
  <c r="M89" i="43"/>
  <c r="Q88" i="43"/>
  <c r="M87" i="43"/>
  <c r="Q86" i="43"/>
  <c r="M85" i="43"/>
  <c r="Q84" i="43"/>
  <c r="M83" i="43"/>
  <c r="Q82" i="43"/>
  <c r="M81" i="43"/>
  <c r="Q80" i="43"/>
  <c r="M79" i="43"/>
  <c r="Q78" i="43"/>
  <c r="M77" i="43"/>
  <c r="Q137" i="43"/>
  <c r="K136" i="43"/>
  <c r="O134" i="43"/>
  <c r="Q133" i="43"/>
  <c r="K132" i="43"/>
  <c r="O130" i="43"/>
  <c r="Q129" i="43"/>
  <c r="K128" i="43"/>
  <c r="O126" i="43"/>
  <c r="Q125" i="43"/>
  <c r="K124" i="43"/>
  <c r="O122" i="43"/>
  <c r="K122" i="43"/>
  <c r="O120" i="43"/>
  <c r="K120" i="43"/>
  <c r="O118" i="43"/>
  <c r="K118" i="43"/>
  <c r="O116" i="43"/>
  <c r="K116" i="43"/>
  <c r="O114" i="43"/>
  <c r="K114" i="43"/>
  <c r="O112" i="43"/>
  <c r="K112" i="43"/>
  <c r="O110" i="43"/>
  <c r="K110" i="43"/>
  <c r="O108" i="43"/>
  <c r="K108" i="43"/>
  <c r="O106" i="43"/>
  <c r="K106" i="43"/>
  <c r="O104" i="43"/>
  <c r="K104" i="43"/>
  <c r="O102" i="43"/>
  <c r="K102" i="43"/>
  <c r="O100" i="43"/>
  <c r="K100" i="43"/>
  <c r="O98" i="43"/>
  <c r="K98" i="43"/>
  <c r="O96" i="43"/>
  <c r="K96" i="43"/>
  <c r="O94" i="43"/>
  <c r="K94" i="43"/>
  <c r="O92" i="43"/>
  <c r="K92" i="43"/>
  <c r="O90" i="43"/>
  <c r="K90" i="43"/>
  <c r="O88" i="43"/>
  <c r="K88" i="43"/>
  <c r="O86" i="43"/>
  <c r="K86" i="43"/>
  <c r="O84" i="43"/>
  <c r="K84" i="43"/>
  <c r="O82" i="43"/>
  <c r="K82" i="43"/>
  <c r="O80" i="43"/>
  <c r="K80" i="43"/>
  <c r="O78" i="43"/>
  <c r="K78" i="43"/>
  <c r="O76" i="43"/>
  <c r="K76" i="43"/>
  <c r="O74" i="43"/>
  <c r="K74" i="43"/>
  <c r="O72" i="43"/>
  <c r="K72" i="43"/>
  <c r="O70" i="43"/>
  <c r="K137" i="43"/>
  <c r="O135" i="43"/>
  <c r="Q134" i="43"/>
  <c r="K133" i="43"/>
  <c r="O131" i="43"/>
  <c r="Q130" i="43"/>
  <c r="K129" i="43"/>
  <c r="O127" i="43"/>
  <c r="Q126" i="43"/>
  <c r="K125" i="43"/>
  <c r="O123" i="43"/>
  <c r="K123" i="43"/>
  <c r="O121" i="43"/>
  <c r="K121" i="43"/>
  <c r="O119" i="43"/>
  <c r="K119" i="43"/>
  <c r="O117" i="43"/>
  <c r="K117" i="43"/>
  <c r="O115" i="43"/>
  <c r="K115" i="43"/>
  <c r="O113" i="43"/>
  <c r="K113" i="43"/>
  <c r="O111" i="43"/>
  <c r="K111" i="43"/>
  <c r="O109" i="43"/>
  <c r="K109" i="43"/>
  <c r="O107" i="43"/>
  <c r="K107" i="43"/>
  <c r="O105" i="43"/>
  <c r="K105" i="43"/>
  <c r="O103" i="43"/>
  <c r="K103" i="43"/>
  <c r="O101" i="43"/>
  <c r="K101" i="43"/>
  <c r="O99" i="43"/>
  <c r="K99" i="43"/>
  <c r="O97" i="43"/>
  <c r="K97" i="43"/>
  <c r="O95" i="43"/>
  <c r="K95" i="43"/>
  <c r="O93" i="43"/>
  <c r="K93" i="43"/>
  <c r="O91" i="43"/>
  <c r="K91" i="43"/>
  <c r="O89" i="43"/>
  <c r="K89" i="43"/>
  <c r="O87" i="43"/>
  <c r="K87" i="43"/>
  <c r="O85" i="43"/>
  <c r="K85" i="43"/>
  <c r="O83" i="43"/>
  <c r="K83" i="43"/>
  <c r="O81" i="43"/>
  <c r="K81" i="43"/>
  <c r="O79" i="43"/>
  <c r="K79" i="43"/>
  <c r="O77" i="43"/>
  <c r="K77" i="43"/>
  <c r="O75" i="43"/>
  <c r="K75" i="43"/>
  <c r="O73" i="43"/>
  <c r="K73" i="43"/>
  <c r="O71" i="43"/>
  <c r="Q76" i="43"/>
  <c r="Q74" i="43"/>
  <c r="Q72" i="43"/>
  <c r="K71" i="43"/>
  <c r="M70" i="43"/>
  <c r="Q69" i="43"/>
  <c r="M68" i="43"/>
  <c r="Q67" i="43"/>
  <c r="M66" i="43"/>
  <c r="Q65" i="43"/>
  <c r="M64" i="43"/>
  <c r="Q63" i="43"/>
  <c r="M62" i="43"/>
  <c r="Q61" i="43"/>
  <c r="M60" i="43"/>
  <c r="Q59" i="43"/>
  <c r="M58" i="43"/>
  <c r="Q57" i="43"/>
  <c r="M56" i="43"/>
  <c r="Q55" i="43"/>
  <c r="M54" i="43"/>
  <c r="Q53" i="43"/>
  <c r="Q9" i="43"/>
  <c r="M9" i="43"/>
  <c r="S8" i="43"/>
  <c r="O8" i="43"/>
  <c r="K8" i="43"/>
  <c r="Q7" i="43"/>
  <c r="M7" i="43"/>
  <c r="S6" i="43"/>
  <c r="O6" i="43"/>
  <c r="K6" i="43"/>
  <c r="Q5" i="43"/>
  <c r="M5" i="43"/>
  <c r="S4" i="43"/>
  <c r="O4" i="43"/>
  <c r="K4" i="43"/>
  <c r="Q3" i="43"/>
  <c r="M3" i="43"/>
  <c r="S2" i="43"/>
  <c r="O2" i="43"/>
  <c r="K2" i="43"/>
  <c r="M69" i="43"/>
  <c r="Q68" i="43"/>
  <c r="M67" i="43"/>
  <c r="Q66" i="43"/>
  <c r="M65" i="43"/>
  <c r="Q64" i="43"/>
  <c r="M63" i="43"/>
  <c r="Q62" i="43"/>
  <c r="M61" i="43"/>
  <c r="Q60" i="43"/>
  <c r="M59" i="43"/>
  <c r="Q58" i="43"/>
  <c r="M57" i="43"/>
  <c r="Q56" i="43"/>
  <c r="M55" i="43"/>
  <c r="Q54" i="43"/>
  <c r="M53" i="43"/>
  <c r="Q52" i="43"/>
  <c r="M52" i="43"/>
  <c r="Q51" i="43"/>
  <c r="M51" i="43"/>
  <c r="Q50" i="43"/>
  <c r="M50" i="43"/>
  <c r="Q49" i="43"/>
  <c r="M49" i="43"/>
  <c r="Q48" i="43"/>
  <c r="M48" i="43"/>
  <c r="Q47" i="43"/>
  <c r="M47" i="43"/>
  <c r="Q46" i="43"/>
  <c r="M46" i="43"/>
  <c r="Q45" i="43"/>
  <c r="M45" i="43"/>
  <c r="Q44" i="43"/>
  <c r="M44" i="43"/>
  <c r="Q43" i="43"/>
  <c r="M43" i="43"/>
  <c r="Q42" i="43"/>
  <c r="M42" i="43"/>
  <c r="Q41" i="43"/>
  <c r="M41" i="43"/>
  <c r="Q40" i="43"/>
  <c r="M40" i="43"/>
  <c r="Q39" i="43"/>
  <c r="M39" i="43"/>
  <c r="Q38" i="43"/>
  <c r="M38" i="43"/>
  <c r="Q37" i="43"/>
  <c r="M37" i="43"/>
  <c r="Q36" i="43"/>
  <c r="M36" i="43"/>
  <c r="Q35" i="43"/>
  <c r="M35" i="43"/>
  <c r="Q34" i="43"/>
  <c r="M34" i="43"/>
  <c r="Q33" i="43"/>
  <c r="M33" i="43"/>
  <c r="Q32" i="43"/>
  <c r="M32" i="43"/>
  <c r="Q31" i="43"/>
  <c r="M31" i="43"/>
  <c r="Q30" i="43"/>
  <c r="M30" i="43"/>
  <c r="Q29" i="43"/>
  <c r="M29" i="43"/>
  <c r="Q28" i="43"/>
  <c r="M28" i="43"/>
  <c r="Q27" i="43"/>
  <c r="M27" i="43"/>
  <c r="Q26" i="43"/>
  <c r="M26" i="43"/>
  <c r="Q25" i="43"/>
  <c r="M25" i="43"/>
  <c r="Q24" i="43"/>
  <c r="K24" i="43"/>
  <c r="O23" i="43"/>
  <c r="K23" i="43"/>
  <c r="K22" i="43"/>
  <c r="K21" i="43"/>
  <c r="M20" i="43"/>
  <c r="K19" i="43"/>
  <c r="M18" i="43"/>
  <c r="K17" i="43"/>
  <c r="K16" i="43"/>
  <c r="M15" i="43"/>
  <c r="M75" i="43"/>
  <c r="M73" i="43"/>
  <c r="M71" i="43"/>
  <c r="Q70" i="43"/>
  <c r="K70" i="43"/>
  <c r="O68" i="43"/>
  <c r="K68" i="43"/>
  <c r="O66" i="43"/>
  <c r="K66" i="43"/>
  <c r="O64" i="43"/>
  <c r="K64" i="43"/>
  <c r="O62" i="43"/>
  <c r="K62" i="43"/>
  <c r="O60" i="43"/>
  <c r="K60" i="43"/>
  <c r="O58" i="43"/>
  <c r="K58" i="43"/>
  <c r="O56" i="43"/>
  <c r="K56" i="43"/>
  <c r="O54" i="43"/>
  <c r="K54" i="43"/>
  <c r="S9" i="43"/>
  <c r="O9" i="43"/>
  <c r="K9" i="43"/>
  <c r="Q8" i="43"/>
  <c r="M8" i="43"/>
  <c r="S7" i="43"/>
  <c r="O7" i="43"/>
  <c r="K7" i="43"/>
  <c r="Q6" i="43"/>
  <c r="M6" i="43"/>
  <c r="S5" i="43"/>
  <c r="O5" i="43"/>
  <c r="K5" i="43"/>
  <c r="Q4" i="43"/>
  <c r="M4" i="43"/>
  <c r="S3" i="43"/>
  <c r="O3" i="43"/>
  <c r="K3" i="43"/>
  <c r="Q2" i="43"/>
  <c r="M2" i="43"/>
  <c r="O69" i="43"/>
  <c r="K69" i="43"/>
  <c r="O67" i="43"/>
  <c r="K67" i="43"/>
  <c r="O65" i="43"/>
  <c r="K65" i="43"/>
  <c r="O63" i="43"/>
  <c r="K63" i="43"/>
  <c r="O61" i="43"/>
  <c r="K61" i="43"/>
  <c r="O59" i="43"/>
  <c r="K59" i="43"/>
  <c r="O57" i="43"/>
  <c r="K57" i="43"/>
  <c r="O55" i="43"/>
  <c r="K55" i="43"/>
  <c r="O53" i="43"/>
  <c r="K53" i="43"/>
  <c r="O52" i="43"/>
  <c r="K52" i="43"/>
  <c r="O51" i="43"/>
  <c r="K51" i="43"/>
  <c r="O50" i="43"/>
  <c r="K50" i="43"/>
  <c r="O49" i="43"/>
  <c r="K49" i="43"/>
  <c r="O48" i="43"/>
  <c r="K48" i="43"/>
  <c r="O47" i="43"/>
  <c r="K47" i="43"/>
  <c r="O46" i="43"/>
  <c r="K46" i="43"/>
  <c r="O45" i="43"/>
  <c r="K45" i="43"/>
  <c r="O44" i="43"/>
  <c r="K44" i="43"/>
  <c r="O43" i="43"/>
  <c r="K43" i="43"/>
  <c r="O42" i="43"/>
  <c r="K42" i="43"/>
  <c r="O41" i="43"/>
  <c r="K41" i="43"/>
  <c r="O40" i="43"/>
  <c r="K40" i="43"/>
  <c r="O39" i="43"/>
  <c r="K39" i="43"/>
  <c r="O38" i="43"/>
  <c r="K38" i="43"/>
  <c r="O37" i="43"/>
  <c r="K37" i="43"/>
  <c r="O36" i="43"/>
  <c r="K36" i="43"/>
  <c r="O35" i="43"/>
  <c r="K35" i="43"/>
  <c r="O34" i="43"/>
  <c r="K34" i="43"/>
  <c r="O33" i="43"/>
  <c r="K33" i="43"/>
  <c r="O32" i="43"/>
  <c r="K32" i="43"/>
  <c r="O31" i="43"/>
  <c r="K31" i="43"/>
  <c r="O30" i="43"/>
  <c r="K30" i="43"/>
  <c r="O29" i="43"/>
  <c r="K29" i="43"/>
  <c r="O28" i="43"/>
  <c r="K28" i="43"/>
  <c r="O27" i="43"/>
  <c r="K27" i="43"/>
  <c r="O26" i="43"/>
  <c r="K26" i="43"/>
  <c r="O25" i="43"/>
  <c r="K25" i="43"/>
  <c r="O24" i="43"/>
  <c r="Q23" i="43"/>
  <c r="M23" i="43"/>
  <c r="O22" i="43"/>
  <c r="O21" i="43"/>
  <c r="Q20" i="43"/>
  <c r="O19" i="43"/>
  <c r="Q18" i="43"/>
  <c r="O17" i="43"/>
  <c r="O16" i="43"/>
  <c r="Q15" i="43"/>
  <c r="O14" i="43"/>
  <c r="Q13" i="43"/>
  <c r="O12" i="43"/>
  <c r="Q11" i="43"/>
  <c r="O10" i="43"/>
  <c r="M24" i="43"/>
  <c r="M22" i="43"/>
  <c r="M21" i="43"/>
  <c r="K20" i="43"/>
  <c r="K14" i="43"/>
  <c r="K12" i="43"/>
  <c r="M10" i="43"/>
  <c r="Q21" i="43"/>
  <c r="Q19" i="43"/>
  <c r="O18" i="43"/>
  <c r="Q17" i="43"/>
  <c r="Q16" i="43"/>
  <c r="O15" i="43"/>
  <c r="Q14" i="43"/>
  <c r="O13" i="43"/>
  <c r="Q12" i="43"/>
  <c r="O11" i="43"/>
  <c r="Q10" i="43"/>
  <c r="Q137" i="42"/>
  <c r="K136" i="42"/>
  <c r="O134" i="42"/>
  <c r="Q133" i="42"/>
  <c r="K132" i="42"/>
  <c r="O130" i="42"/>
  <c r="Q129" i="42"/>
  <c r="K128" i="42"/>
  <c r="O126" i="42"/>
  <c r="Q125" i="42"/>
  <c r="K124" i="42"/>
  <c r="O122" i="42"/>
  <c r="K122" i="42"/>
  <c r="O120" i="42"/>
  <c r="K120" i="42"/>
  <c r="O118" i="42"/>
  <c r="K118" i="42"/>
  <c r="O116" i="42"/>
  <c r="K116" i="42"/>
  <c r="O114" i="42"/>
  <c r="K114" i="42"/>
  <c r="O112" i="42"/>
  <c r="K112" i="42"/>
  <c r="O110" i="42"/>
  <c r="K110" i="42"/>
  <c r="O108" i="42"/>
  <c r="K108" i="42"/>
  <c r="O106" i="42"/>
  <c r="K106" i="42"/>
  <c r="O104" i="42"/>
  <c r="K104" i="42"/>
  <c r="O102" i="42"/>
  <c r="K102" i="42"/>
  <c r="O100" i="42"/>
  <c r="K100" i="42"/>
  <c r="O98" i="42"/>
  <c r="K98" i="42"/>
  <c r="O96" i="42"/>
  <c r="K96" i="42"/>
  <c r="O94" i="42"/>
  <c r="K94" i="42"/>
  <c r="O92" i="42"/>
  <c r="K92" i="42"/>
  <c r="O90" i="42"/>
  <c r="K90" i="42"/>
  <c r="O88" i="42"/>
  <c r="K88" i="42"/>
  <c r="O86" i="42"/>
  <c r="K86" i="42"/>
  <c r="O84" i="42"/>
  <c r="K84" i="42"/>
  <c r="O82" i="42"/>
  <c r="K82" i="42"/>
  <c r="O80" i="42"/>
  <c r="K80" i="42"/>
  <c r="O78" i="42"/>
  <c r="K78" i="42"/>
  <c r="O76" i="42"/>
  <c r="K76" i="42"/>
  <c r="O74" i="42"/>
  <c r="K74" i="42"/>
  <c r="O72" i="42"/>
  <c r="K72" i="42"/>
  <c r="O70" i="42"/>
  <c r="K137" i="42"/>
  <c r="O135" i="42"/>
  <c r="Q134" i="42"/>
  <c r="K133" i="42"/>
  <c r="O131" i="42"/>
  <c r="Q130" i="42"/>
  <c r="K129" i="42"/>
  <c r="O127" i="42"/>
  <c r="Q126" i="42"/>
  <c r="K125" i="42"/>
  <c r="O123" i="42"/>
  <c r="K123" i="42"/>
  <c r="O121" i="42"/>
  <c r="K121" i="42"/>
  <c r="O119" i="42"/>
  <c r="K119" i="42"/>
  <c r="O117" i="42"/>
  <c r="K117" i="42"/>
  <c r="O115" i="42"/>
  <c r="K115" i="42"/>
  <c r="O113" i="42"/>
  <c r="K113" i="42"/>
  <c r="O111" i="42"/>
  <c r="K111" i="42"/>
  <c r="O109" i="42"/>
  <c r="K109" i="42"/>
  <c r="O107" i="42"/>
  <c r="K107" i="42"/>
  <c r="O105" i="42"/>
  <c r="K105" i="42"/>
  <c r="O103" i="42"/>
  <c r="K103" i="42"/>
  <c r="O101" i="42"/>
  <c r="K101" i="42"/>
  <c r="O99" i="42"/>
  <c r="K99" i="42"/>
  <c r="O97" i="42"/>
  <c r="K97" i="42"/>
  <c r="O95" i="42"/>
  <c r="K95" i="42"/>
  <c r="O93" i="42"/>
  <c r="K93" i="42"/>
  <c r="O91" i="42"/>
  <c r="K91" i="42"/>
  <c r="O89" i="42"/>
  <c r="K89" i="42"/>
  <c r="O87" i="42"/>
  <c r="K87" i="42"/>
  <c r="O85" i="42"/>
  <c r="K85" i="42"/>
  <c r="O83" i="42"/>
  <c r="K83" i="42"/>
  <c r="O81" i="42"/>
  <c r="K81" i="42"/>
  <c r="O79" i="42"/>
  <c r="K79" i="42"/>
  <c r="O77" i="42"/>
  <c r="K77" i="42"/>
  <c r="O75" i="42"/>
  <c r="K75" i="42"/>
  <c r="O73" i="42"/>
  <c r="K73" i="42"/>
  <c r="O71" i="42"/>
  <c r="K71" i="42"/>
  <c r="M70" i="42"/>
  <c r="Q69" i="42"/>
  <c r="M68" i="42"/>
  <c r="Q67" i="42"/>
  <c r="M66" i="42"/>
  <c r="Q65" i="42"/>
  <c r="M64" i="42"/>
  <c r="Q63" i="42"/>
  <c r="M62" i="42"/>
  <c r="Q61" i="42"/>
  <c r="M60" i="42"/>
  <c r="Q59" i="42"/>
  <c r="M58" i="42"/>
  <c r="Q57" i="42"/>
  <c r="M56" i="42"/>
  <c r="Q55" i="42"/>
  <c r="M54" i="42"/>
  <c r="Q53" i="42"/>
  <c r="Q9" i="42"/>
  <c r="M9" i="42"/>
  <c r="S8" i="42"/>
  <c r="O8" i="42"/>
  <c r="K8" i="42"/>
  <c r="Q7" i="42"/>
  <c r="M7" i="42"/>
  <c r="S6" i="42"/>
  <c r="O6" i="42"/>
  <c r="K6" i="42"/>
  <c r="Q5" i="42"/>
  <c r="M5" i="42"/>
  <c r="S4" i="42"/>
  <c r="O4" i="42"/>
  <c r="K4" i="42"/>
  <c r="Q3" i="42"/>
  <c r="M3" i="42"/>
  <c r="S2" i="42"/>
  <c r="O2" i="42"/>
  <c r="K2" i="42"/>
  <c r="M69" i="42"/>
  <c r="Q68" i="42"/>
  <c r="M67" i="42"/>
  <c r="Q66" i="42"/>
  <c r="M65" i="42"/>
  <c r="Q64" i="42"/>
  <c r="M63" i="42"/>
  <c r="Q62" i="42"/>
  <c r="M61" i="42"/>
  <c r="Q60" i="42"/>
  <c r="M59" i="42"/>
  <c r="Q58" i="42"/>
  <c r="M57" i="42"/>
  <c r="Q56" i="42"/>
  <c r="M55" i="42"/>
  <c r="Q54" i="42"/>
  <c r="M53" i="42"/>
  <c r="Q52" i="42"/>
  <c r="M52" i="42"/>
  <c r="Q51" i="42"/>
  <c r="M51" i="42"/>
  <c r="Q50" i="42"/>
  <c r="M50" i="42"/>
  <c r="Q49" i="42"/>
  <c r="M49" i="42"/>
  <c r="Q48" i="42"/>
  <c r="M48" i="42"/>
  <c r="Q47" i="42"/>
  <c r="M47" i="42"/>
  <c r="Q46" i="42"/>
  <c r="M46" i="42"/>
  <c r="Q45" i="42"/>
  <c r="M45" i="42"/>
  <c r="Q44" i="42"/>
  <c r="M44" i="42"/>
  <c r="Q43" i="42"/>
  <c r="M43" i="42"/>
  <c r="Q42" i="42"/>
  <c r="M42" i="42"/>
  <c r="Q41" i="42"/>
  <c r="M41" i="42"/>
  <c r="Q40" i="42"/>
  <c r="M40" i="42"/>
  <c r="Q39" i="42"/>
  <c r="M39" i="42"/>
  <c r="Q38" i="42"/>
  <c r="M38" i="42"/>
  <c r="Q37" i="42"/>
  <c r="M37" i="42"/>
  <c r="Q36" i="42"/>
  <c r="M36" i="42"/>
  <c r="Q35" i="42"/>
  <c r="M35" i="42"/>
  <c r="Q34" i="42"/>
  <c r="M34" i="42"/>
  <c r="Q33" i="42"/>
  <c r="M33" i="42"/>
  <c r="Q32" i="42"/>
  <c r="M32" i="42"/>
  <c r="Q31" i="42"/>
  <c r="M31" i="42"/>
  <c r="Q30" i="42"/>
  <c r="M30" i="42"/>
  <c r="Q29" i="42"/>
  <c r="M29" i="42"/>
  <c r="Q28" i="42"/>
  <c r="M28" i="42"/>
  <c r="Q27" i="42"/>
  <c r="M13" i="43"/>
  <c r="M11" i="43"/>
  <c r="Q22" i="43"/>
  <c r="O20" i="43"/>
  <c r="M19" i="43"/>
  <c r="K18" i="43"/>
  <c r="M17" i="43"/>
  <c r="M16" i="43"/>
  <c r="K15" i="43"/>
  <c r="M14" i="43"/>
  <c r="K13" i="43"/>
  <c r="M12" i="43"/>
  <c r="K11" i="43"/>
  <c r="K10" i="43"/>
  <c r="O136" i="42"/>
  <c r="Q135" i="42"/>
  <c r="K134" i="42"/>
  <c r="O132" i="42"/>
  <c r="Q131" i="42"/>
  <c r="K130" i="42"/>
  <c r="O128" i="42"/>
  <c r="Q127" i="42"/>
  <c r="K126" i="42"/>
  <c r="O124" i="42"/>
  <c r="Q123" i="42"/>
  <c r="M122" i="42"/>
  <c r="Q121" i="42"/>
  <c r="M120" i="42"/>
  <c r="Q119" i="42"/>
  <c r="M118" i="42"/>
  <c r="Q117" i="42"/>
  <c r="M116" i="42"/>
  <c r="Q115" i="42"/>
  <c r="M114" i="42"/>
  <c r="Q113" i="42"/>
  <c r="M112" i="42"/>
  <c r="Q111" i="42"/>
  <c r="M110" i="42"/>
  <c r="Q109" i="42"/>
  <c r="M108" i="42"/>
  <c r="Q107" i="42"/>
  <c r="M106" i="42"/>
  <c r="Q105" i="42"/>
  <c r="M104" i="42"/>
  <c r="Q103" i="42"/>
  <c r="M102" i="42"/>
  <c r="Q101" i="42"/>
  <c r="M100" i="42"/>
  <c r="Q99" i="42"/>
  <c r="M98" i="42"/>
  <c r="Q97" i="42"/>
  <c r="M96" i="42"/>
  <c r="Q95" i="42"/>
  <c r="M94" i="42"/>
  <c r="Q93" i="42"/>
  <c r="M92" i="42"/>
  <c r="Q91" i="42"/>
  <c r="M90" i="42"/>
  <c r="Q89" i="42"/>
  <c r="M88" i="42"/>
  <c r="Q87" i="42"/>
  <c r="M86" i="42"/>
  <c r="Q85" i="42"/>
  <c r="M84" i="42"/>
  <c r="Q83" i="42"/>
  <c r="M82" i="42"/>
  <c r="Q81" i="42"/>
  <c r="M80" i="42"/>
  <c r="Q79" i="42"/>
  <c r="M78" i="42"/>
  <c r="Q77" i="42"/>
  <c r="M76" i="42"/>
  <c r="Q75" i="42"/>
  <c r="M74" i="42"/>
  <c r="Q73" i="42"/>
  <c r="M72" i="42"/>
  <c r="Q71" i="42"/>
  <c r="O137" i="42"/>
  <c r="Q136" i="42"/>
  <c r="K135" i="42"/>
  <c r="O133" i="42"/>
  <c r="Q132" i="42"/>
  <c r="K131" i="42"/>
  <c r="O129" i="42"/>
  <c r="Q128" i="42"/>
  <c r="K127" i="42"/>
  <c r="O125" i="42"/>
  <c r="Q124" i="42"/>
  <c r="M123" i="42"/>
  <c r="Q122" i="42"/>
  <c r="M121" i="42"/>
  <c r="Q120" i="42"/>
  <c r="M119" i="42"/>
  <c r="Q118" i="42"/>
  <c r="M117" i="42"/>
  <c r="Q116" i="42"/>
  <c r="M115" i="42"/>
  <c r="Q114" i="42"/>
  <c r="M113" i="42"/>
  <c r="Q112" i="42"/>
  <c r="M111" i="42"/>
  <c r="Q110" i="42"/>
  <c r="M109" i="42"/>
  <c r="Q108" i="42"/>
  <c r="M107" i="42"/>
  <c r="Q106" i="42"/>
  <c r="M105" i="42"/>
  <c r="Q104" i="42"/>
  <c r="M103" i="42"/>
  <c r="Q102" i="42"/>
  <c r="M101" i="42"/>
  <c r="Q100" i="42"/>
  <c r="M99" i="42"/>
  <c r="Q98" i="42"/>
  <c r="M97" i="42"/>
  <c r="Q96" i="42"/>
  <c r="M95" i="42"/>
  <c r="Q94" i="42"/>
  <c r="M93" i="42"/>
  <c r="Q92" i="42"/>
  <c r="M91" i="42"/>
  <c r="Q90" i="42"/>
  <c r="M89" i="42"/>
  <c r="Q88" i="42"/>
  <c r="M87" i="42"/>
  <c r="Q86" i="42"/>
  <c r="M85" i="42"/>
  <c r="Q84" i="42"/>
  <c r="M83" i="42"/>
  <c r="Q82" i="42"/>
  <c r="M81" i="42"/>
  <c r="Q80" i="42"/>
  <c r="M79" i="42"/>
  <c r="Q78" i="42"/>
  <c r="M77" i="42"/>
  <c r="Q76" i="42"/>
  <c r="M75" i="42"/>
  <c r="Q74" i="42"/>
  <c r="M73" i="42"/>
  <c r="Q72" i="42"/>
  <c r="M71" i="42"/>
  <c r="Q70" i="42"/>
  <c r="K70" i="42"/>
  <c r="O68" i="42"/>
  <c r="K68" i="42"/>
  <c r="O66" i="42"/>
  <c r="K66" i="42"/>
  <c r="O64" i="42"/>
  <c r="K64" i="42"/>
  <c r="O62" i="42"/>
  <c r="K62" i="42"/>
  <c r="O60" i="42"/>
  <c r="K60" i="42"/>
  <c r="O58" i="42"/>
  <c r="K58" i="42"/>
  <c r="O56" i="42"/>
  <c r="K56" i="42"/>
  <c r="O54" i="42"/>
  <c r="K54" i="42"/>
  <c r="S9" i="42"/>
  <c r="O9" i="42"/>
  <c r="K9" i="42"/>
  <c r="Q8" i="42"/>
  <c r="M8" i="42"/>
  <c r="S7" i="42"/>
  <c r="O7" i="42"/>
  <c r="K7" i="42"/>
  <c r="Q6" i="42"/>
  <c r="M6" i="42"/>
  <c r="S5" i="42"/>
  <c r="O5" i="42"/>
  <c r="K5" i="42"/>
  <c r="Q4" i="42"/>
  <c r="M4" i="42"/>
  <c r="S3" i="42"/>
  <c r="O3" i="42"/>
  <c r="K3" i="42"/>
  <c r="Q2" i="42"/>
  <c r="M2" i="42"/>
  <c r="O69" i="42"/>
  <c r="K69" i="42"/>
  <c r="O67" i="42"/>
  <c r="K67" i="42"/>
  <c r="O65" i="42"/>
  <c r="K65" i="42"/>
  <c r="O63" i="42"/>
  <c r="K63" i="42"/>
  <c r="O61" i="42"/>
  <c r="K61" i="42"/>
  <c r="O59" i="42"/>
  <c r="K59" i="42"/>
  <c r="O57" i="42"/>
  <c r="K57" i="42"/>
  <c r="O55" i="42"/>
  <c r="K55" i="42"/>
  <c r="O53" i="42"/>
  <c r="K53" i="42"/>
  <c r="O52" i="42"/>
  <c r="K52" i="42"/>
  <c r="O51" i="42"/>
  <c r="K51" i="42"/>
  <c r="O50" i="42"/>
  <c r="K50" i="42"/>
  <c r="O49" i="42"/>
  <c r="K49" i="42"/>
  <c r="O48" i="42"/>
  <c r="K48" i="42"/>
  <c r="O47" i="42"/>
  <c r="K47" i="42"/>
  <c r="O46" i="42"/>
  <c r="K46" i="42"/>
  <c r="O45" i="42"/>
  <c r="K45" i="42"/>
  <c r="O44" i="42"/>
  <c r="K44" i="42"/>
  <c r="O43" i="42"/>
  <c r="K43" i="42"/>
  <c r="O42" i="42"/>
  <c r="K42" i="42"/>
  <c r="O41" i="42"/>
  <c r="K41" i="42"/>
  <c r="O40" i="42"/>
  <c r="K40" i="42"/>
  <c r="O39" i="42"/>
  <c r="K39" i="42"/>
  <c r="O38" i="42"/>
  <c r="K38" i="42"/>
  <c r="O37" i="42"/>
  <c r="K37" i="42"/>
  <c r="O36" i="42"/>
  <c r="K36" i="42"/>
  <c r="O35" i="42"/>
  <c r="K35" i="42"/>
  <c r="O34" i="42"/>
  <c r="K34" i="42"/>
  <c r="O33" i="42"/>
  <c r="K33" i="42"/>
  <c r="O32" i="42"/>
  <c r="K32" i="42"/>
  <c r="O31" i="42"/>
  <c r="K31" i="42"/>
  <c r="O30" i="42"/>
  <c r="K30" i="42"/>
  <c r="O29" i="42"/>
  <c r="K29" i="42"/>
  <c r="O28" i="42"/>
  <c r="K28" i="42"/>
  <c r="O27" i="42"/>
  <c r="K27" i="42"/>
  <c r="O26" i="42"/>
  <c r="K26" i="42"/>
  <c r="O25" i="42"/>
  <c r="Q24" i="42"/>
  <c r="M24" i="42"/>
  <c r="Q23" i="42"/>
  <c r="M27" i="42"/>
  <c r="M26" i="42"/>
  <c r="M25" i="42"/>
  <c r="K24" i="42"/>
  <c r="K23" i="42"/>
  <c r="K22" i="42"/>
  <c r="K21" i="42"/>
  <c r="K20" i="42"/>
  <c r="K19" i="42"/>
  <c r="K18" i="42"/>
  <c r="K17" i="42"/>
  <c r="K16" i="42"/>
  <c r="K15" i="42"/>
  <c r="K14" i="42"/>
  <c r="K13" i="42"/>
  <c r="M12" i="42"/>
  <c r="K11" i="42"/>
  <c r="M10" i="42"/>
  <c r="M23" i="42"/>
  <c r="M22" i="42"/>
  <c r="M21" i="42"/>
  <c r="M20" i="42"/>
  <c r="M19" i="42"/>
  <c r="M18" i="42"/>
  <c r="M17" i="42"/>
  <c r="M16" i="42"/>
  <c r="M15" i="42"/>
  <c r="M14" i="42"/>
  <c r="M13" i="42"/>
  <c r="K12" i="42"/>
  <c r="M11" i="42"/>
  <c r="K10" i="42"/>
  <c r="O136" i="41"/>
  <c r="Q135" i="41"/>
  <c r="K134" i="41"/>
  <c r="O132" i="41"/>
  <c r="Q131" i="41"/>
  <c r="K130" i="41"/>
  <c r="O128" i="41"/>
  <c r="Q127" i="41"/>
  <c r="K126" i="41"/>
  <c r="O124" i="41"/>
  <c r="Q123" i="41"/>
  <c r="M122" i="41"/>
  <c r="Q121" i="41"/>
  <c r="M120" i="41"/>
  <c r="Q119" i="41"/>
  <c r="M118" i="41"/>
  <c r="Q117" i="41"/>
  <c r="M116" i="41"/>
  <c r="Q115" i="41"/>
  <c r="M114" i="41"/>
  <c r="Q113" i="41"/>
  <c r="M112" i="41"/>
  <c r="Q111" i="41"/>
  <c r="M110" i="41"/>
  <c r="Q109" i="41"/>
  <c r="M108" i="41"/>
  <c r="Q107" i="41"/>
  <c r="M106" i="41"/>
  <c r="Q105" i="41"/>
  <c r="M104" i="41"/>
  <c r="Q103" i="41"/>
  <c r="M102" i="41"/>
  <c r="Q101" i="41"/>
  <c r="M100" i="41"/>
  <c r="Q99" i="41"/>
  <c r="M98" i="41"/>
  <c r="Q97" i="41"/>
  <c r="M96" i="41"/>
  <c r="Q95" i="41"/>
  <c r="M94" i="41"/>
  <c r="Q93" i="41"/>
  <c r="M92" i="41"/>
  <c r="Q91" i="41"/>
  <c r="M90" i="41"/>
  <c r="Q89" i="41"/>
  <c r="M88" i="41"/>
  <c r="Q87" i="41"/>
  <c r="M86" i="41"/>
  <c r="Q85" i="41"/>
  <c r="M84" i="41"/>
  <c r="Q83" i="41"/>
  <c r="M82" i="41"/>
  <c r="Q81" i="41"/>
  <c r="M80" i="41"/>
  <c r="Q79" i="41"/>
  <c r="M78" i="41"/>
  <c r="Q77" i="41"/>
  <c r="M76" i="41"/>
  <c r="Q75" i="41"/>
  <c r="M74" i="41"/>
  <c r="Q73" i="41"/>
  <c r="M72" i="41"/>
  <c r="Q71" i="41"/>
  <c r="O137" i="41"/>
  <c r="Q136" i="41"/>
  <c r="K135" i="41"/>
  <c r="O133" i="41"/>
  <c r="Q132" i="41"/>
  <c r="K131" i="41"/>
  <c r="O129" i="41"/>
  <c r="Q128" i="41"/>
  <c r="K127" i="41"/>
  <c r="O125" i="41"/>
  <c r="Q124" i="41"/>
  <c r="M123" i="41"/>
  <c r="Q122" i="41"/>
  <c r="M121" i="41"/>
  <c r="Q120" i="41"/>
  <c r="M119" i="41"/>
  <c r="Q118" i="41"/>
  <c r="M117" i="41"/>
  <c r="Q116" i="41"/>
  <c r="M115" i="41"/>
  <c r="Q114" i="41"/>
  <c r="M113" i="41"/>
  <c r="Q112" i="41"/>
  <c r="M111" i="41"/>
  <c r="Q110" i="41"/>
  <c r="M109" i="41"/>
  <c r="Q108" i="41"/>
  <c r="M107" i="41"/>
  <c r="Q106" i="41"/>
  <c r="M105" i="41"/>
  <c r="Q104" i="41"/>
  <c r="M103" i="41"/>
  <c r="Q102" i="41"/>
  <c r="M101" i="41"/>
  <c r="Q100" i="41"/>
  <c r="M99" i="41"/>
  <c r="Q98" i="41"/>
  <c r="M97" i="41"/>
  <c r="Q96" i="41"/>
  <c r="M95" i="41"/>
  <c r="Q94" i="41"/>
  <c r="M93" i="41"/>
  <c r="Q92" i="41"/>
  <c r="M91" i="41"/>
  <c r="Q90" i="41"/>
  <c r="M89" i="41"/>
  <c r="Q88" i="41"/>
  <c r="M87" i="41"/>
  <c r="Q86" i="41"/>
  <c r="M85" i="41"/>
  <c r="Q84" i="41"/>
  <c r="M83" i="41"/>
  <c r="Q82" i="41"/>
  <c r="M81" i="41"/>
  <c r="Q80" i="41"/>
  <c r="M79" i="41"/>
  <c r="Q78" i="41"/>
  <c r="M77" i="41"/>
  <c r="Q76" i="41"/>
  <c r="M75" i="41"/>
  <c r="Q74" i="41"/>
  <c r="M73" i="41"/>
  <c r="Q72" i="41"/>
  <c r="M71" i="41"/>
  <c r="Q70" i="41"/>
  <c r="K70" i="41"/>
  <c r="O68" i="41"/>
  <c r="K68" i="41"/>
  <c r="O66" i="41"/>
  <c r="K66" i="41"/>
  <c r="O64" i="41"/>
  <c r="K64" i="41"/>
  <c r="O62" i="41"/>
  <c r="K62" i="41"/>
  <c r="O60" i="41"/>
  <c r="K60" i="41"/>
  <c r="O58" i="41"/>
  <c r="K58" i="41"/>
  <c r="O56" i="41"/>
  <c r="K56" i="41"/>
  <c r="O54" i="41"/>
  <c r="K54" i="41"/>
  <c r="S9" i="41"/>
  <c r="O9" i="41"/>
  <c r="K9" i="41"/>
  <c r="Q8" i="41"/>
  <c r="M8" i="41"/>
  <c r="S7" i="41"/>
  <c r="O7" i="41"/>
  <c r="K7" i="41"/>
  <c r="Q6" i="41"/>
  <c r="M6" i="41"/>
  <c r="S5" i="41"/>
  <c r="O5" i="41"/>
  <c r="K5" i="41"/>
  <c r="Q4" i="41"/>
  <c r="M4" i="41"/>
  <c r="S3" i="41"/>
  <c r="O3" i="41"/>
  <c r="K3" i="41"/>
  <c r="Q2" i="41"/>
  <c r="M2" i="41"/>
  <c r="M30" i="41"/>
  <c r="O28" i="41"/>
  <c r="O27" i="41"/>
  <c r="O26" i="41"/>
  <c r="O25" i="41"/>
  <c r="O24" i="41"/>
  <c r="O23" i="41"/>
  <c r="O22" i="41"/>
  <c r="O21" i="41"/>
  <c r="Q20" i="41"/>
  <c r="Q19" i="41"/>
  <c r="O18" i="41"/>
  <c r="O17" i="41"/>
  <c r="Q16" i="41"/>
  <c r="Q15" i="41"/>
  <c r="Q14" i="41"/>
  <c r="Q13" i="41"/>
  <c r="Q12" i="41"/>
  <c r="O11" i="41"/>
  <c r="Q10" i="41"/>
  <c r="O69" i="41"/>
  <c r="K69" i="41"/>
  <c r="O67" i="41"/>
  <c r="K67" i="41"/>
  <c r="O65" i="41"/>
  <c r="K65" i="41"/>
  <c r="O63" i="41"/>
  <c r="K63" i="41"/>
  <c r="O61" i="41"/>
  <c r="K61" i="41"/>
  <c r="O59" i="41"/>
  <c r="K59" i="41"/>
  <c r="O57" i="41"/>
  <c r="K57" i="41"/>
  <c r="O55" i="41"/>
  <c r="K55" i="41"/>
  <c r="O53" i="41"/>
  <c r="K53" i="41"/>
  <c r="O52" i="41"/>
  <c r="K52" i="41"/>
  <c r="O51" i="41"/>
  <c r="K51" i="41"/>
  <c r="O50" i="41"/>
  <c r="K50" i="41"/>
  <c r="O49" i="41"/>
  <c r="K49" i="41"/>
  <c r="O48" i="41"/>
  <c r="K48" i="41"/>
  <c r="O47" i="41"/>
  <c r="K47" i="41"/>
  <c r="O46" i="41"/>
  <c r="K46" i="41"/>
  <c r="O45" i="41"/>
  <c r="K45" i="41"/>
  <c r="O44" i="41"/>
  <c r="K44" i="41"/>
  <c r="O43" i="41"/>
  <c r="K43" i="41"/>
  <c r="Q26" i="42"/>
  <c r="Q25" i="42"/>
  <c r="O24" i="42"/>
  <c r="O23" i="42"/>
  <c r="O22" i="42"/>
  <c r="O21" i="42"/>
  <c r="O20" i="42"/>
  <c r="O19" i="42"/>
  <c r="O18" i="42"/>
  <c r="O17" i="42"/>
  <c r="O16" i="42"/>
  <c r="O15" i="42"/>
  <c r="O14" i="42"/>
  <c r="O13" i="42"/>
  <c r="Q12" i="42"/>
  <c r="O11" i="42"/>
  <c r="Q10" i="42"/>
  <c r="K25" i="42"/>
  <c r="Q22" i="42"/>
  <c r="Q21" i="42"/>
  <c r="Q20" i="42"/>
  <c r="Q19" i="42"/>
  <c r="Q18" i="42"/>
  <c r="Q17" i="42"/>
  <c r="Q16" i="42"/>
  <c r="Q15" i="42"/>
  <c r="Q14" i="42"/>
  <c r="Q13" i="42"/>
  <c r="O12" i="42"/>
  <c r="Q11" i="42"/>
  <c r="O10" i="42"/>
  <c r="Q137" i="41"/>
  <c r="K136" i="41"/>
  <c r="O134" i="41"/>
  <c r="Q133" i="41"/>
  <c r="K132" i="41"/>
  <c r="O130" i="41"/>
  <c r="Q129" i="41"/>
  <c r="K128" i="41"/>
  <c r="O126" i="41"/>
  <c r="Q125" i="41"/>
  <c r="K124" i="41"/>
  <c r="O122" i="41"/>
  <c r="K122" i="41"/>
  <c r="O120" i="41"/>
  <c r="K120" i="41"/>
  <c r="O118" i="41"/>
  <c r="K118" i="41"/>
  <c r="O116" i="41"/>
  <c r="K116" i="41"/>
  <c r="O114" i="41"/>
  <c r="K114" i="41"/>
  <c r="O112" i="41"/>
  <c r="K112" i="41"/>
  <c r="O110" i="41"/>
  <c r="K110" i="41"/>
  <c r="O108" i="41"/>
  <c r="K108" i="41"/>
  <c r="O106" i="41"/>
  <c r="K106" i="41"/>
  <c r="O104" i="41"/>
  <c r="K104" i="41"/>
  <c r="O102" i="41"/>
  <c r="K102" i="41"/>
  <c r="O100" i="41"/>
  <c r="K100" i="41"/>
  <c r="O98" i="41"/>
  <c r="K98" i="41"/>
  <c r="O96" i="41"/>
  <c r="K96" i="41"/>
  <c r="O94" i="41"/>
  <c r="K94" i="41"/>
  <c r="O92" i="41"/>
  <c r="K92" i="41"/>
  <c r="O90" i="41"/>
  <c r="K90" i="41"/>
  <c r="O88" i="41"/>
  <c r="K88" i="41"/>
  <c r="O86" i="41"/>
  <c r="K86" i="41"/>
  <c r="O84" i="41"/>
  <c r="K84" i="41"/>
  <c r="O82" i="41"/>
  <c r="K82" i="41"/>
  <c r="O80" i="41"/>
  <c r="K80" i="41"/>
  <c r="O78" i="41"/>
  <c r="K78" i="41"/>
  <c r="O76" i="41"/>
  <c r="K76" i="41"/>
  <c r="O74" i="41"/>
  <c r="K74" i="41"/>
  <c r="O72" i="41"/>
  <c r="K72" i="41"/>
  <c r="O70" i="41"/>
  <c r="K137" i="41"/>
  <c r="O135" i="41"/>
  <c r="Q134" i="41"/>
  <c r="K133" i="41"/>
  <c r="O131" i="41"/>
  <c r="Q130" i="41"/>
  <c r="K129" i="41"/>
  <c r="O127" i="41"/>
  <c r="Q126" i="41"/>
  <c r="K125" i="41"/>
  <c r="O123" i="41"/>
  <c r="K123" i="41"/>
  <c r="O121" i="41"/>
  <c r="K121" i="41"/>
  <c r="O119" i="41"/>
  <c r="K119" i="41"/>
  <c r="O117" i="41"/>
  <c r="K117" i="41"/>
  <c r="O115" i="41"/>
  <c r="K115" i="41"/>
  <c r="O113" i="41"/>
  <c r="K113" i="41"/>
  <c r="O111" i="41"/>
  <c r="K111" i="41"/>
  <c r="O109" i="41"/>
  <c r="K109" i="41"/>
  <c r="O107" i="41"/>
  <c r="K107" i="41"/>
  <c r="O105" i="41"/>
  <c r="K105" i="41"/>
  <c r="O103" i="41"/>
  <c r="K103" i="41"/>
  <c r="O101" i="41"/>
  <c r="K101" i="41"/>
  <c r="O99" i="41"/>
  <c r="K99" i="41"/>
  <c r="O97" i="41"/>
  <c r="K97" i="41"/>
  <c r="O95" i="41"/>
  <c r="K95" i="41"/>
  <c r="O93" i="41"/>
  <c r="K93" i="41"/>
  <c r="O91" i="41"/>
  <c r="K91" i="41"/>
  <c r="O89" i="41"/>
  <c r="K89" i="41"/>
  <c r="O87" i="41"/>
  <c r="K87" i="41"/>
  <c r="O85" i="41"/>
  <c r="K85" i="41"/>
  <c r="O83" i="41"/>
  <c r="K83" i="41"/>
  <c r="O81" i="41"/>
  <c r="K81" i="41"/>
  <c r="O79" i="41"/>
  <c r="K79" i="41"/>
  <c r="O77" i="41"/>
  <c r="K77" i="41"/>
  <c r="O75" i="41"/>
  <c r="K75" i="41"/>
  <c r="O73" i="41"/>
  <c r="K73" i="41"/>
  <c r="O71" i="41"/>
  <c r="K71" i="41"/>
  <c r="M70" i="41"/>
  <c r="Q69" i="41"/>
  <c r="M68" i="41"/>
  <c r="Q67" i="41"/>
  <c r="M66" i="41"/>
  <c r="Q65" i="41"/>
  <c r="M64" i="41"/>
  <c r="Q63" i="41"/>
  <c r="M62" i="41"/>
  <c r="Q61" i="41"/>
  <c r="M60" i="41"/>
  <c r="Q59" i="41"/>
  <c r="M58" i="41"/>
  <c r="Q57" i="41"/>
  <c r="M56" i="41"/>
  <c r="Q55" i="41"/>
  <c r="M54" i="41"/>
  <c r="Q53" i="41"/>
  <c r="Q9" i="41"/>
  <c r="M9" i="41"/>
  <c r="S8" i="41"/>
  <c r="O8" i="41"/>
  <c r="K8" i="41"/>
  <c r="Q7" i="41"/>
  <c r="M7" i="41"/>
  <c r="S6" i="41"/>
  <c r="O6" i="41"/>
  <c r="K6" i="41"/>
  <c r="Q5" i="41"/>
  <c r="M5" i="41"/>
  <c r="S4" i="41"/>
  <c r="O4" i="41"/>
  <c r="K4" i="41"/>
  <c r="Q3" i="41"/>
  <c r="M3" i="41"/>
  <c r="S2" i="41"/>
  <c r="O2" i="41"/>
  <c r="K2" i="41"/>
  <c r="K29" i="41"/>
  <c r="K28" i="41"/>
  <c r="K27" i="41"/>
  <c r="K26" i="41"/>
  <c r="K25" i="41"/>
  <c r="K24" i="41"/>
  <c r="K23" i="41"/>
  <c r="K22" i="41"/>
  <c r="M21" i="41"/>
  <c r="K20" i="41"/>
  <c r="M19" i="41"/>
  <c r="M18" i="41"/>
  <c r="M17" i="41"/>
  <c r="K16" i="41"/>
  <c r="M15" i="41"/>
  <c r="M14" i="41"/>
  <c r="M13" i="41"/>
  <c r="M12" i="41"/>
  <c r="K11" i="41"/>
  <c r="M10" i="41"/>
  <c r="M69" i="41"/>
  <c r="Q68" i="41"/>
  <c r="M67" i="41"/>
  <c r="Q66" i="41"/>
  <c r="M65" i="41"/>
  <c r="Q64" i="41"/>
  <c r="M63" i="41"/>
  <c r="Q62" i="41"/>
  <c r="M61" i="41"/>
  <c r="Q60" i="41"/>
  <c r="M59" i="41"/>
  <c r="Q58" i="41"/>
  <c r="M57" i="41"/>
  <c r="Q56" i="41"/>
  <c r="M55" i="41"/>
  <c r="Q54" i="41"/>
  <c r="M53" i="41"/>
  <c r="Q52" i="41"/>
  <c r="M52" i="41"/>
  <c r="Q51" i="41"/>
  <c r="M51" i="41"/>
  <c r="Q50" i="41"/>
  <c r="M50" i="41"/>
  <c r="Q49" i="41"/>
  <c r="M49" i="41"/>
  <c r="Q48" i="41"/>
  <c r="M48" i="41"/>
  <c r="Q47" i="41"/>
  <c r="M47" i="41"/>
  <c r="Q46" i="41"/>
  <c r="M46" i="41"/>
  <c r="Q45" i="41"/>
  <c r="M45" i="41"/>
  <c r="Q44" i="41"/>
  <c r="M44" i="41"/>
  <c r="Q43" i="41"/>
  <c r="M43" i="41"/>
  <c r="Q42" i="41"/>
  <c r="M42" i="41"/>
  <c r="O42" i="41"/>
  <c r="Q41" i="41"/>
  <c r="M41" i="41"/>
  <c r="Q40" i="41"/>
  <c r="M40" i="41"/>
  <c r="Q39" i="41"/>
  <c r="M39" i="41"/>
  <c r="Q38" i="41"/>
  <c r="M38" i="41"/>
  <c r="Q37" i="41"/>
  <c r="M37" i="41"/>
  <c r="Q36" i="41"/>
  <c r="M36" i="41"/>
  <c r="Q35" i="41"/>
  <c r="M35" i="41"/>
  <c r="Q34" i="41"/>
  <c r="M34" i="41"/>
  <c r="Q33" i="41"/>
  <c r="M33" i="41"/>
  <c r="Q32" i="41"/>
  <c r="M32" i="41"/>
  <c r="Q31" i="41"/>
  <c r="M31" i="41"/>
  <c r="Q30" i="41"/>
  <c r="K30" i="41"/>
  <c r="O29" i="41"/>
  <c r="Q28" i="41"/>
  <c r="Q27" i="41"/>
  <c r="Q26" i="41"/>
  <c r="Q25" i="41"/>
  <c r="Q24" i="41"/>
  <c r="Q23" i="41"/>
  <c r="Q22" i="41"/>
  <c r="Q21" i="41"/>
  <c r="O20" i="41"/>
  <c r="O19" i="41"/>
  <c r="Q18" i="41"/>
  <c r="Q17" i="41"/>
  <c r="O16" i="41"/>
  <c r="O15" i="41"/>
  <c r="O14" i="41"/>
  <c r="O13" i="41"/>
  <c r="O12" i="41"/>
  <c r="Q11" i="41"/>
  <c r="O10" i="41"/>
  <c r="Q137" i="40"/>
  <c r="K136" i="40"/>
  <c r="O134" i="40"/>
  <c r="Q133" i="40"/>
  <c r="K132" i="40"/>
  <c r="O130" i="40"/>
  <c r="Q129" i="40"/>
  <c r="K128" i="40"/>
  <c r="O126" i="40"/>
  <c r="Q125" i="40"/>
  <c r="K124" i="40"/>
  <c r="O122" i="40"/>
  <c r="K122" i="40"/>
  <c r="O120" i="40"/>
  <c r="K120" i="40"/>
  <c r="O118" i="40"/>
  <c r="K118" i="40"/>
  <c r="O116" i="40"/>
  <c r="K116" i="40"/>
  <c r="O114" i="40"/>
  <c r="K114" i="40"/>
  <c r="O112" i="40"/>
  <c r="K112" i="40"/>
  <c r="O110" i="40"/>
  <c r="K110" i="40"/>
  <c r="O108" i="40"/>
  <c r="K108" i="40"/>
  <c r="O106" i="40"/>
  <c r="K106" i="40"/>
  <c r="O104" i="40"/>
  <c r="K104" i="40"/>
  <c r="O102" i="40"/>
  <c r="K102" i="40"/>
  <c r="O100" i="40"/>
  <c r="K100" i="40"/>
  <c r="O98" i="40"/>
  <c r="K98" i="40"/>
  <c r="O96" i="40"/>
  <c r="K96" i="40"/>
  <c r="O94" i="40"/>
  <c r="K94" i="40"/>
  <c r="O92" i="40"/>
  <c r="K92" i="40"/>
  <c r="O90" i="40"/>
  <c r="K90" i="40"/>
  <c r="O88" i="40"/>
  <c r="K88" i="40"/>
  <c r="O86" i="40"/>
  <c r="K86" i="40"/>
  <c r="O84" i="40"/>
  <c r="K84" i="40"/>
  <c r="O82" i="40"/>
  <c r="K82" i="40"/>
  <c r="O80" i="40"/>
  <c r="K80" i="40"/>
  <c r="O78" i="40"/>
  <c r="K78" i="40"/>
  <c r="O76" i="40"/>
  <c r="K76" i="40"/>
  <c r="O74" i="40"/>
  <c r="K74" i="40"/>
  <c r="O72" i="40"/>
  <c r="K72" i="40"/>
  <c r="O70" i="40"/>
  <c r="K137" i="40"/>
  <c r="O135" i="40"/>
  <c r="Q134" i="40"/>
  <c r="K133" i="40"/>
  <c r="O131" i="40"/>
  <c r="Q130" i="40"/>
  <c r="K129" i="40"/>
  <c r="O127" i="40"/>
  <c r="Q126" i="40"/>
  <c r="K125" i="40"/>
  <c r="O123" i="40"/>
  <c r="K123" i="40"/>
  <c r="O121" i="40"/>
  <c r="K121" i="40"/>
  <c r="O119" i="40"/>
  <c r="K119" i="40"/>
  <c r="O117" i="40"/>
  <c r="K117" i="40"/>
  <c r="O115" i="40"/>
  <c r="K115" i="40"/>
  <c r="O113" i="40"/>
  <c r="K113" i="40"/>
  <c r="O111" i="40"/>
  <c r="K111" i="40"/>
  <c r="O109" i="40"/>
  <c r="K109" i="40"/>
  <c r="O107" i="40"/>
  <c r="K107" i="40"/>
  <c r="O105" i="40"/>
  <c r="K105" i="40"/>
  <c r="O103" i="40"/>
  <c r="K103" i="40"/>
  <c r="O101" i="40"/>
  <c r="K101" i="40"/>
  <c r="O99" i="40"/>
  <c r="K99" i="40"/>
  <c r="O97" i="40"/>
  <c r="K97" i="40"/>
  <c r="O95" i="40"/>
  <c r="K95" i="40"/>
  <c r="O93" i="40"/>
  <c r="K93" i="40"/>
  <c r="O91" i="40"/>
  <c r="K91" i="40"/>
  <c r="O89" i="40"/>
  <c r="K89" i="40"/>
  <c r="O87" i="40"/>
  <c r="K87" i="40"/>
  <c r="O85" i="40"/>
  <c r="K85" i="40"/>
  <c r="O83" i="40"/>
  <c r="K83" i="40"/>
  <c r="O81" i="40"/>
  <c r="K81" i="40"/>
  <c r="O79" i="40"/>
  <c r="K79" i="40"/>
  <c r="O77" i="40"/>
  <c r="K77" i="40"/>
  <c r="O75" i="40"/>
  <c r="K75" i="40"/>
  <c r="O73" i="40"/>
  <c r="K73" i="40"/>
  <c r="O71" i="40"/>
  <c r="K71" i="40"/>
  <c r="M70" i="40"/>
  <c r="Q69" i="40"/>
  <c r="M68" i="40"/>
  <c r="Q67" i="40"/>
  <c r="M66" i="40"/>
  <c r="Q65" i="40"/>
  <c r="M64" i="40"/>
  <c r="Q63" i="40"/>
  <c r="M62" i="40"/>
  <c r="Q61" i="40"/>
  <c r="M60" i="40"/>
  <c r="Q59" i="40"/>
  <c r="M58" i="40"/>
  <c r="Q57" i="40"/>
  <c r="M56" i="40"/>
  <c r="Q55" i="40"/>
  <c r="M54" i="40"/>
  <c r="Q53" i="40"/>
  <c r="Q9" i="40"/>
  <c r="M9" i="40"/>
  <c r="S8" i="40"/>
  <c r="O8" i="40"/>
  <c r="K8" i="40"/>
  <c r="Q7" i="40"/>
  <c r="M7" i="40"/>
  <c r="S6" i="40"/>
  <c r="O6" i="40"/>
  <c r="K6" i="40"/>
  <c r="Q5" i="40"/>
  <c r="M5" i="40"/>
  <c r="S4" i="40"/>
  <c r="O4" i="40"/>
  <c r="K4" i="40"/>
  <c r="Q3" i="40"/>
  <c r="M3" i="40"/>
  <c r="S2" i="40"/>
  <c r="O2" i="40"/>
  <c r="K2" i="40"/>
  <c r="K29" i="40"/>
  <c r="M28" i="40"/>
  <c r="K27" i="40"/>
  <c r="K26" i="40"/>
  <c r="M25" i="40"/>
  <c r="K24" i="40"/>
  <c r="M23" i="40"/>
  <c r="K22" i="40"/>
  <c r="M21" i="40"/>
  <c r="M20" i="40"/>
  <c r="K19" i="40"/>
  <c r="M18" i="40"/>
  <c r="K17" i="40"/>
  <c r="M16" i="40"/>
  <c r="K15" i="40"/>
  <c r="M14" i="40"/>
  <c r="M13" i="40"/>
  <c r="K12" i="40"/>
  <c r="M11" i="40"/>
  <c r="M10" i="40"/>
  <c r="M69" i="40"/>
  <c r="Q68" i="40"/>
  <c r="M67" i="40"/>
  <c r="Q66" i="40"/>
  <c r="M65" i="40"/>
  <c r="Q64" i="40"/>
  <c r="M63" i="40"/>
  <c r="Q62" i="40"/>
  <c r="M61" i="40"/>
  <c r="Q60" i="40"/>
  <c r="M59" i="40"/>
  <c r="Q58" i="40"/>
  <c r="M57" i="40"/>
  <c r="Q56" i="40"/>
  <c r="M55" i="40"/>
  <c r="Q54" i="40"/>
  <c r="M53" i="40"/>
  <c r="Q52" i="40"/>
  <c r="M52" i="40"/>
  <c r="Q51" i="40"/>
  <c r="M51" i="40"/>
  <c r="Q50" i="40"/>
  <c r="M50" i="40"/>
  <c r="Q49" i="40"/>
  <c r="M49" i="40"/>
  <c r="Q48" i="40"/>
  <c r="M48" i="40"/>
  <c r="Q47" i="40"/>
  <c r="M47" i="40"/>
  <c r="Q46" i="40"/>
  <c r="M46" i="40"/>
  <c r="Q45" i="40"/>
  <c r="M45" i="40"/>
  <c r="Q44" i="40"/>
  <c r="M44" i="40"/>
  <c r="Q43" i="40"/>
  <c r="M43" i="40"/>
  <c r="Q42" i="40"/>
  <c r="M42" i="40"/>
  <c r="Q41" i="40"/>
  <c r="M41" i="40"/>
  <c r="Q40" i="40"/>
  <c r="M40" i="40"/>
  <c r="Q39" i="40"/>
  <c r="M39" i="40"/>
  <c r="Q38" i="40"/>
  <c r="M38" i="40"/>
  <c r="Q37" i="40"/>
  <c r="M37" i="40"/>
  <c r="Q36" i="40"/>
  <c r="M36" i="40"/>
  <c r="Q35" i="40"/>
  <c r="M35" i="40"/>
  <c r="Q34" i="40"/>
  <c r="M34" i="40"/>
  <c r="Q33" i="40"/>
  <c r="M33" i="40"/>
  <c r="Q32" i="40"/>
  <c r="M32" i="40"/>
  <c r="Q31" i="40"/>
  <c r="M31" i="40"/>
  <c r="Q30" i="40"/>
  <c r="K30" i="40"/>
  <c r="O29" i="40"/>
  <c r="O28" i="40"/>
  <c r="Q27" i="40"/>
  <c r="Q26" i="40"/>
  <c r="O25" i="40"/>
  <c r="O24" i="40"/>
  <c r="O23" i="40"/>
  <c r="Q22" i="40"/>
  <c r="O21" i="40"/>
  <c r="O20" i="40"/>
  <c r="Q19" i="40"/>
  <c r="O18" i="40"/>
  <c r="Q17" i="40"/>
  <c r="O16" i="40"/>
  <c r="Q15" i="40"/>
  <c r="O14" i="40"/>
  <c r="Q13" i="40"/>
  <c r="O12" i="40"/>
  <c r="O11" i="40"/>
  <c r="O10" i="40"/>
  <c r="Q137" i="39"/>
  <c r="K136" i="39"/>
  <c r="O134" i="39"/>
  <c r="Q133" i="39"/>
  <c r="K132" i="39"/>
  <c r="O130" i="39"/>
  <c r="Q129" i="39"/>
  <c r="K128" i="39"/>
  <c r="O126" i="39"/>
  <c r="Q125" i="39"/>
  <c r="K124" i="39"/>
  <c r="O122" i="39"/>
  <c r="K122" i="39"/>
  <c r="O120" i="39"/>
  <c r="K120" i="39"/>
  <c r="O118" i="39"/>
  <c r="K118" i="39"/>
  <c r="O116" i="39"/>
  <c r="K116" i="39"/>
  <c r="O114" i="39"/>
  <c r="K114" i="39"/>
  <c r="O112" i="39"/>
  <c r="K112" i="39"/>
  <c r="O110" i="39"/>
  <c r="K110" i="39"/>
  <c r="O108" i="39"/>
  <c r="K108" i="39"/>
  <c r="O106" i="39"/>
  <c r="K106" i="39"/>
  <c r="O104" i="39"/>
  <c r="K104" i="39"/>
  <c r="O102" i="39"/>
  <c r="K102" i="39"/>
  <c r="O100" i="39"/>
  <c r="K100" i="39"/>
  <c r="O98" i="39"/>
  <c r="K98" i="39"/>
  <c r="O96" i="39"/>
  <c r="K96" i="39"/>
  <c r="O94" i="39"/>
  <c r="K94" i="39"/>
  <c r="O92" i="39"/>
  <c r="K92" i="39"/>
  <c r="O90" i="39"/>
  <c r="K90" i="39"/>
  <c r="O88" i="39"/>
  <c r="K88" i="39"/>
  <c r="O86" i="39"/>
  <c r="K86" i="39"/>
  <c r="O84" i="39"/>
  <c r="K84" i="39"/>
  <c r="O82" i="39"/>
  <c r="K82" i="39"/>
  <c r="O80" i="39"/>
  <c r="K80" i="39"/>
  <c r="O78" i="39"/>
  <c r="K78" i="39"/>
  <c r="O76" i="39"/>
  <c r="K76" i="39"/>
  <c r="O74" i="39"/>
  <c r="K74" i="39"/>
  <c r="O72" i="39"/>
  <c r="K72" i="39"/>
  <c r="O137" i="39"/>
  <c r="Q136" i="39"/>
  <c r="K135" i="39"/>
  <c r="O133" i="39"/>
  <c r="Q132" i="39"/>
  <c r="K131" i="39"/>
  <c r="O129" i="39"/>
  <c r="Q128" i="39"/>
  <c r="K127" i="39"/>
  <c r="O125" i="39"/>
  <c r="Q124" i="39"/>
  <c r="M123" i="39"/>
  <c r="Q122" i="39"/>
  <c r="M121" i="39"/>
  <c r="Q120" i="39"/>
  <c r="M119" i="39"/>
  <c r="Q118" i="39"/>
  <c r="M117" i="39"/>
  <c r="Q116" i="39"/>
  <c r="M115" i="39"/>
  <c r="Q114" i="39"/>
  <c r="M113" i="39"/>
  <c r="Q112" i="39"/>
  <c r="M111" i="39"/>
  <c r="Q110" i="39"/>
  <c r="M109" i="39"/>
  <c r="Q108" i="39"/>
  <c r="M107" i="39"/>
  <c r="Q106" i="39"/>
  <c r="M105" i="39"/>
  <c r="Q104" i="39"/>
  <c r="M103" i="39"/>
  <c r="Q102" i="39"/>
  <c r="M101" i="39"/>
  <c r="Q100" i="39"/>
  <c r="M99" i="39"/>
  <c r="Q98" i="39"/>
  <c r="M97" i="39"/>
  <c r="Q96" i="39"/>
  <c r="M95" i="39"/>
  <c r="Q94" i="39"/>
  <c r="M93" i="39"/>
  <c r="Q92" i="39"/>
  <c r="M91" i="39"/>
  <c r="Q90" i="39"/>
  <c r="M89" i="39"/>
  <c r="Q88" i="39"/>
  <c r="M87" i="39"/>
  <c r="Q86" i="39"/>
  <c r="M85" i="39"/>
  <c r="Q84" i="39"/>
  <c r="M83" i="39"/>
  <c r="Q82" i="39"/>
  <c r="M81" i="39"/>
  <c r="Q80" i="39"/>
  <c r="M79" i="39"/>
  <c r="Q78" i="39"/>
  <c r="M77" i="39"/>
  <c r="Q76" i="39"/>
  <c r="M75" i="39"/>
  <c r="Q74" i="39"/>
  <c r="M73" i="39"/>
  <c r="Q72" i="39"/>
  <c r="M71" i="39"/>
  <c r="Q70" i="39"/>
  <c r="M69" i="39"/>
  <c r="Q68" i="39"/>
  <c r="M67" i="39"/>
  <c r="Q66" i="39"/>
  <c r="M65" i="39"/>
  <c r="Q64" i="39"/>
  <c r="M63" i="39"/>
  <c r="Q62" i="39"/>
  <c r="M61" i="39"/>
  <c r="Q60" i="39"/>
  <c r="M59" i="39"/>
  <c r="Q58" i="39"/>
  <c r="M57" i="39"/>
  <c r="Q56" i="39"/>
  <c r="M55" i="39"/>
  <c r="Q54" i="39"/>
  <c r="M53" i="39"/>
  <c r="Q52" i="39"/>
  <c r="M52" i="39"/>
  <c r="Q51" i="39"/>
  <c r="M51" i="39"/>
  <c r="Q50" i="39"/>
  <c r="M50" i="39"/>
  <c r="Q49" i="39"/>
  <c r="M49" i="39"/>
  <c r="Q48" i="39"/>
  <c r="M48" i="39"/>
  <c r="Q47" i="39"/>
  <c r="M47" i="39"/>
  <c r="Q46" i="39"/>
  <c r="M46" i="39"/>
  <c r="Q45" i="39"/>
  <c r="M45" i="39"/>
  <c r="Q44" i="39"/>
  <c r="M44" i="39"/>
  <c r="Q43" i="39"/>
  <c r="M43" i="39"/>
  <c r="Q42" i="39"/>
  <c r="M42" i="39"/>
  <c r="Q41" i="39"/>
  <c r="M41" i="39"/>
  <c r="Q40" i="39"/>
  <c r="M40" i="39"/>
  <c r="Q39" i="39"/>
  <c r="M39" i="39"/>
  <c r="Q38" i="39"/>
  <c r="M38" i="39"/>
  <c r="Q37" i="39"/>
  <c r="M37" i="39"/>
  <c r="Q36" i="39"/>
  <c r="M36" i="39"/>
  <c r="Q35" i="39"/>
  <c r="M35" i="39"/>
  <c r="Q34" i="39"/>
  <c r="M34" i="39"/>
  <c r="Q33" i="39"/>
  <c r="M33" i="39"/>
  <c r="K42" i="41"/>
  <c r="O41" i="41"/>
  <c r="K41" i="41"/>
  <c r="O40" i="41"/>
  <c r="K40" i="41"/>
  <c r="O39" i="41"/>
  <c r="K39" i="41"/>
  <c r="O38" i="41"/>
  <c r="K38" i="41"/>
  <c r="O37" i="41"/>
  <c r="K37" i="41"/>
  <c r="O36" i="41"/>
  <c r="K36" i="41"/>
  <c r="O35" i="41"/>
  <c r="K35" i="41"/>
  <c r="O34" i="41"/>
  <c r="K34" i="41"/>
  <c r="O33" i="41"/>
  <c r="K33" i="41"/>
  <c r="O32" i="41"/>
  <c r="K32" i="41"/>
  <c r="O31" i="41"/>
  <c r="K31" i="41"/>
  <c r="O30" i="41"/>
  <c r="Q29" i="41"/>
  <c r="M29" i="41"/>
  <c r="M28" i="41"/>
  <c r="M27" i="41"/>
  <c r="M26" i="41"/>
  <c r="M25" i="41"/>
  <c r="M24" i="41"/>
  <c r="M23" i="41"/>
  <c r="M22" i="41"/>
  <c r="K21" i="41"/>
  <c r="M20" i="41"/>
  <c r="K19" i="41"/>
  <c r="K18" i="41"/>
  <c r="K17" i="41"/>
  <c r="M16" i="41"/>
  <c r="K15" i="41"/>
  <c r="K14" i="41"/>
  <c r="K13" i="41"/>
  <c r="K12" i="41"/>
  <c r="M11" i="41"/>
  <c r="K10" i="41"/>
  <c r="O136" i="40"/>
  <c r="Q135" i="40"/>
  <c r="K134" i="40"/>
  <c r="O132" i="40"/>
  <c r="Q131" i="40"/>
  <c r="K130" i="40"/>
  <c r="O128" i="40"/>
  <c r="Q127" i="40"/>
  <c r="K126" i="40"/>
  <c r="O124" i="40"/>
  <c r="Q123" i="40"/>
  <c r="M122" i="40"/>
  <c r="Q121" i="40"/>
  <c r="M120" i="40"/>
  <c r="Q119" i="40"/>
  <c r="M118" i="40"/>
  <c r="Q117" i="40"/>
  <c r="M116" i="40"/>
  <c r="Q115" i="40"/>
  <c r="M114" i="40"/>
  <c r="Q113" i="40"/>
  <c r="M112" i="40"/>
  <c r="Q111" i="40"/>
  <c r="M110" i="40"/>
  <c r="Q109" i="40"/>
  <c r="M108" i="40"/>
  <c r="Q107" i="40"/>
  <c r="M106" i="40"/>
  <c r="Q105" i="40"/>
  <c r="M104" i="40"/>
  <c r="Q103" i="40"/>
  <c r="M102" i="40"/>
  <c r="Q101" i="40"/>
  <c r="M100" i="40"/>
  <c r="Q99" i="40"/>
  <c r="M98" i="40"/>
  <c r="Q97" i="40"/>
  <c r="M96" i="40"/>
  <c r="Q95" i="40"/>
  <c r="M94" i="40"/>
  <c r="Q93" i="40"/>
  <c r="M92" i="40"/>
  <c r="Q91" i="40"/>
  <c r="M90" i="40"/>
  <c r="Q89" i="40"/>
  <c r="M88" i="40"/>
  <c r="Q87" i="40"/>
  <c r="M86" i="40"/>
  <c r="Q85" i="40"/>
  <c r="M84" i="40"/>
  <c r="Q83" i="40"/>
  <c r="M82" i="40"/>
  <c r="Q81" i="40"/>
  <c r="M80" i="40"/>
  <c r="Q79" i="40"/>
  <c r="M78" i="40"/>
  <c r="Q77" i="40"/>
  <c r="M76" i="40"/>
  <c r="Q75" i="40"/>
  <c r="M74" i="40"/>
  <c r="Q73" i="40"/>
  <c r="M72" i="40"/>
  <c r="Q71" i="40"/>
  <c r="O137" i="40"/>
  <c r="Q136" i="40"/>
  <c r="K135" i="40"/>
  <c r="O133" i="40"/>
  <c r="Q132" i="40"/>
  <c r="K131" i="40"/>
  <c r="O129" i="40"/>
  <c r="Q128" i="40"/>
  <c r="K127" i="40"/>
  <c r="O125" i="40"/>
  <c r="Q124" i="40"/>
  <c r="M123" i="40"/>
  <c r="Q122" i="40"/>
  <c r="M121" i="40"/>
  <c r="Q120" i="40"/>
  <c r="M119" i="40"/>
  <c r="Q118" i="40"/>
  <c r="M117" i="40"/>
  <c r="Q116" i="40"/>
  <c r="M115" i="40"/>
  <c r="Q114" i="40"/>
  <c r="M113" i="40"/>
  <c r="Q112" i="40"/>
  <c r="M111" i="40"/>
  <c r="Q110" i="40"/>
  <c r="M109" i="40"/>
  <c r="Q108" i="40"/>
  <c r="M107" i="40"/>
  <c r="Q106" i="40"/>
  <c r="M105" i="40"/>
  <c r="Q104" i="40"/>
  <c r="M103" i="40"/>
  <c r="Q102" i="40"/>
  <c r="M101" i="40"/>
  <c r="Q100" i="40"/>
  <c r="M99" i="40"/>
  <c r="Q98" i="40"/>
  <c r="M97" i="40"/>
  <c r="Q96" i="40"/>
  <c r="M95" i="40"/>
  <c r="Q94" i="40"/>
  <c r="M93" i="40"/>
  <c r="Q92" i="40"/>
  <c r="M91" i="40"/>
  <c r="Q90" i="40"/>
  <c r="M89" i="40"/>
  <c r="Q88" i="40"/>
  <c r="M87" i="40"/>
  <c r="Q86" i="40"/>
  <c r="M85" i="40"/>
  <c r="Q84" i="40"/>
  <c r="M83" i="40"/>
  <c r="Q82" i="40"/>
  <c r="M81" i="40"/>
  <c r="Q80" i="40"/>
  <c r="M79" i="40"/>
  <c r="Q78" i="40"/>
  <c r="M77" i="40"/>
  <c r="Q76" i="40"/>
  <c r="M75" i="40"/>
  <c r="Q74" i="40"/>
  <c r="M73" i="40"/>
  <c r="Q72" i="40"/>
  <c r="M71" i="40"/>
  <c r="Q70" i="40"/>
  <c r="K70" i="40"/>
  <c r="O68" i="40"/>
  <c r="K68" i="40"/>
  <c r="O66" i="40"/>
  <c r="K66" i="40"/>
  <c r="O64" i="40"/>
  <c r="K64" i="40"/>
  <c r="O62" i="40"/>
  <c r="K62" i="40"/>
  <c r="O60" i="40"/>
  <c r="K60" i="40"/>
  <c r="O58" i="40"/>
  <c r="K58" i="40"/>
  <c r="O56" i="40"/>
  <c r="K56" i="40"/>
  <c r="O54" i="40"/>
  <c r="K54" i="40"/>
  <c r="S9" i="40"/>
  <c r="O9" i="40"/>
  <c r="K9" i="40"/>
  <c r="Q8" i="40"/>
  <c r="M8" i="40"/>
  <c r="S7" i="40"/>
  <c r="O7" i="40"/>
  <c r="K7" i="40"/>
  <c r="Q6" i="40"/>
  <c r="M6" i="40"/>
  <c r="S5" i="40"/>
  <c r="O5" i="40"/>
  <c r="K5" i="40"/>
  <c r="Q4" i="40"/>
  <c r="M4" i="40"/>
  <c r="S3" i="40"/>
  <c r="O3" i="40"/>
  <c r="K3" i="40"/>
  <c r="Q2" i="40"/>
  <c r="M2" i="40"/>
  <c r="M30" i="40"/>
  <c r="Q28" i="40"/>
  <c r="O27" i="40"/>
  <c r="O26" i="40"/>
  <c r="Q25" i="40"/>
  <c r="Q24" i="40"/>
  <c r="Q23" i="40"/>
  <c r="O22" i="40"/>
  <c r="Q21" i="40"/>
  <c r="Q20" i="40"/>
  <c r="O19" i="40"/>
  <c r="Q18" i="40"/>
  <c r="O17" i="40"/>
  <c r="Q16" i="40"/>
  <c r="O15" i="40"/>
  <c r="Q14" i="40"/>
  <c r="O13" i="40"/>
  <c r="Q12" i="40"/>
  <c r="Q11" i="40"/>
  <c r="Q10" i="40"/>
  <c r="O69" i="40"/>
  <c r="K69" i="40"/>
  <c r="O67" i="40"/>
  <c r="K67" i="40"/>
  <c r="O65" i="40"/>
  <c r="K65" i="40"/>
  <c r="O63" i="40"/>
  <c r="K63" i="40"/>
  <c r="O61" i="40"/>
  <c r="K61" i="40"/>
  <c r="O59" i="40"/>
  <c r="K59" i="40"/>
  <c r="O57" i="40"/>
  <c r="K57" i="40"/>
  <c r="O55" i="40"/>
  <c r="K55" i="40"/>
  <c r="O53" i="40"/>
  <c r="K53" i="40"/>
  <c r="O52" i="40"/>
  <c r="K52" i="40"/>
  <c r="O51" i="40"/>
  <c r="K51" i="40"/>
  <c r="O50" i="40"/>
  <c r="K50" i="40"/>
  <c r="O49" i="40"/>
  <c r="K49" i="40"/>
  <c r="O48" i="40"/>
  <c r="K48" i="40"/>
  <c r="O47" i="40"/>
  <c r="K47" i="40"/>
  <c r="O46" i="40"/>
  <c r="K46" i="40"/>
  <c r="O45" i="40"/>
  <c r="K45" i="40"/>
  <c r="O44" i="40"/>
  <c r="K44" i="40"/>
  <c r="O43" i="40"/>
  <c r="K43" i="40"/>
  <c r="O42" i="40"/>
  <c r="K42" i="40"/>
  <c r="O41" i="40"/>
  <c r="K41" i="40"/>
  <c r="O40" i="40"/>
  <c r="K40" i="40"/>
  <c r="O39" i="40"/>
  <c r="K39" i="40"/>
  <c r="O38" i="40"/>
  <c r="K38" i="40"/>
  <c r="O37" i="40"/>
  <c r="K37" i="40"/>
  <c r="O36" i="40"/>
  <c r="K36" i="40"/>
  <c r="O35" i="40"/>
  <c r="K35" i="40"/>
  <c r="O34" i="40"/>
  <c r="K34" i="40"/>
  <c r="O33" i="40"/>
  <c r="K33" i="40"/>
  <c r="O32" i="40"/>
  <c r="K32" i="40"/>
  <c r="O31" i="40"/>
  <c r="K31" i="40"/>
  <c r="O30" i="40"/>
  <c r="Q29" i="40"/>
  <c r="M29" i="40"/>
  <c r="K28" i="40"/>
  <c r="M27" i="40"/>
  <c r="M26" i="40"/>
  <c r="K25" i="40"/>
  <c r="M24" i="40"/>
  <c r="K23" i="40"/>
  <c r="M22" i="40"/>
  <c r="K21" i="40"/>
  <c r="K20" i="40"/>
  <c r="M19" i="40"/>
  <c r="K18" i="40"/>
  <c r="M17" i="40"/>
  <c r="K16" i="40"/>
  <c r="M15" i="40"/>
  <c r="K14" i="40"/>
  <c r="K13" i="40"/>
  <c r="M12" i="40"/>
  <c r="K11" i="40"/>
  <c r="K10" i="40"/>
  <c r="O136" i="39"/>
  <c r="Q135" i="39"/>
  <c r="K134" i="39"/>
  <c r="O132" i="39"/>
  <c r="Q131" i="39"/>
  <c r="K130" i="39"/>
  <c r="O128" i="39"/>
  <c r="Q127" i="39"/>
  <c r="K126" i="39"/>
  <c r="O124" i="39"/>
  <c r="Q123" i="39"/>
  <c r="M122" i="39"/>
  <c r="Q121" i="39"/>
  <c r="M120" i="39"/>
  <c r="Q119" i="39"/>
  <c r="M118" i="39"/>
  <c r="Q117" i="39"/>
  <c r="M116" i="39"/>
  <c r="Q115" i="39"/>
  <c r="M114" i="39"/>
  <c r="Q113" i="39"/>
  <c r="M112" i="39"/>
  <c r="Q111" i="39"/>
  <c r="M110" i="39"/>
  <c r="Q109" i="39"/>
  <c r="M108" i="39"/>
  <c r="Q107" i="39"/>
  <c r="M106" i="39"/>
  <c r="Q105" i="39"/>
  <c r="M104" i="39"/>
  <c r="Q103" i="39"/>
  <c r="M102" i="39"/>
  <c r="Q101" i="39"/>
  <c r="M100" i="39"/>
  <c r="Q99" i="39"/>
  <c r="M98" i="39"/>
  <c r="Q97" i="39"/>
  <c r="M96" i="39"/>
  <c r="Q95" i="39"/>
  <c r="M94" i="39"/>
  <c r="Q93" i="39"/>
  <c r="M92" i="39"/>
  <c r="Q91" i="39"/>
  <c r="M90" i="39"/>
  <c r="Q89" i="39"/>
  <c r="M88" i="39"/>
  <c r="Q87" i="39"/>
  <c r="M86" i="39"/>
  <c r="Q85" i="39"/>
  <c r="M84" i="39"/>
  <c r="Q83" i="39"/>
  <c r="M82" i="39"/>
  <c r="Q81" i="39"/>
  <c r="M80" i="39"/>
  <c r="Q79" i="39"/>
  <c r="M78" i="39"/>
  <c r="Q77" i="39"/>
  <c r="M76" i="39"/>
  <c r="Q75" i="39"/>
  <c r="M74" i="39"/>
  <c r="Q73" i="39"/>
  <c r="M72" i="39"/>
  <c r="Q71" i="39"/>
  <c r="K137" i="39"/>
  <c r="O135" i="39"/>
  <c r="Q134" i="39"/>
  <c r="K133" i="39"/>
  <c r="O131" i="39"/>
  <c r="Q130" i="39"/>
  <c r="K129" i="39"/>
  <c r="O127" i="39"/>
  <c r="Q126" i="39"/>
  <c r="K125" i="39"/>
  <c r="O123" i="39"/>
  <c r="K123" i="39"/>
  <c r="O121" i="39"/>
  <c r="K121" i="39"/>
  <c r="O119" i="39"/>
  <c r="K119" i="39"/>
  <c r="O117" i="39"/>
  <c r="K117" i="39"/>
  <c r="O115" i="39"/>
  <c r="K115" i="39"/>
  <c r="O113" i="39"/>
  <c r="K113" i="39"/>
  <c r="O111" i="39"/>
  <c r="K111" i="39"/>
  <c r="O109" i="39"/>
  <c r="K109" i="39"/>
  <c r="O107" i="39"/>
  <c r="K107" i="39"/>
  <c r="O105" i="39"/>
  <c r="K105" i="39"/>
  <c r="O103" i="39"/>
  <c r="K103" i="39"/>
  <c r="O101" i="39"/>
  <c r="K101" i="39"/>
  <c r="O99" i="39"/>
  <c r="K99" i="39"/>
  <c r="O97" i="39"/>
  <c r="K97" i="39"/>
  <c r="O95" i="39"/>
  <c r="K95" i="39"/>
  <c r="O93" i="39"/>
  <c r="K93" i="39"/>
  <c r="O91" i="39"/>
  <c r="K91" i="39"/>
  <c r="O89" i="39"/>
  <c r="K89" i="39"/>
  <c r="O87" i="39"/>
  <c r="K87" i="39"/>
  <c r="O85" i="39"/>
  <c r="K85" i="39"/>
  <c r="O83" i="39"/>
  <c r="K83" i="39"/>
  <c r="O81" i="39"/>
  <c r="K81" i="39"/>
  <c r="O79" i="39"/>
  <c r="K79" i="39"/>
  <c r="O77" i="39"/>
  <c r="K77" i="39"/>
  <c r="O75" i="39"/>
  <c r="K75" i="39"/>
  <c r="O73" i="39"/>
  <c r="K73" i="39"/>
  <c r="O71" i="39"/>
  <c r="K71" i="39"/>
  <c r="O69" i="39"/>
  <c r="K69" i="39"/>
  <c r="O67" i="39"/>
  <c r="K67" i="39"/>
  <c r="O65" i="39"/>
  <c r="K65" i="39"/>
  <c r="O63" i="39"/>
  <c r="K63" i="39"/>
  <c r="O61" i="39"/>
  <c r="K61" i="39"/>
  <c r="O59" i="39"/>
  <c r="K59" i="39"/>
  <c r="O57" i="39"/>
  <c r="K57" i="39"/>
  <c r="O55" i="39"/>
  <c r="K55" i="39"/>
  <c r="O53" i="39"/>
  <c r="K53" i="39"/>
  <c r="O52" i="39"/>
  <c r="K52" i="39"/>
  <c r="O51" i="39"/>
  <c r="K51" i="39"/>
  <c r="O50" i="39"/>
  <c r="K50" i="39"/>
  <c r="O49" i="39"/>
  <c r="K49" i="39"/>
  <c r="O48" i="39"/>
  <c r="K48" i="39"/>
  <c r="O47" i="39"/>
  <c r="K47" i="39"/>
  <c r="O46" i="39"/>
  <c r="K46" i="39"/>
  <c r="O45" i="39"/>
  <c r="K45" i="39"/>
  <c r="O44" i="39"/>
  <c r="K44" i="39"/>
  <c r="O43" i="39"/>
  <c r="K43" i="39"/>
  <c r="O42" i="39"/>
  <c r="K42" i="39"/>
  <c r="O41" i="39"/>
  <c r="K41" i="39"/>
  <c r="O40" i="39"/>
  <c r="K40" i="39"/>
  <c r="O39" i="39"/>
  <c r="K39" i="39"/>
  <c r="O38" i="39"/>
  <c r="K38" i="39"/>
  <c r="O37" i="39"/>
  <c r="K37" i="39"/>
  <c r="O36" i="39"/>
  <c r="K36" i="39"/>
  <c r="O35" i="39"/>
  <c r="K35" i="39"/>
  <c r="O34" i="39"/>
  <c r="K34" i="39"/>
  <c r="O33" i="39"/>
  <c r="K33" i="39"/>
  <c r="M32" i="39"/>
  <c r="Q31" i="39"/>
  <c r="Q30" i="39"/>
  <c r="Q29" i="39"/>
  <c r="Q28" i="39"/>
  <c r="M70" i="39"/>
  <c r="Q69" i="39"/>
  <c r="M68" i="39"/>
  <c r="Q67" i="39"/>
  <c r="M66" i="39"/>
  <c r="Q65" i="39"/>
  <c r="M64" i="39"/>
  <c r="O32" i="39"/>
  <c r="M31" i="39"/>
  <c r="M29" i="39"/>
  <c r="K70" i="39"/>
  <c r="K68" i="39"/>
  <c r="K66" i="39"/>
  <c r="K64" i="39"/>
  <c r="O62" i="39"/>
  <c r="K62" i="39"/>
  <c r="O60" i="39"/>
  <c r="K60" i="39"/>
  <c r="O58" i="39"/>
  <c r="K58" i="39"/>
  <c r="O56" i="39"/>
  <c r="K56" i="39"/>
  <c r="O54" i="39"/>
  <c r="K54" i="39"/>
  <c r="S9" i="39"/>
  <c r="O9" i="39"/>
  <c r="K9" i="39"/>
  <c r="Q8" i="39"/>
  <c r="M8" i="39"/>
  <c r="S7" i="39"/>
  <c r="O7" i="39"/>
  <c r="K7" i="39"/>
  <c r="Q6" i="39"/>
  <c r="M6" i="39"/>
  <c r="S5" i="39"/>
  <c r="O5" i="39"/>
  <c r="K5" i="39"/>
  <c r="Q4" i="39"/>
  <c r="M4" i="39"/>
  <c r="S3" i="39"/>
  <c r="O3" i="39"/>
  <c r="K3" i="39"/>
  <c r="Q2" i="39"/>
  <c r="Q32" i="39"/>
  <c r="K31" i="39"/>
  <c r="K30" i="39"/>
  <c r="K29" i="39"/>
  <c r="M28" i="39"/>
  <c r="Q27" i="39"/>
  <c r="M27" i="39"/>
  <c r="Q26" i="39"/>
  <c r="M26" i="39"/>
  <c r="O25" i="39"/>
  <c r="Q24" i="39"/>
  <c r="Q23" i="39"/>
  <c r="Q22" i="39"/>
  <c r="Q21" i="39"/>
  <c r="Q20" i="39"/>
  <c r="O19" i="39"/>
  <c r="Q18" i="39"/>
  <c r="Q17" i="39"/>
  <c r="O16" i="39"/>
  <c r="Q15" i="39"/>
  <c r="Q14" i="39"/>
  <c r="Q13" i="39"/>
  <c r="Q12" i="39"/>
  <c r="Q11" i="39"/>
  <c r="Q10" i="39"/>
  <c r="K26" i="39"/>
  <c r="O24" i="39"/>
  <c r="O23" i="39"/>
  <c r="O22" i="39"/>
  <c r="O21" i="39"/>
  <c r="O20" i="39"/>
  <c r="Q19" i="39"/>
  <c r="O18" i="39"/>
  <c r="O17" i="39"/>
  <c r="Q16" i="39"/>
  <c r="O15" i="39"/>
  <c r="O14" i="39"/>
  <c r="O13" i="39"/>
  <c r="O12" i="39"/>
  <c r="O11" i="39"/>
  <c r="O10" i="39"/>
  <c r="Q137" i="38"/>
  <c r="K136" i="38"/>
  <c r="O134" i="38"/>
  <c r="Q133" i="38"/>
  <c r="K132" i="38"/>
  <c r="O130" i="38"/>
  <c r="Q129" i="38"/>
  <c r="K128" i="38"/>
  <c r="O126" i="38"/>
  <c r="Q125" i="38"/>
  <c r="K124" i="38"/>
  <c r="O122" i="38"/>
  <c r="K122" i="38"/>
  <c r="O120" i="38"/>
  <c r="K120" i="38"/>
  <c r="O118" i="38"/>
  <c r="K118" i="38"/>
  <c r="O116" i="38"/>
  <c r="K116" i="38"/>
  <c r="O114" i="38"/>
  <c r="K114" i="38"/>
  <c r="O112" i="38"/>
  <c r="K112" i="38"/>
  <c r="O110" i="38"/>
  <c r="K110" i="38"/>
  <c r="O108" i="38"/>
  <c r="K108" i="38"/>
  <c r="O106" i="38"/>
  <c r="K106" i="38"/>
  <c r="O104" i="38"/>
  <c r="K104" i="38"/>
  <c r="O102" i="38"/>
  <c r="K102" i="38"/>
  <c r="O100" i="38"/>
  <c r="K100" i="38"/>
  <c r="O98" i="38"/>
  <c r="K98" i="38"/>
  <c r="O96" i="38"/>
  <c r="K96" i="38"/>
  <c r="O94" i="38"/>
  <c r="K94" i="38"/>
  <c r="O92" i="38"/>
  <c r="K92" i="38"/>
  <c r="O90" i="38"/>
  <c r="K90" i="38"/>
  <c r="O88" i="38"/>
  <c r="K88" i="38"/>
  <c r="O86" i="38"/>
  <c r="K86" i="38"/>
  <c r="O84" i="38"/>
  <c r="K84" i="38"/>
  <c r="O82" i="38"/>
  <c r="K82" i="38"/>
  <c r="O80" i="38"/>
  <c r="K80" i="38"/>
  <c r="O78" i="38"/>
  <c r="K78" i="38"/>
  <c r="O76" i="38"/>
  <c r="K76" i="38"/>
  <c r="O74" i="38"/>
  <c r="K74" i="38"/>
  <c r="O72" i="38"/>
  <c r="K72" i="38"/>
  <c r="O70" i="38"/>
  <c r="K137" i="38"/>
  <c r="O135" i="38"/>
  <c r="Q134" i="38"/>
  <c r="K133" i="38"/>
  <c r="O131" i="38"/>
  <c r="Q130" i="38"/>
  <c r="K129" i="38"/>
  <c r="O127" i="38"/>
  <c r="Q126" i="38"/>
  <c r="K125" i="38"/>
  <c r="O123" i="38"/>
  <c r="K123" i="38"/>
  <c r="O121" i="38"/>
  <c r="K121" i="38"/>
  <c r="O119" i="38"/>
  <c r="K119" i="38"/>
  <c r="O117" i="38"/>
  <c r="K117" i="38"/>
  <c r="O115" i="38"/>
  <c r="K115" i="38"/>
  <c r="O113" i="38"/>
  <c r="K113" i="38"/>
  <c r="O111" i="38"/>
  <c r="K111" i="38"/>
  <c r="O109" i="38"/>
  <c r="K109" i="38"/>
  <c r="O107" i="38"/>
  <c r="K107" i="38"/>
  <c r="O105" i="38"/>
  <c r="K105" i="38"/>
  <c r="O103" i="38"/>
  <c r="K103" i="38"/>
  <c r="O101" i="38"/>
  <c r="K101" i="38"/>
  <c r="O99" i="38"/>
  <c r="K99" i="38"/>
  <c r="O97" i="38"/>
  <c r="K97" i="38"/>
  <c r="O95" i="38"/>
  <c r="K95" i="38"/>
  <c r="O93" i="38"/>
  <c r="K93" i="38"/>
  <c r="O91" i="38"/>
  <c r="K91" i="38"/>
  <c r="O89" i="38"/>
  <c r="K89" i="38"/>
  <c r="O87" i="38"/>
  <c r="K87" i="38"/>
  <c r="O85" i="38"/>
  <c r="K85" i="38"/>
  <c r="O83" i="38"/>
  <c r="K83" i="38"/>
  <c r="O81" i="38"/>
  <c r="K81" i="38"/>
  <c r="O79" i="38"/>
  <c r="K79" i="38"/>
  <c r="O77" i="38"/>
  <c r="K77" i="38"/>
  <c r="O75" i="38"/>
  <c r="K75" i="38"/>
  <c r="O73" i="38"/>
  <c r="K73" i="38"/>
  <c r="O71" i="38"/>
  <c r="K71" i="38"/>
  <c r="M70" i="38"/>
  <c r="Q69" i="38"/>
  <c r="M68" i="38"/>
  <c r="Q67" i="38"/>
  <c r="M66" i="38"/>
  <c r="Q65" i="38"/>
  <c r="M64" i="38"/>
  <c r="Q63" i="38"/>
  <c r="M62" i="38"/>
  <c r="Q61" i="38"/>
  <c r="M60" i="38"/>
  <c r="Q59" i="38"/>
  <c r="M58" i="38"/>
  <c r="Q57" i="38"/>
  <c r="M56" i="38"/>
  <c r="Q55" i="38"/>
  <c r="M54" i="38"/>
  <c r="Q53" i="38"/>
  <c r="Q9" i="38"/>
  <c r="M9" i="38"/>
  <c r="S8" i="38"/>
  <c r="O8" i="38"/>
  <c r="K8" i="38"/>
  <c r="Q7" i="38"/>
  <c r="M7" i="38"/>
  <c r="S6" i="38"/>
  <c r="O6" i="38"/>
  <c r="K6" i="38"/>
  <c r="Q5" i="38"/>
  <c r="M5" i="38"/>
  <c r="S4" i="38"/>
  <c r="O4" i="38"/>
  <c r="K4" i="38"/>
  <c r="Q3" i="38"/>
  <c r="M3" i="38"/>
  <c r="S2" i="38"/>
  <c r="O2" i="38"/>
  <c r="K2" i="38"/>
  <c r="K34" i="38"/>
  <c r="M33" i="38"/>
  <c r="M32" i="38"/>
  <c r="K31" i="38"/>
  <c r="M30" i="38"/>
  <c r="M29" i="38"/>
  <c r="K28" i="38"/>
  <c r="M27" i="38"/>
  <c r="M26" i="38"/>
  <c r="M25" i="38"/>
  <c r="M24" i="38"/>
  <c r="M23" i="38"/>
  <c r="K22" i="38"/>
  <c r="M21" i="38"/>
  <c r="M20" i="38"/>
  <c r="M19" i="38"/>
  <c r="M18" i="38"/>
  <c r="M17" i="38"/>
  <c r="M16" i="38"/>
  <c r="K15" i="38"/>
  <c r="M14" i="38"/>
  <c r="M13" i="38"/>
  <c r="K12" i="38"/>
  <c r="M11" i="38"/>
  <c r="M10" i="38"/>
  <c r="M69" i="38"/>
  <c r="Q68" i="38"/>
  <c r="M67" i="38"/>
  <c r="Q66" i="38"/>
  <c r="M65" i="38"/>
  <c r="Q64" i="38"/>
  <c r="M63" i="38"/>
  <c r="Q62" i="38"/>
  <c r="M61" i="38"/>
  <c r="Q60" i="38"/>
  <c r="M59" i="38"/>
  <c r="Q58" i="38"/>
  <c r="M57" i="38"/>
  <c r="Q56" i="38"/>
  <c r="M55" i="38"/>
  <c r="Q54" i="38"/>
  <c r="M53" i="38"/>
  <c r="Q52" i="38"/>
  <c r="M52" i="38"/>
  <c r="Q51" i="38"/>
  <c r="M51" i="38"/>
  <c r="Q50" i="38"/>
  <c r="M50" i="38"/>
  <c r="Q49" i="38"/>
  <c r="M49" i="38"/>
  <c r="Q48" i="38"/>
  <c r="M48" i="38"/>
  <c r="Q47" i="38"/>
  <c r="M47" i="38"/>
  <c r="Q46" i="38"/>
  <c r="M46" i="38"/>
  <c r="Q45" i="38"/>
  <c r="M45" i="38"/>
  <c r="Q44" i="38"/>
  <c r="M44" i="38"/>
  <c r="Q43" i="38"/>
  <c r="M43" i="38"/>
  <c r="Q42" i="38"/>
  <c r="M42" i="38"/>
  <c r="Q41" i="38"/>
  <c r="M41" i="38"/>
  <c r="Q40" i="38"/>
  <c r="M40" i="38"/>
  <c r="Q39" i="38"/>
  <c r="M39" i="38"/>
  <c r="Q38" i="38"/>
  <c r="M38" i="38"/>
  <c r="Q37" i="38"/>
  <c r="M37" i="38"/>
  <c r="Q36" i="38"/>
  <c r="M36" i="38"/>
  <c r="Q35" i="38"/>
  <c r="M35" i="38"/>
  <c r="O34" i="38"/>
  <c r="Q33" i="38"/>
  <c r="Q32" i="38"/>
  <c r="O31" i="38"/>
  <c r="O30" i="38"/>
  <c r="O29" i="38"/>
  <c r="Q28" i="38"/>
  <c r="O27" i="38"/>
  <c r="O26" i="38"/>
  <c r="Q25" i="38"/>
  <c r="Q24" i="38"/>
  <c r="O23" i="38"/>
  <c r="Q22" i="38"/>
  <c r="O21" i="38"/>
  <c r="Q20" i="38"/>
  <c r="Q19" i="38"/>
  <c r="Q18" i="38"/>
  <c r="Q17" i="38"/>
  <c r="Q16" i="38"/>
  <c r="O15" i="38"/>
  <c r="O14" i="38"/>
  <c r="O13" i="38"/>
  <c r="Q12" i="38"/>
  <c r="O11" i="38"/>
  <c r="Q10" i="38"/>
  <c r="Q137" i="37"/>
  <c r="K136" i="37"/>
  <c r="O134" i="37"/>
  <c r="Q133" i="37"/>
  <c r="K132" i="37"/>
  <c r="O130" i="37"/>
  <c r="Q129" i="37"/>
  <c r="K128" i="37"/>
  <c r="O126" i="37"/>
  <c r="Q125" i="37"/>
  <c r="K124" i="37"/>
  <c r="O122" i="37"/>
  <c r="K122" i="37"/>
  <c r="O120" i="37"/>
  <c r="K120" i="37"/>
  <c r="O118" i="37"/>
  <c r="K118" i="37"/>
  <c r="O116" i="37"/>
  <c r="K116" i="37"/>
  <c r="O114" i="37"/>
  <c r="K114" i="37"/>
  <c r="O112" i="37"/>
  <c r="K112" i="37"/>
  <c r="O110" i="37"/>
  <c r="K110" i="37"/>
  <c r="O108" i="37"/>
  <c r="K108" i="37"/>
  <c r="O106" i="37"/>
  <c r="K106" i="37"/>
  <c r="O104" i="37"/>
  <c r="K104" i="37"/>
  <c r="O102" i="37"/>
  <c r="K102" i="37"/>
  <c r="O100" i="37"/>
  <c r="K100" i="37"/>
  <c r="O98" i="37"/>
  <c r="K98" i="37"/>
  <c r="O96" i="37"/>
  <c r="K96" i="37"/>
  <c r="O94" i="37"/>
  <c r="K94" i="37"/>
  <c r="O92" i="37"/>
  <c r="K92" i="37"/>
  <c r="O90" i="37"/>
  <c r="K90" i="37"/>
  <c r="O88" i="37"/>
  <c r="K88" i="37"/>
  <c r="O86" i="37"/>
  <c r="K86" i="37"/>
  <c r="O84" i="37"/>
  <c r="K84" i="37"/>
  <c r="O82" i="37"/>
  <c r="K82" i="37"/>
  <c r="O80" i="37"/>
  <c r="K80" i="37"/>
  <c r="O78" i="37"/>
  <c r="K78" i="37"/>
  <c r="O76" i="37"/>
  <c r="K76" i="37"/>
  <c r="O74" i="37"/>
  <c r="K74" i="37"/>
  <c r="O72" i="37"/>
  <c r="K72" i="37"/>
  <c r="O137" i="37"/>
  <c r="Q136" i="37"/>
  <c r="K135" i="37"/>
  <c r="O133" i="37"/>
  <c r="Q132" i="37"/>
  <c r="K131" i="37"/>
  <c r="O129" i="37"/>
  <c r="Q128" i="37"/>
  <c r="K127" i="37"/>
  <c r="O125" i="37"/>
  <c r="Q124" i="37"/>
  <c r="M123" i="37"/>
  <c r="Q122" i="37"/>
  <c r="M121" i="37"/>
  <c r="Q120" i="37"/>
  <c r="M119" i="37"/>
  <c r="Q118" i="37"/>
  <c r="M117" i="37"/>
  <c r="Q116" i="37"/>
  <c r="M115" i="37"/>
  <c r="Q114" i="37"/>
  <c r="M113" i="37"/>
  <c r="Q112" i="37"/>
  <c r="M111" i="37"/>
  <c r="Q110" i="37"/>
  <c r="M109" i="37"/>
  <c r="Q108" i="37"/>
  <c r="M107" i="37"/>
  <c r="Q106" i="37"/>
  <c r="M105" i="37"/>
  <c r="Q104" i="37"/>
  <c r="M103" i="37"/>
  <c r="Q102" i="37"/>
  <c r="M101" i="37"/>
  <c r="Q100" i="37"/>
  <c r="M99" i="37"/>
  <c r="Q98" i="37"/>
  <c r="M97" i="37"/>
  <c r="Q96" i="37"/>
  <c r="M95" i="37"/>
  <c r="Q94" i="37"/>
  <c r="M93" i="37"/>
  <c r="Q92" i="37"/>
  <c r="M91" i="37"/>
  <c r="Q90" i="37"/>
  <c r="M89" i="37"/>
  <c r="Q88" i="37"/>
  <c r="M87" i="37"/>
  <c r="Q86" i="37"/>
  <c r="M85" i="37"/>
  <c r="Q84" i="37"/>
  <c r="M83" i="37"/>
  <c r="Q82" i="37"/>
  <c r="M81" i="37"/>
  <c r="Q80" i="37"/>
  <c r="M79" i="37"/>
  <c r="Q78" i="37"/>
  <c r="M77" i="37"/>
  <c r="Q76" i="37"/>
  <c r="M75" i="37"/>
  <c r="Q74" i="37"/>
  <c r="M73" i="37"/>
  <c r="Q72" i="37"/>
  <c r="M71" i="37"/>
  <c r="M70" i="37"/>
  <c r="Q69" i="37"/>
  <c r="M68" i="37"/>
  <c r="Q67" i="37"/>
  <c r="M66" i="37"/>
  <c r="Q65" i="37"/>
  <c r="M64" i="37"/>
  <c r="Q63" i="37"/>
  <c r="M62" i="37"/>
  <c r="Q61" i="37"/>
  <c r="M60" i="37"/>
  <c r="Q59" i="37"/>
  <c r="M58" i="37"/>
  <c r="Q57" i="37"/>
  <c r="M56" i="37"/>
  <c r="Q55" i="37"/>
  <c r="M54" i="37"/>
  <c r="Q53" i="37"/>
  <c r="Q9" i="37"/>
  <c r="M9" i="37"/>
  <c r="S8" i="37"/>
  <c r="O8" i="37"/>
  <c r="K8" i="37"/>
  <c r="Q7" i="37"/>
  <c r="M7" i="37"/>
  <c r="S6" i="37"/>
  <c r="O6" i="37"/>
  <c r="K6" i="37"/>
  <c r="Q5" i="37"/>
  <c r="M5" i="37"/>
  <c r="S4" i="37"/>
  <c r="O4" i="37"/>
  <c r="K4" i="37"/>
  <c r="Q3" i="37"/>
  <c r="M3" i="37"/>
  <c r="S2" i="37"/>
  <c r="O2" i="37"/>
  <c r="K32" i="39"/>
  <c r="M30" i="39"/>
  <c r="O70" i="39"/>
  <c r="O68" i="39"/>
  <c r="O66" i="39"/>
  <c r="O64" i="39"/>
  <c r="Q63" i="39"/>
  <c r="M62" i="39"/>
  <c r="Q61" i="39"/>
  <c r="M60" i="39"/>
  <c r="Q59" i="39"/>
  <c r="M58" i="39"/>
  <c r="Q57" i="39"/>
  <c r="M56" i="39"/>
  <c r="Q55" i="39"/>
  <c r="M54" i="39"/>
  <c r="Q53" i="39"/>
  <c r="Q9" i="39"/>
  <c r="M9" i="39"/>
  <c r="S8" i="39"/>
  <c r="O8" i="39"/>
  <c r="K8" i="39"/>
  <c r="Q7" i="39"/>
  <c r="M7" i="39"/>
  <c r="S6" i="39"/>
  <c r="O6" i="39"/>
  <c r="K6" i="39"/>
  <c r="Q5" i="39"/>
  <c r="M5" i="39"/>
  <c r="S4" i="39"/>
  <c r="O4" i="39"/>
  <c r="K4" i="39"/>
  <c r="Q3" i="39"/>
  <c r="M3" i="39"/>
  <c r="S2" i="39"/>
  <c r="O2" i="39"/>
  <c r="K2" i="39"/>
  <c r="O31" i="39"/>
  <c r="O30" i="39"/>
  <c r="O29" i="39"/>
  <c r="O28" i="39"/>
  <c r="K28" i="39"/>
  <c r="O27" i="39"/>
  <c r="K27" i="39"/>
  <c r="O26" i="39"/>
  <c r="Q25" i="39"/>
  <c r="M25" i="39"/>
  <c r="M24" i="39"/>
  <c r="M23" i="39"/>
  <c r="M22" i="39"/>
  <c r="M21" i="39"/>
  <c r="M20" i="39"/>
  <c r="K19" i="39"/>
  <c r="K18" i="39"/>
  <c r="M17" i="39"/>
  <c r="K16" i="39"/>
  <c r="K15" i="39"/>
  <c r="K14" i="39"/>
  <c r="K13" i="39"/>
  <c r="K12" i="39"/>
  <c r="K11" i="39"/>
  <c r="M10" i="39"/>
  <c r="K25" i="39"/>
  <c r="K24" i="39"/>
  <c r="K23" i="39"/>
  <c r="K22" i="39"/>
  <c r="K21" i="39"/>
  <c r="K20" i="39"/>
  <c r="M19" i="39"/>
  <c r="M18" i="39"/>
  <c r="K17" i="39"/>
  <c r="M16" i="39"/>
  <c r="M15" i="39"/>
  <c r="M14" i="39"/>
  <c r="M13" i="39"/>
  <c r="M12" i="39"/>
  <c r="M11" i="39"/>
  <c r="K10" i="39"/>
  <c r="O136" i="38"/>
  <c r="Q135" i="38"/>
  <c r="K134" i="38"/>
  <c r="O132" i="38"/>
  <c r="Q131" i="38"/>
  <c r="K130" i="38"/>
  <c r="O128" i="38"/>
  <c r="Q127" i="38"/>
  <c r="K126" i="38"/>
  <c r="O124" i="38"/>
  <c r="Q123" i="38"/>
  <c r="M122" i="38"/>
  <c r="Q121" i="38"/>
  <c r="M120" i="38"/>
  <c r="Q119" i="38"/>
  <c r="M118" i="38"/>
  <c r="Q117" i="38"/>
  <c r="M116" i="38"/>
  <c r="Q115" i="38"/>
  <c r="M114" i="38"/>
  <c r="Q113" i="38"/>
  <c r="M112" i="38"/>
  <c r="Q111" i="38"/>
  <c r="M110" i="38"/>
  <c r="Q109" i="38"/>
  <c r="M108" i="38"/>
  <c r="Q107" i="38"/>
  <c r="M106" i="38"/>
  <c r="Q105" i="38"/>
  <c r="M104" i="38"/>
  <c r="Q103" i="38"/>
  <c r="M102" i="38"/>
  <c r="Q101" i="38"/>
  <c r="M100" i="38"/>
  <c r="Q99" i="38"/>
  <c r="M98" i="38"/>
  <c r="Q97" i="38"/>
  <c r="M96" i="38"/>
  <c r="Q95" i="38"/>
  <c r="M94" i="38"/>
  <c r="Q93" i="38"/>
  <c r="M92" i="38"/>
  <c r="Q91" i="38"/>
  <c r="M90" i="38"/>
  <c r="Q89" i="38"/>
  <c r="M88" i="38"/>
  <c r="Q87" i="38"/>
  <c r="M86" i="38"/>
  <c r="Q85" i="38"/>
  <c r="M84" i="38"/>
  <c r="Q83" i="38"/>
  <c r="M82" i="38"/>
  <c r="Q81" i="38"/>
  <c r="M80" i="38"/>
  <c r="Q79" i="38"/>
  <c r="M78" i="38"/>
  <c r="Q77" i="38"/>
  <c r="M76" i="38"/>
  <c r="Q75" i="38"/>
  <c r="M74" i="38"/>
  <c r="Q73" i="38"/>
  <c r="M72" i="38"/>
  <c r="Q71" i="38"/>
  <c r="O137" i="38"/>
  <c r="Q136" i="38"/>
  <c r="K135" i="38"/>
  <c r="O133" i="38"/>
  <c r="Q132" i="38"/>
  <c r="K131" i="38"/>
  <c r="O129" i="38"/>
  <c r="Q128" i="38"/>
  <c r="K127" i="38"/>
  <c r="O125" i="38"/>
  <c r="Q124" i="38"/>
  <c r="M123" i="38"/>
  <c r="Q122" i="38"/>
  <c r="M121" i="38"/>
  <c r="Q120" i="38"/>
  <c r="M119" i="38"/>
  <c r="Q118" i="38"/>
  <c r="M117" i="38"/>
  <c r="Q116" i="38"/>
  <c r="M115" i="38"/>
  <c r="Q114" i="38"/>
  <c r="M113" i="38"/>
  <c r="Q112" i="38"/>
  <c r="M111" i="38"/>
  <c r="Q110" i="38"/>
  <c r="M109" i="38"/>
  <c r="Q108" i="38"/>
  <c r="M107" i="38"/>
  <c r="Q106" i="38"/>
  <c r="M105" i="38"/>
  <c r="Q104" i="38"/>
  <c r="M103" i="38"/>
  <c r="Q102" i="38"/>
  <c r="M101" i="38"/>
  <c r="Q100" i="38"/>
  <c r="M99" i="38"/>
  <c r="Q98" i="38"/>
  <c r="M97" i="38"/>
  <c r="Q96" i="38"/>
  <c r="M95" i="38"/>
  <c r="Q94" i="38"/>
  <c r="M93" i="38"/>
  <c r="Q92" i="38"/>
  <c r="M91" i="38"/>
  <c r="Q90" i="38"/>
  <c r="M89" i="38"/>
  <c r="Q88" i="38"/>
  <c r="M87" i="38"/>
  <c r="Q86" i="38"/>
  <c r="M85" i="38"/>
  <c r="Q84" i="38"/>
  <c r="M83" i="38"/>
  <c r="Q82" i="38"/>
  <c r="M81" i="38"/>
  <c r="Q80" i="38"/>
  <c r="M79" i="38"/>
  <c r="Q78" i="38"/>
  <c r="M77" i="38"/>
  <c r="Q76" i="38"/>
  <c r="M75" i="38"/>
  <c r="Q74" i="38"/>
  <c r="M73" i="38"/>
  <c r="Q72" i="38"/>
  <c r="M71" i="38"/>
  <c r="Q70" i="38"/>
  <c r="K70" i="38"/>
  <c r="O68" i="38"/>
  <c r="K68" i="38"/>
  <c r="O66" i="38"/>
  <c r="K66" i="38"/>
  <c r="O64" i="38"/>
  <c r="K64" i="38"/>
  <c r="O62" i="38"/>
  <c r="K62" i="38"/>
  <c r="O60" i="38"/>
  <c r="K60" i="38"/>
  <c r="O58" i="38"/>
  <c r="K58" i="38"/>
  <c r="O56" i="38"/>
  <c r="K56" i="38"/>
  <c r="O54" i="38"/>
  <c r="K54" i="38"/>
  <c r="S9" i="38"/>
  <c r="O9" i="38"/>
  <c r="K9" i="38"/>
  <c r="Q8" i="38"/>
  <c r="M8" i="38"/>
  <c r="S7" i="38"/>
  <c r="O7" i="38"/>
  <c r="K7" i="38"/>
  <c r="Q6" i="38"/>
  <c r="M6" i="38"/>
  <c r="S5" i="38"/>
  <c r="O5" i="38"/>
  <c r="K5" i="38"/>
  <c r="Q4" i="38"/>
  <c r="M4" i="38"/>
  <c r="S3" i="38"/>
  <c r="O3" i="38"/>
  <c r="K3" i="38"/>
  <c r="Q2" i="38"/>
  <c r="M2" i="38"/>
  <c r="Q34" i="38"/>
  <c r="O33" i="38"/>
  <c r="O32" i="38"/>
  <c r="Q31" i="38"/>
  <c r="Q30" i="38"/>
  <c r="Q29" i="38"/>
  <c r="O28" i="38"/>
  <c r="Q27" i="38"/>
  <c r="Q26" i="38"/>
  <c r="O25" i="38"/>
  <c r="O24" i="38"/>
  <c r="Q23" i="38"/>
  <c r="O22" i="38"/>
  <c r="Q21" i="38"/>
  <c r="O20" i="38"/>
  <c r="O19" i="38"/>
  <c r="O18" i="38"/>
  <c r="O17" i="38"/>
  <c r="O16" i="38"/>
  <c r="Q15" i="38"/>
  <c r="Q14" i="38"/>
  <c r="Q13" i="38"/>
  <c r="O12" i="38"/>
  <c r="Q11" i="38"/>
  <c r="O10" i="38"/>
  <c r="O69" i="38"/>
  <c r="K69" i="38"/>
  <c r="O67" i="38"/>
  <c r="K67" i="38"/>
  <c r="O65" i="38"/>
  <c r="K65" i="38"/>
  <c r="O63" i="38"/>
  <c r="K63" i="38"/>
  <c r="O61" i="38"/>
  <c r="K61" i="38"/>
  <c r="O59" i="38"/>
  <c r="K59" i="38"/>
  <c r="O57" i="38"/>
  <c r="K57" i="38"/>
  <c r="O55" i="38"/>
  <c r="K55" i="38"/>
  <c r="O53" i="38"/>
  <c r="K53" i="38"/>
  <c r="O52" i="38"/>
  <c r="K52" i="38"/>
  <c r="O51" i="38"/>
  <c r="K51" i="38"/>
  <c r="O50" i="38"/>
  <c r="K50" i="38"/>
  <c r="O49" i="38"/>
  <c r="K49" i="38"/>
  <c r="O48" i="38"/>
  <c r="K48" i="38"/>
  <c r="O47" i="38"/>
  <c r="K47" i="38"/>
  <c r="O46" i="38"/>
  <c r="K46" i="38"/>
  <c r="O45" i="38"/>
  <c r="K45" i="38"/>
  <c r="O44" i="38"/>
  <c r="K44" i="38"/>
  <c r="O43" i="38"/>
  <c r="K43" i="38"/>
  <c r="O42" i="38"/>
  <c r="K42" i="38"/>
  <c r="O41" i="38"/>
  <c r="K41" i="38"/>
  <c r="O40" i="38"/>
  <c r="K40" i="38"/>
  <c r="O39" i="38"/>
  <c r="K39" i="38"/>
  <c r="O38" i="38"/>
  <c r="K38" i="38"/>
  <c r="O37" i="38"/>
  <c r="K37" i="38"/>
  <c r="O36" i="38"/>
  <c r="K36" i="38"/>
  <c r="O35" i="38"/>
  <c r="K35" i="38"/>
  <c r="M34" i="38"/>
  <c r="K33" i="38"/>
  <c r="K32" i="38"/>
  <c r="M31" i="38"/>
  <c r="K30" i="38"/>
  <c r="K29" i="38"/>
  <c r="M28" i="38"/>
  <c r="K27" i="38"/>
  <c r="K26" i="38"/>
  <c r="K25" i="38"/>
  <c r="K24" i="38"/>
  <c r="K23" i="38"/>
  <c r="M22" i="38"/>
  <c r="K21" i="38"/>
  <c r="K20" i="38"/>
  <c r="K19" i="38"/>
  <c r="K18" i="38"/>
  <c r="K17" i="38"/>
  <c r="K16" i="38"/>
  <c r="M15" i="38"/>
  <c r="K14" i="38"/>
  <c r="K13" i="38"/>
  <c r="M12" i="38"/>
  <c r="K11" i="38"/>
  <c r="K10" i="38"/>
  <c r="O136" i="37"/>
  <c r="Q135" i="37"/>
  <c r="K134" i="37"/>
  <c r="O132" i="37"/>
  <c r="Q131" i="37"/>
  <c r="K130" i="37"/>
  <c r="O128" i="37"/>
  <c r="Q127" i="37"/>
  <c r="K126" i="37"/>
  <c r="O124" i="37"/>
  <c r="Q123" i="37"/>
  <c r="M122" i="37"/>
  <c r="Q121" i="37"/>
  <c r="M120" i="37"/>
  <c r="Q119" i="37"/>
  <c r="M118" i="37"/>
  <c r="Q117" i="37"/>
  <c r="M116" i="37"/>
  <c r="Q115" i="37"/>
  <c r="M114" i="37"/>
  <c r="Q113" i="37"/>
  <c r="M112" i="37"/>
  <c r="Q111" i="37"/>
  <c r="M110" i="37"/>
  <c r="Q109" i="37"/>
  <c r="M108" i="37"/>
  <c r="Q107" i="37"/>
  <c r="M106" i="37"/>
  <c r="Q105" i="37"/>
  <c r="M104" i="37"/>
  <c r="Q103" i="37"/>
  <c r="M102" i="37"/>
  <c r="Q101" i="37"/>
  <c r="M100" i="37"/>
  <c r="Q99" i="37"/>
  <c r="M98" i="37"/>
  <c r="Q97" i="37"/>
  <c r="M96" i="37"/>
  <c r="Q95" i="37"/>
  <c r="M94" i="37"/>
  <c r="Q93" i="37"/>
  <c r="M92" i="37"/>
  <c r="Q91" i="37"/>
  <c r="M90" i="37"/>
  <c r="Q89" i="37"/>
  <c r="M88" i="37"/>
  <c r="Q87" i="37"/>
  <c r="M86" i="37"/>
  <c r="Q85" i="37"/>
  <c r="M84" i="37"/>
  <c r="Q83" i="37"/>
  <c r="M82" i="37"/>
  <c r="Q81" i="37"/>
  <c r="M80" i="37"/>
  <c r="Q79" i="37"/>
  <c r="M78" i="37"/>
  <c r="Q77" i="37"/>
  <c r="M76" i="37"/>
  <c r="Q75" i="37"/>
  <c r="M74" i="37"/>
  <c r="Q73" i="37"/>
  <c r="M72" i="37"/>
  <c r="Q71" i="37"/>
  <c r="K137" i="37"/>
  <c r="O135" i="37"/>
  <c r="Q134" i="37"/>
  <c r="K133" i="37"/>
  <c r="O131" i="37"/>
  <c r="Q130" i="37"/>
  <c r="K129" i="37"/>
  <c r="O127" i="37"/>
  <c r="Q126" i="37"/>
  <c r="K125" i="37"/>
  <c r="O123" i="37"/>
  <c r="K123" i="37"/>
  <c r="O121" i="37"/>
  <c r="K121" i="37"/>
  <c r="O119" i="37"/>
  <c r="K119" i="37"/>
  <c r="O117" i="37"/>
  <c r="K117" i="37"/>
  <c r="O115" i="37"/>
  <c r="K115" i="37"/>
  <c r="O113" i="37"/>
  <c r="K113" i="37"/>
  <c r="O111" i="37"/>
  <c r="K111" i="37"/>
  <c r="O109" i="37"/>
  <c r="K109" i="37"/>
  <c r="O107" i="37"/>
  <c r="K107" i="37"/>
  <c r="O105" i="37"/>
  <c r="K105" i="37"/>
  <c r="O103" i="37"/>
  <c r="K103" i="37"/>
  <c r="O101" i="37"/>
  <c r="K101" i="37"/>
  <c r="O99" i="37"/>
  <c r="K99" i="37"/>
  <c r="O97" i="37"/>
  <c r="K97" i="37"/>
  <c r="O95" i="37"/>
  <c r="K95" i="37"/>
  <c r="O93" i="37"/>
  <c r="K93" i="37"/>
  <c r="O91" i="37"/>
  <c r="K91" i="37"/>
  <c r="O89" i="37"/>
  <c r="K89" i="37"/>
  <c r="O87" i="37"/>
  <c r="K87" i="37"/>
  <c r="O85" i="37"/>
  <c r="K85" i="37"/>
  <c r="O83" i="37"/>
  <c r="K83" i="37"/>
  <c r="O81" i="37"/>
  <c r="K81" i="37"/>
  <c r="O79" i="37"/>
  <c r="K79" i="37"/>
  <c r="O77" i="37"/>
  <c r="K77" i="37"/>
  <c r="O75" i="37"/>
  <c r="K75" i="37"/>
  <c r="O73" i="37"/>
  <c r="K73" i="37"/>
  <c r="O71" i="37"/>
  <c r="O70" i="37"/>
  <c r="K70" i="37"/>
  <c r="O68" i="37"/>
  <c r="K68" i="37"/>
  <c r="O66" i="37"/>
  <c r="K66" i="37"/>
  <c r="O64" i="37"/>
  <c r="K64" i="37"/>
  <c r="O62" i="37"/>
  <c r="K62" i="37"/>
  <c r="O60" i="37"/>
  <c r="K60" i="37"/>
  <c r="O58" i="37"/>
  <c r="K58" i="37"/>
  <c r="O56" i="37"/>
  <c r="K56" i="37"/>
  <c r="O54" i="37"/>
  <c r="K54" i="37"/>
  <c r="S9" i="37"/>
  <c r="O9" i="37"/>
  <c r="K9" i="37"/>
  <c r="Q8" i="37"/>
  <c r="M8" i="37"/>
  <c r="S7" i="37"/>
  <c r="O7" i="37"/>
  <c r="K7" i="37"/>
  <c r="Q6" i="37"/>
  <c r="M6" i="37"/>
  <c r="S5" i="37"/>
  <c r="O5" i="37"/>
  <c r="K5" i="37"/>
  <c r="Q4" i="37"/>
  <c r="M4" i="37"/>
  <c r="S3" i="37"/>
  <c r="O3" i="37"/>
  <c r="K3" i="37"/>
  <c r="Q2" i="37"/>
  <c r="M2" i="37"/>
  <c r="Q37" i="37"/>
  <c r="Q36" i="37"/>
  <c r="O35" i="37"/>
  <c r="Q34" i="37"/>
  <c r="O33" i="37"/>
  <c r="Q32" i="37"/>
  <c r="Q31" i="37"/>
  <c r="Q30" i="37"/>
  <c r="Q29" i="37"/>
  <c r="Q28" i="37"/>
  <c r="O27" i="37"/>
  <c r="Q26" i="37"/>
  <c r="O25" i="37"/>
  <c r="O24" i="37"/>
  <c r="Q23" i="37"/>
  <c r="Q22" i="37"/>
  <c r="O21" i="37"/>
  <c r="Q20" i="37"/>
  <c r="O19" i="37"/>
  <c r="Q18" i="37"/>
  <c r="O17" i="37"/>
  <c r="Q16" i="37"/>
  <c r="O15" i="37"/>
  <c r="Q14" i="37"/>
  <c r="O13" i="37"/>
  <c r="Q12" i="37"/>
  <c r="Q70" i="37"/>
  <c r="M69" i="37"/>
  <c r="Q68" i="37"/>
  <c r="M67" i="37"/>
  <c r="Q66" i="37"/>
  <c r="M65" i="37"/>
  <c r="Q64" i="37"/>
  <c r="M63" i="37"/>
  <c r="Q62" i="37"/>
  <c r="M61" i="37"/>
  <c r="Q60" i="37"/>
  <c r="M59" i="37"/>
  <c r="Q58" i="37"/>
  <c r="M57" i="37"/>
  <c r="Q56" i="37"/>
  <c r="M55" i="37"/>
  <c r="Q54" i="37"/>
  <c r="M53" i="37"/>
  <c r="Q52" i="37"/>
  <c r="M52" i="37"/>
  <c r="Q51" i="37"/>
  <c r="M51" i="37"/>
  <c r="Q50" i="37"/>
  <c r="M50" i="37"/>
  <c r="Q49" i="37"/>
  <c r="M49" i="37"/>
  <c r="Q48" i="37"/>
  <c r="M48" i="37"/>
  <c r="Q47" i="37"/>
  <c r="M47" i="37"/>
  <c r="Q46" i="37"/>
  <c r="M46" i="37"/>
  <c r="Q45" i="37"/>
  <c r="M45" i="37"/>
  <c r="Q44" i="37"/>
  <c r="M44" i="37"/>
  <c r="Q43" i="37"/>
  <c r="M43" i="37"/>
  <c r="Q42" i="37"/>
  <c r="M42" i="37"/>
  <c r="K2" i="37"/>
  <c r="M36" i="37"/>
  <c r="M34" i="37"/>
  <c r="M32" i="37"/>
  <c r="M30" i="37"/>
  <c r="M28" i="37"/>
  <c r="M26" i="37"/>
  <c r="K24" i="37"/>
  <c r="M22" i="37"/>
  <c r="M20" i="37"/>
  <c r="M18" i="37"/>
  <c r="M16" i="37"/>
  <c r="M14" i="37"/>
  <c r="K71" i="37"/>
  <c r="K69" i="37"/>
  <c r="K67" i="37"/>
  <c r="K65" i="37"/>
  <c r="K63" i="37"/>
  <c r="K61" i="37"/>
  <c r="K59" i="37"/>
  <c r="K57" i="37"/>
  <c r="K55" i="37"/>
  <c r="K53" i="37"/>
  <c r="K52" i="37"/>
  <c r="K51" i="37"/>
  <c r="K50" i="37"/>
  <c r="K49" i="37"/>
  <c r="K48" i="37"/>
  <c r="K47" i="37"/>
  <c r="K46" i="37"/>
  <c r="K45" i="37"/>
  <c r="K44" i="37"/>
  <c r="K43" i="37"/>
  <c r="K42" i="37"/>
  <c r="O41" i="37"/>
  <c r="K41" i="37"/>
  <c r="O40" i="37"/>
  <c r="K40" i="37"/>
  <c r="O39" i="37"/>
  <c r="K39" i="37"/>
  <c r="O38" i="37"/>
  <c r="K38" i="37"/>
  <c r="K37" i="37"/>
  <c r="K36" i="37"/>
  <c r="M35" i="37"/>
  <c r="K34" i="37"/>
  <c r="M33" i="37"/>
  <c r="K32" i="37"/>
  <c r="M31" i="37"/>
  <c r="K30" i="37"/>
  <c r="M29" i="37"/>
  <c r="K28" i="37"/>
  <c r="M27" i="37"/>
  <c r="K26" i="37"/>
  <c r="K25" i="37"/>
  <c r="M24" i="37"/>
  <c r="M23" i="37"/>
  <c r="K22" i="37"/>
  <c r="M21" i="37"/>
  <c r="K20" i="37"/>
  <c r="M19" i="37"/>
  <c r="K18" i="37"/>
  <c r="M17" i="37"/>
  <c r="K16" i="37"/>
  <c r="M15" i="37"/>
  <c r="K14" i="37"/>
  <c r="M13" i="37"/>
  <c r="Q11" i="37"/>
  <c r="K10" i="37"/>
  <c r="M37" i="37"/>
  <c r="K35" i="37"/>
  <c r="K33" i="37"/>
  <c r="K31" i="37"/>
  <c r="K29" i="37"/>
  <c r="K27" i="37"/>
  <c r="M25" i="37"/>
  <c r="K23" i="37"/>
  <c r="K21" i="37"/>
  <c r="K19" i="37"/>
  <c r="K17" i="37"/>
  <c r="K15" i="37"/>
  <c r="K13" i="37"/>
  <c r="O69" i="37"/>
  <c r="O67" i="37"/>
  <c r="O65" i="37"/>
  <c r="O63" i="37"/>
  <c r="O61" i="37"/>
  <c r="O59" i="37"/>
  <c r="O57" i="37"/>
  <c r="O55" i="37"/>
  <c r="O53" i="37"/>
  <c r="O52" i="37"/>
  <c r="O51" i="37"/>
  <c r="O50" i="37"/>
  <c r="O49" i="37"/>
  <c r="O48" i="37"/>
  <c r="O47" i="37"/>
  <c r="O46" i="37"/>
  <c r="O45" i="37"/>
  <c r="O44" i="37"/>
  <c r="O43" i="37"/>
  <c r="O42" i="37"/>
  <c r="Q41" i="37"/>
  <c r="M41" i="37"/>
  <c r="Q40" i="37"/>
  <c r="M40" i="37"/>
  <c r="Q39" i="37"/>
  <c r="M39" i="37"/>
  <c r="Q38" i="37"/>
  <c r="M38" i="37"/>
  <c r="O37" i="37"/>
  <c r="O36" i="37"/>
  <c r="Q35" i="37"/>
  <c r="O34" i="37"/>
  <c r="Q33" i="37"/>
  <c r="O32" i="37"/>
  <c r="O31" i="37"/>
  <c r="O30" i="37"/>
  <c r="O29" i="37"/>
  <c r="O28" i="37"/>
  <c r="Q27" i="37"/>
  <c r="O26" i="37"/>
  <c r="Q25" i="37"/>
  <c r="Q24" i="37"/>
  <c r="O23" i="37"/>
  <c r="O22" i="37"/>
  <c r="Q21" i="37"/>
  <c r="O20" i="37"/>
  <c r="Q19" i="37"/>
  <c r="O18" i="37"/>
  <c r="Q17" i="37"/>
  <c r="O16" i="37"/>
  <c r="Q15" i="37"/>
  <c r="O14" i="37"/>
  <c r="Q13" i="37"/>
  <c r="O12" i="37"/>
  <c r="K12" i="37"/>
  <c r="O11" i="37"/>
  <c r="O10" i="37"/>
  <c r="M11" i="37"/>
  <c r="M10" i="37"/>
  <c r="M12" i="37"/>
  <c r="K11" i="37"/>
  <c r="Q10" i="37"/>
  <c r="Q5" i="25"/>
  <c r="Q9" i="25"/>
  <c r="Q13" i="25"/>
  <c r="Q17" i="25"/>
  <c r="Q21" i="25"/>
  <c r="Q25" i="25"/>
  <c r="Q29" i="25"/>
  <c r="Q33" i="25"/>
  <c r="Q37" i="25"/>
  <c r="Q41" i="25"/>
  <c r="Q45" i="25"/>
  <c r="Q49" i="25"/>
  <c r="Q53" i="25"/>
  <c r="Q57" i="25"/>
  <c r="Q61" i="25"/>
  <c r="Q65" i="25"/>
  <c r="Q69" i="25"/>
  <c r="Q73" i="25"/>
  <c r="Q77" i="25"/>
  <c r="Q81" i="25"/>
  <c r="Q85" i="25"/>
  <c r="Q89" i="25"/>
  <c r="Q93" i="25"/>
  <c r="Q97" i="25"/>
  <c r="Q101" i="25"/>
  <c r="Q105" i="25"/>
  <c r="Q109" i="25"/>
  <c r="Q113" i="25"/>
  <c r="Q117" i="25"/>
  <c r="Q121" i="25"/>
  <c r="Q125" i="25"/>
  <c r="Q129" i="25"/>
  <c r="Q133" i="25"/>
  <c r="Q137" i="25"/>
  <c r="Q6" i="25"/>
  <c r="Q10" i="25"/>
  <c r="Q14" i="25"/>
  <c r="Q18" i="25"/>
  <c r="Q22" i="25"/>
  <c r="Q26" i="25"/>
  <c r="Q30" i="25"/>
  <c r="Q34" i="25"/>
  <c r="Q38" i="25"/>
  <c r="Q42" i="25"/>
  <c r="Q46" i="25"/>
  <c r="Q50" i="25"/>
  <c r="Q54" i="25"/>
  <c r="Q58" i="25"/>
  <c r="Q62" i="25"/>
  <c r="Q66" i="25"/>
  <c r="Q70" i="25"/>
  <c r="Q74" i="25"/>
  <c r="Q78" i="25"/>
  <c r="Q82" i="25"/>
  <c r="Q86" i="25"/>
  <c r="Q90" i="25"/>
  <c r="Q94" i="25"/>
  <c r="Q98" i="25"/>
  <c r="Q102" i="25"/>
  <c r="Q106" i="25"/>
  <c r="Q110" i="25"/>
  <c r="Q114" i="25"/>
  <c r="Q118" i="25"/>
  <c r="Q122" i="25"/>
  <c r="Q126" i="25"/>
  <c r="Q130" i="25"/>
  <c r="Q134" i="25"/>
  <c r="K3" i="25"/>
  <c r="K7" i="25"/>
  <c r="K11" i="25"/>
  <c r="K15" i="25"/>
  <c r="K19" i="25"/>
  <c r="K23" i="25"/>
  <c r="K27" i="25"/>
  <c r="K31" i="25"/>
  <c r="K35" i="25"/>
  <c r="K39" i="25"/>
  <c r="K43" i="25"/>
  <c r="K47" i="25"/>
  <c r="K51" i="25"/>
  <c r="K55" i="25"/>
  <c r="K59" i="25"/>
  <c r="K63" i="25"/>
  <c r="K67" i="25"/>
  <c r="K71" i="25"/>
  <c r="K75" i="25"/>
  <c r="K79" i="25"/>
  <c r="K83" i="25"/>
  <c r="K87" i="25"/>
  <c r="K91" i="25"/>
  <c r="K95" i="25"/>
  <c r="K99" i="25"/>
  <c r="K103" i="25"/>
  <c r="K107" i="25"/>
  <c r="K111" i="25"/>
  <c r="K115" i="25"/>
  <c r="K119" i="25"/>
  <c r="K123" i="25"/>
  <c r="K127" i="25"/>
  <c r="K131" i="25"/>
  <c r="K135" i="25"/>
  <c r="K4" i="25"/>
  <c r="K8" i="25"/>
  <c r="K12" i="25"/>
  <c r="K16" i="25"/>
  <c r="K20" i="25"/>
  <c r="K24" i="25"/>
  <c r="K28" i="25"/>
  <c r="K32" i="25"/>
  <c r="K36" i="25"/>
  <c r="K40" i="25"/>
  <c r="K44" i="25"/>
  <c r="K48" i="25"/>
  <c r="K52" i="25"/>
  <c r="K56" i="25"/>
  <c r="K60" i="25"/>
  <c r="K64" i="25"/>
  <c r="K68" i="25"/>
  <c r="K72" i="25"/>
  <c r="K76" i="25"/>
  <c r="K80" i="25"/>
  <c r="K84" i="25"/>
  <c r="K88" i="25"/>
  <c r="K92" i="25"/>
  <c r="K96" i="25"/>
  <c r="K100" i="25"/>
  <c r="K104" i="25"/>
  <c r="K108" i="25"/>
  <c r="K112" i="25"/>
  <c r="K116" i="25"/>
  <c r="K120" i="25"/>
  <c r="K124" i="25"/>
  <c r="K128" i="25"/>
  <c r="K132" i="25"/>
  <c r="K136" i="25"/>
  <c r="M5" i="25"/>
  <c r="M9" i="25"/>
  <c r="M13" i="25"/>
  <c r="M17" i="25"/>
  <c r="M21" i="25"/>
  <c r="M25" i="25"/>
  <c r="M33" i="25"/>
  <c r="M37" i="25"/>
  <c r="M45" i="25"/>
  <c r="M53" i="25"/>
  <c r="M61" i="25"/>
  <c r="M73" i="25"/>
  <c r="M81" i="25"/>
  <c r="M89" i="25"/>
  <c r="M97" i="25"/>
  <c r="M105" i="25"/>
  <c r="M113" i="25"/>
  <c r="M121" i="25"/>
  <c r="M8" i="25"/>
  <c r="M16" i="25"/>
  <c r="M24" i="25"/>
  <c r="M32" i="25"/>
  <c r="M40" i="25"/>
  <c r="M48" i="25"/>
  <c r="M56" i="25"/>
  <c r="M64" i="25"/>
  <c r="M72" i="25"/>
  <c r="M80" i="25"/>
  <c r="M88" i="25"/>
  <c r="M96" i="25"/>
  <c r="M104" i="25"/>
  <c r="M116" i="25"/>
  <c r="S3" i="25"/>
  <c r="S4" i="25"/>
  <c r="Q2" i="25"/>
  <c r="Q3" i="25"/>
  <c r="Q7" i="25"/>
  <c r="Q11" i="25"/>
  <c r="Q15" i="25"/>
  <c r="Q19" i="25"/>
  <c r="Q23" i="25"/>
  <c r="Q27" i="25"/>
  <c r="Q31" i="25"/>
  <c r="Q35" i="25"/>
  <c r="Q39" i="25"/>
  <c r="Q43" i="25"/>
  <c r="Q47" i="25"/>
  <c r="Q51" i="25"/>
  <c r="Q55" i="25"/>
  <c r="Q59" i="25"/>
  <c r="Q63" i="25"/>
  <c r="Q67" i="25"/>
  <c r="Q71" i="25"/>
  <c r="Q75" i="25"/>
  <c r="Q79" i="25"/>
  <c r="Q83" i="25"/>
  <c r="Q87" i="25"/>
  <c r="Q91" i="25"/>
  <c r="Q95" i="25"/>
  <c r="Q99" i="25"/>
  <c r="Q103" i="25"/>
  <c r="Q107" i="25"/>
  <c r="Q111" i="25"/>
  <c r="Q115" i="25"/>
  <c r="Q119" i="25"/>
  <c r="Q123" i="25"/>
  <c r="Q127" i="25"/>
  <c r="Q131" i="25"/>
  <c r="Q135" i="25"/>
  <c r="Q4" i="25"/>
  <c r="Q8" i="25"/>
  <c r="Q12" i="25"/>
  <c r="Q16" i="25"/>
  <c r="Q20" i="25"/>
  <c r="Q24" i="25"/>
  <c r="Q28" i="25"/>
  <c r="Q32" i="25"/>
  <c r="Q36" i="25"/>
  <c r="Q40" i="25"/>
  <c r="Q44" i="25"/>
  <c r="Q48" i="25"/>
  <c r="Q52" i="25"/>
  <c r="Q56" i="25"/>
  <c r="Q60" i="25"/>
  <c r="Q64" i="25"/>
  <c r="Q68" i="25"/>
  <c r="Q72" i="25"/>
  <c r="Q76" i="25"/>
  <c r="Q80" i="25"/>
  <c r="Q84" i="25"/>
  <c r="Q88" i="25"/>
  <c r="Q92" i="25"/>
  <c r="Q96" i="25"/>
  <c r="Q100" i="25"/>
  <c r="Q104" i="25"/>
  <c r="Q108" i="25"/>
  <c r="Q112" i="25"/>
  <c r="Q116" i="25"/>
  <c r="Q120" i="25"/>
  <c r="Q124" i="25"/>
  <c r="Q128" i="25"/>
  <c r="Q132" i="25"/>
  <c r="Q136" i="25"/>
  <c r="K5" i="25"/>
  <c r="K9" i="25"/>
  <c r="K13" i="25"/>
  <c r="K17" i="25"/>
  <c r="K21" i="25"/>
  <c r="K25" i="25"/>
  <c r="K29" i="25"/>
  <c r="K33" i="25"/>
  <c r="K37" i="25"/>
  <c r="K41" i="25"/>
  <c r="K45" i="25"/>
  <c r="K49" i="25"/>
  <c r="K53" i="25"/>
  <c r="K57" i="25"/>
  <c r="K61" i="25"/>
  <c r="K65" i="25"/>
  <c r="K69" i="25"/>
  <c r="K73" i="25"/>
  <c r="K77" i="25"/>
  <c r="K81" i="25"/>
  <c r="K85" i="25"/>
  <c r="K89" i="25"/>
  <c r="K93" i="25"/>
  <c r="K97" i="25"/>
  <c r="K101" i="25"/>
  <c r="K105" i="25"/>
  <c r="K109" i="25"/>
  <c r="K113" i="25"/>
  <c r="K117" i="25"/>
  <c r="K121" i="25"/>
  <c r="K125" i="25"/>
  <c r="K129" i="25"/>
  <c r="K133" i="25"/>
  <c r="K137" i="25"/>
  <c r="K6" i="25"/>
  <c r="K10" i="25"/>
  <c r="K14" i="25"/>
  <c r="K18" i="25"/>
  <c r="K22" i="25"/>
  <c r="K26" i="25"/>
  <c r="K30" i="25"/>
  <c r="K34" i="25"/>
  <c r="K38" i="25"/>
  <c r="K42" i="25"/>
  <c r="K46" i="25"/>
  <c r="K50" i="25"/>
  <c r="K54" i="25"/>
  <c r="K58" i="25"/>
  <c r="K62" i="25"/>
  <c r="K66" i="25"/>
  <c r="K70" i="25"/>
  <c r="K74" i="25"/>
  <c r="K78" i="25"/>
  <c r="K82" i="25"/>
  <c r="K86" i="25"/>
  <c r="K90" i="25"/>
  <c r="K94" i="25"/>
  <c r="K98" i="25"/>
  <c r="K102" i="25"/>
  <c r="K106" i="25"/>
  <c r="K110" i="25"/>
  <c r="K114" i="25"/>
  <c r="K118" i="25"/>
  <c r="K122" i="25"/>
  <c r="K126" i="25"/>
  <c r="K130" i="25"/>
  <c r="K134" i="25"/>
  <c r="M3" i="25"/>
  <c r="M7" i="25"/>
  <c r="M11" i="25"/>
  <c r="M15" i="25"/>
  <c r="M19" i="25"/>
  <c r="M23" i="25"/>
  <c r="M27" i="25"/>
  <c r="M31" i="25"/>
  <c r="M35" i="25"/>
  <c r="M39" i="25"/>
  <c r="M43" i="25"/>
  <c r="M47" i="25"/>
  <c r="M51" i="25"/>
  <c r="M55" i="25"/>
  <c r="M59" i="25"/>
  <c r="M63" i="25"/>
  <c r="M67" i="25"/>
  <c r="M71" i="25"/>
  <c r="M75" i="25"/>
  <c r="M79" i="25"/>
  <c r="M83" i="25"/>
  <c r="M87" i="25"/>
  <c r="M91" i="25"/>
  <c r="M95" i="25"/>
  <c r="M99" i="25"/>
  <c r="M103" i="25"/>
  <c r="M107" i="25"/>
  <c r="M111" i="25"/>
  <c r="M115" i="25"/>
  <c r="M119" i="25"/>
  <c r="M123" i="25"/>
  <c r="M6" i="25"/>
  <c r="M10" i="25"/>
  <c r="M14" i="25"/>
  <c r="M18" i="25"/>
  <c r="M22" i="25"/>
  <c r="M26" i="25"/>
  <c r="M30" i="25"/>
  <c r="M34" i="25"/>
  <c r="M38" i="25"/>
  <c r="M42" i="25"/>
  <c r="M46" i="25"/>
  <c r="M50" i="25"/>
  <c r="M54" i="25"/>
  <c r="M58" i="25"/>
  <c r="M62" i="25"/>
  <c r="M66" i="25"/>
  <c r="M70" i="25"/>
  <c r="M74" i="25"/>
  <c r="M78" i="25"/>
  <c r="M82" i="25"/>
  <c r="M86" i="25"/>
  <c r="M90" i="25"/>
  <c r="M94" i="25"/>
  <c r="M98" i="25"/>
  <c r="M102" i="25"/>
  <c r="M106" i="25"/>
  <c r="M110" i="25"/>
  <c r="M114" i="25"/>
  <c r="M118" i="25"/>
  <c r="M122" i="25"/>
  <c r="S5" i="25"/>
  <c r="S9" i="25"/>
  <c r="S6" i="25"/>
  <c r="S2" i="25"/>
  <c r="O2" i="25"/>
  <c r="K2" i="25"/>
  <c r="M29" i="25"/>
  <c r="M41" i="25"/>
  <c r="M49" i="25"/>
  <c r="M57" i="25"/>
  <c r="M65" i="25"/>
  <c r="M69" i="25"/>
  <c r="M77" i="25"/>
  <c r="M85" i="25"/>
  <c r="M93" i="25"/>
  <c r="M101" i="25"/>
  <c r="M109" i="25"/>
  <c r="M117" i="25"/>
  <c r="M4" i="25"/>
  <c r="M12" i="25"/>
  <c r="M20" i="25"/>
  <c r="M28" i="25"/>
  <c r="M36" i="25"/>
  <c r="M44" i="25"/>
  <c r="M52" i="25"/>
  <c r="M60" i="25"/>
  <c r="M68" i="25"/>
  <c r="M76" i="25"/>
  <c r="M84" i="25"/>
  <c r="M92" i="25"/>
  <c r="M100" i="25"/>
  <c r="M108" i="25"/>
  <c r="M112" i="25"/>
  <c r="M120" i="25"/>
  <c r="S7" i="25"/>
  <c r="S8" i="25"/>
  <c r="M2" i="25"/>
  <c r="J3" i="41" l="1"/>
  <c r="J3" i="42"/>
  <c r="J3" i="39"/>
  <c r="J3" i="40"/>
  <c r="J3" i="37"/>
  <c r="J3" i="38"/>
  <c r="J3" i="25"/>
  <c r="B4" i="23"/>
  <c r="AB2" i="23"/>
  <c r="C4" i="23" l="1"/>
  <c r="AM4" i="23" s="1"/>
  <c r="B5" i="23"/>
  <c r="AB3" i="23"/>
  <c r="AB4" i="23"/>
  <c r="C5" i="23" l="1"/>
  <c r="AM5" i="23" s="1"/>
  <c r="B6" i="23"/>
  <c r="AB5" i="23"/>
  <c r="C6" i="23" l="1"/>
  <c r="AM6" i="23" s="1"/>
  <c r="B7" i="23"/>
  <c r="AB6" i="23"/>
  <c r="C7" i="23" l="1"/>
  <c r="AM7" i="23" s="1"/>
  <c r="B8" i="23"/>
  <c r="AB7" i="23" l="1"/>
  <c r="C8" i="23"/>
  <c r="AM8" i="23" s="1"/>
  <c r="B9" i="23"/>
  <c r="AB8" i="23"/>
  <c r="C9" i="23" l="1"/>
  <c r="AM9" i="23" s="1"/>
  <c r="B10" i="23"/>
  <c r="AB9" i="23"/>
  <c r="C10" i="23" l="1"/>
  <c r="AM10" i="23" s="1"/>
  <c r="B11" i="23"/>
  <c r="AB10" i="23"/>
  <c r="C11" i="23" l="1"/>
  <c r="AM11" i="23" s="1"/>
  <c r="B12" i="23"/>
  <c r="AB11" i="23" l="1"/>
  <c r="C12" i="23"/>
  <c r="AM12" i="23" s="1"/>
  <c r="B13" i="23"/>
  <c r="AB12" i="23"/>
  <c r="C13" i="23" l="1"/>
  <c r="AM13" i="23" s="1"/>
  <c r="B14" i="23"/>
  <c r="AB13" i="23"/>
  <c r="C14" i="23" l="1"/>
  <c r="AM14" i="23" s="1"/>
  <c r="B15" i="23"/>
  <c r="AB14" i="23" l="1"/>
  <c r="C15" i="23"/>
  <c r="AM15" i="23" s="1"/>
  <c r="B16" i="23"/>
  <c r="AB15" i="23"/>
  <c r="C16" i="23" l="1"/>
  <c r="AM16" i="23" s="1"/>
  <c r="B17" i="23"/>
  <c r="AB16" i="23" l="1"/>
  <c r="C17" i="23"/>
  <c r="AM17" i="23" s="1"/>
  <c r="B18" i="23"/>
  <c r="AB17" i="23"/>
  <c r="C18" i="23" l="1"/>
  <c r="AM18" i="23" s="1"/>
  <c r="B19" i="23"/>
  <c r="AB18" i="23"/>
  <c r="C19" i="23" l="1"/>
  <c r="AM19" i="23" s="1"/>
  <c r="B20" i="23"/>
  <c r="AB19" i="23"/>
  <c r="C20" i="23" l="1"/>
  <c r="AM20" i="23" s="1"/>
  <c r="B21" i="23"/>
  <c r="AB20" i="23"/>
  <c r="C21" i="23" l="1"/>
  <c r="AM21" i="23" s="1"/>
  <c r="B22" i="23"/>
  <c r="AB21" i="23"/>
  <c r="C22" i="23" l="1"/>
  <c r="AM22" i="23" s="1"/>
  <c r="B23" i="23"/>
  <c r="AB22" i="23"/>
  <c r="C23" i="23" l="1"/>
  <c r="AM23" i="23" s="1"/>
  <c r="B24" i="23"/>
  <c r="AB23" i="23"/>
  <c r="C24" i="23" l="1"/>
  <c r="AM24" i="23" s="1"/>
  <c r="B25" i="23"/>
  <c r="AB24" i="23"/>
  <c r="C25" i="23" l="1"/>
  <c r="AM25" i="23" s="1"/>
  <c r="B26" i="23"/>
  <c r="AB25" i="23"/>
  <c r="C26" i="23" l="1"/>
  <c r="AM26" i="23" s="1"/>
  <c r="B27" i="23"/>
  <c r="AB26" i="23"/>
  <c r="C27" i="23" l="1"/>
  <c r="AM27" i="23" s="1"/>
  <c r="B28" i="23"/>
  <c r="AB27" i="23"/>
  <c r="C28" i="23" l="1"/>
  <c r="AM28" i="23" s="1"/>
  <c r="B29" i="23"/>
  <c r="AB28" i="23"/>
  <c r="C29" i="23" l="1"/>
  <c r="AM29" i="23" s="1"/>
  <c r="B30" i="23"/>
  <c r="AB29" i="23"/>
  <c r="C30" i="23" l="1"/>
  <c r="AM30" i="23" s="1"/>
  <c r="B31" i="23"/>
  <c r="AB30" i="23"/>
  <c r="C31" i="23" l="1"/>
  <c r="AM31" i="23" s="1"/>
  <c r="B32" i="23"/>
  <c r="AB31" i="23" l="1"/>
  <c r="C32" i="23"/>
  <c r="AM32" i="23" s="1"/>
  <c r="B33" i="23"/>
  <c r="AB32" i="23"/>
  <c r="C33" i="23" l="1"/>
  <c r="AM33" i="23" s="1"/>
  <c r="B34" i="23"/>
  <c r="AB33" i="23"/>
  <c r="C34" i="23" l="1"/>
  <c r="AM34" i="23" s="1"/>
  <c r="B35" i="23"/>
  <c r="AB34" i="23"/>
  <c r="C35" i="23" l="1"/>
  <c r="AM35" i="23" s="1"/>
  <c r="B36" i="23"/>
  <c r="AB35" i="23"/>
  <c r="C36" i="23" l="1"/>
  <c r="AM36" i="23" s="1"/>
  <c r="B37" i="23"/>
  <c r="AB36" i="23"/>
  <c r="C37" i="23" l="1"/>
  <c r="AM37" i="23" s="1"/>
  <c r="B38" i="23"/>
  <c r="AB37" i="23"/>
  <c r="C38" i="23" l="1"/>
  <c r="AM38" i="23" s="1"/>
  <c r="B39" i="23"/>
  <c r="AB38" i="23"/>
  <c r="C39" i="23" l="1"/>
  <c r="AM39" i="23" s="1"/>
  <c r="B40" i="23"/>
  <c r="AB39" i="23"/>
  <c r="C40" i="23" l="1"/>
  <c r="AM40" i="23" s="1"/>
  <c r="B41" i="23"/>
  <c r="AB40" i="23"/>
  <c r="C41" i="23" l="1"/>
  <c r="AM41" i="23" s="1"/>
  <c r="B42" i="23"/>
  <c r="AB41" i="23"/>
  <c r="C42" i="23" l="1"/>
  <c r="AM42" i="23" s="1"/>
  <c r="B43" i="23"/>
  <c r="AB42" i="23"/>
  <c r="C43" i="23" l="1"/>
  <c r="AM43" i="23" s="1"/>
  <c r="B44" i="23"/>
  <c r="AB43" i="23" l="1"/>
  <c r="C44" i="23"/>
  <c r="AM44" i="23" s="1"/>
  <c r="B45" i="23"/>
  <c r="AB44" i="23"/>
  <c r="C45" i="23" l="1"/>
  <c r="AM45" i="23" s="1"/>
  <c r="B46" i="23"/>
  <c r="AB45" i="23" l="1"/>
  <c r="C46" i="23"/>
  <c r="AM46" i="23" s="1"/>
  <c r="B47" i="23"/>
  <c r="AB46" i="23"/>
  <c r="C47" i="23" l="1"/>
  <c r="AM47" i="23" s="1"/>
  <c r="B48" i="23"/>
  <c r="AB47" i="23"/>
  <c r="C48" i="23" l="1"/>
  <c r="AM48" i="23" s="1"/>
  <c r="B49" i="23"/>
  <c r="AB48" i="23" l="1"/>
  <c r="C49" i="23"/>
  <c r="AM49" i="23" s="1"/>
  <c r="B50" i="23"/>
  <c r="AB49" i="23"/>
  <c r="C50" i="23" l="1"/>
  <c r="AM50" i="23" s="1"/>
  <c r="B51" i="23"/>
  <c r="C51" i="23" s="1"/>
  <c r="AM51" i="23" s="1"/>
  <c r="AB51" i="23"/>
  <c r="AB50" i="23" l="1"/>
  <c r="AF3" i="21" l="1"/>
  <c r="AG3" i="21"/>
  <c r="AH3" i="21"/>
  <c r="AI3" i="21"/>
  <c r="AJ3" i="21"/>
  <c r="AK3" i="21"/>
  <c r="AM3" i="21"/>
  <c r="AL3" i="21"/>
  <c r="AF4" i="21"/>
  <c r="AG4" i="21"/>
  <c r="AH4" i="21"/>
  <c r="AI4" i="21"/>
  <c r="AJ4" i="21"/>
  <c r="AK4" i="21"/>
  <c r="AM4" i="21"/>
  <c r="AL4" i="21"/>
  <c r="AF5" i="21"/>
  <c r="AG5" i="21"/>
  <c r="AH5" i="21"/>
  <c r="AI5" i="21"/>
  <c r="AJ5" i="21"/>
  <c r="AK5" i="21"/>
  <c r="AM5" i="21"/>
  <c r="AL5" i="21"/>
  <c r="AF6" i="21"/>
  <c r="AG6" i="21"/>
  <c r="AH6" i="21"/>
  <c r="AI6" i="21"/>
  <c r="AJ6" i="21"/>
  <c r="AK6" i="21"/>
  <c r="AM6" i="21"/>
  <c r="AL6" i="21"/>
  <c r="AF7" i="21"/>
  <c r="AG7" i="21"/>
  <c r="AH7" i="21"/>
  <c r="AI7" i="21"/>
  <c r="AJ7" i="21"/>
  <c r="AK7" i="21"/>
  <c r="AM7" i="21"/>
  <c r="AL7" i="21"/>
  <c r="AF8" i="21"/>
  <c r="AG8" i="21"/>
  <c r="AH8" i="21"/>
  <c r="AI8" i="21"/>
  <c r="AJ8" i="21"/>
  <c r="AK8" i="21"/>
  <c r="AM8" i="21"/>
  <c r="AL8" i="21"/>
  <c r="AF9" i="21"/>
  <c r="AG9" i="21"/>
  <c r="AH9" i="21"/>
  <c r="AI9" i="21"/>
  <c r="AJ9" i="21"/>
  <c r="AK9" i="21"/>
  <c r="AM9" i="21"/>
  <c r="AL9" i="21"/>
  <c r="AF10" i="21"/>
  <c r="AG10" i="21"/>
  <c r="AH10" i="21"/>
  <c r="AI10" i="21"/>
  <c r="AJ10" i="21"/>
  <c r="AK10" i="21"/>
  <c r="AM10" i="21"/>
  <c r="AL10" i="21"/>
  <c r="AF11" i="21"/>
  <c r="AG11" i="21"/>
  <c r="AH11" i="21"/>
  <c r="AI11" i="21"/>
  <c r="AJ11" i="21"/>
  <c r="AK11" i="21"/>
  <c r="AM11" i="21"/>
  <c r="AL11" i="21"/>
  <c r="AF12" i="21"/>
  <c r="AG12" i="21"/>
  <c r="AH12" i="21"/>
  <c r="AI12" i="21"/>
  <c r="AJ12" i="21"/>
  <c r="AK12" i="21"/>
  <c r="AM12" i="21"/>
  <c r="AL12" i="21"/>
  <c r="AF13" i="21"/>
  <c r="AG13" i="21"/>
  <c r="AH13" i="21"/>
  <c r="AI13" i="21"/>
  <c r="AJ13" i="21"/>
  <c r="AK13" i="21"/>
  <c r="AM13" i="21"/>
  <c r="AL13" i="21"/>
  <c r="AF14" i="21"/>
  <c r="AG14" i="21"/>
  <c r="AH14" i="21"/>
  <c r="AI14" i="21"/>
  <c r="AJ14" i="21"/>
  <c r="AK14" i="21"/>
  <c r="AM14" i="21"/>
  <c r="AL14" i="21"/>
  <c r="AF15" i="21"/>
  <c r="AG15" i="21"/>
  <c r="AH15" i="21"/>
  <c r="AI15" i="21"/>
  <c r="AJ15" i="21"/>
  <c r="AK15" i="21"/>
  <c r="AM15" i="21"/>
  <c r="AL15" i="21"/>
  <c r="AF16" i="21"/>
  <c r="AG16" i="21"/>
  <c r="AH16" i="21"/>
  <c r="AI16" i="21"/>
  <c r="AJ16" i="21"/>
  <c r="AK16" i="21"/>
  <c r="AM16" i="21"/>
  <c r="AL16" i="21"/>
  <c r="AF17" i="21"/>
  <c r="AG17" i="21"/>
  <c r="AH17" i="21"/>
  <c r="AI17" i="21"/>
  <c r="AJ17" i="21"/>
  <c r="AK17" i="21"/>
  <c r="AM17" i="21"/>
  <c r="AL17" i="21"/>
  <c r="AF18" i="21"/>
  <c r="AG18" i="21"/>
  <c r="AH18" i="21"/>
  <c r="AI18" i="21"/>
  <c r="AJ18" i="21"/>
  <c r="AK18" i="21"/>
  <c r="AM18" i="21"/>
  <c r="AL18" i="21"/>
  <c r="AF19" i="21"/>
  <c r="AG19" i="21"/>
  <c r="AH19" i="21"/>
  <c r="AI19" i="21"/>
  <c r="AJ19" i="21"/>
  <c r="AK19" i="21"/>
  <c r="AM19" i="21"/>
  <c r="AL19" i="21"/>
  <c r="AF20" i="21"/>
  <c r="AG20" i="21"/>
  <c r="AH20" i="21"/>
  <c r="AI20" i="21"/>
  <c r="AJ20" i="21"/>
  <c r="AK20" i="21"/>
  <c r="AM20" i="21"/>
  <c r="AL20" i="21"/>
  <c r="AF21" i="21"/>
  <c r="AG21" i="21"/>
  <c r="AH21" i="21"/>
  <c r="AI21" i="21"/>
  <c r="AJ21" i="21"/>
  <c r="AK21" i="21"/>
  <c r="AM21" i="21"/>
  <c r="AL21" i="21"/>
  <c r="AF22" i="21"/>
  <c r="AG22" i="21"/>
  <c r="AH22" i="21"/>
  <c r="AI22" i="21"/>
  <c r="AJ22" i="21"/>
  <c r="AK22" i="21"/>
  <c r="AM22" i="21"/>
  <c r="AL22" i="21"/>
  <c r="AF23" i="21"/>
  <c r="AG23" i="21"/>
  <c r="AH23" i="21"/>
  <c r="AI23" i="21"/>
  <c r="AJ23" i="21"/>
  <c r="AK23" i="21"/>
  <c r="AM23" i="21"/>
  <c r="AL23" i="21"/>
  <c r="AF24" i="21"/>
  <c r="AG24" i="21"/>
  <c r="AH24" i="21"/>
  <c r="AI24" i="21"/>
  <c r="AJ24" i="21"/>
  <c r="AK24" i="21"/>
  <c r="AM24" i="21"/>
  <c r="AL24" i="21"/>
  <c r="AF25" i="21"/>
  <c r="AG25" i="21"/>
  <c r="AH25" i="21"/>
  <c r="AI25" i="21"/>
  <c r="AJ25" i="21"/>
  <c r="AK25" i="21"/>
  <c r="AM25" i="21"/>
  <c r="AL25" i="21"/>
  <c r="AF26" i="21"/>
  <c r="AG26" i="21"/>
  <c r="AH26" i="21"/>
  <c r="AI26" i="21"/>
  <c r="AJ26" i="21"/>
  <c r="AK26" i="21"/>
  <c r="AM26" i="21"/>
  <c r="AL26" i="21"/>
  <c r="AF27" i="21"/>
  <c r="AG27" i="21"/>
  <c r="AH27" i="21"/>
  <c r="AI27" i="21"/>
  <c r="AJ27" i="21"/>
  <c r="AK27" i="21"/>
  <c r="AM27" i="21"/>
  <c r="AL27" i="21"/>
  <c r="AF28" i="21"/>
  <c r="AG28" i="21"/>
  <c r="AH28" i="21"/>
  <c r="AI28" i="21"/>
  <c r="AJ28" i="21"/>
  <c r="AK28" i="21"/>
  <c r="AM28" i="21"/>
  <c r="AL28" i="21"/>
  <c r="AF29" i="21"/>
  <c r="AG29" i="21"/>
  <c r="AH29" i="21"/>
  <c r="AI29" i="21"/>
  <c r="AJ29" i="21"/>
  <c r="AK29" i="21"/>
  <c r="AM29" i="21"/>
  <c r="AL29" i="21"/>
  <c r="AF30" i="21"/>
  <c r="AG30" i="21"/>
  <c r="AH30" i="21"/>
  <c r="AI30" i="21"/>
  <c r="AJ30" i="21"/>
  <c r="AK30" i="21"/>
  <c r="AM30" i="21"/>
  <c r="AL30" i="21"/>
  <c r="AF31" i="21"/>
  <c r="AG31" i="21"/>
  <c r="AH31" i="21"/>
  <c r="AI31" i="21"/>
  <c r="AJ31" i="21"/>
  <c r="AK31" i="21"/>
  <c r="AM31" i="21"/>
  <c r="AL31" i="21"/>
  <c r="AF32" i="21"/>
  <c r="AG32" i="21"/>
  <c r="AH32" i="21"/>
  <c r="AI32" i="21"/>
  <c r="AJ32" i="21"/>
  <c r="AK32" i="21"/>
  <c r="AM32" i="21"/>
  <c r="AL32" i="21"/>
  <c r="AF33" i="21"/>
  <c r="AG33" i="21"/>
  <c r="AH33" i="21"/>
  <c r="AI33" i="21"/>
  <c r="AJ33" i="21"/>
  <c r="AK33" i="21"/>
  <c r="AM33" i="21"/>
  <c r="AL33" i="21"/>
  <c r="AF34" i="21"/>
  <c r="AG34" i="21"/>
  <c r="AH34" i="21"/>
  <c r="AI34" i="21"/>
  <c r="AJ34" i="21"/>
  <c r="AK34" i="21"/>
  <c r="AM34" i="21"/>
  <c r="AL34" i="21"/>
  <c r="AF35" i="21"/>
  <c r="AG35" i="21"/>
  <c r="AH35" i="21"/>
  <c r="AI35" i="21"/>
  <c r="AJ35" i="21"/>
  <c r="AK35" i="21"/>
  <c r="AM35" i="21"/>
  <c r="AL35" i="21"/>
  <c r="AF36" i="21"/>
  <c r="AG36" i="21"/>
  <c r="AH36" i="21"/>
  <c r="AI36" i="21"/>
  <c r="AJ36" i="21"/>
  <c r="AK36" i="21"/>
  <c r="AM36" i="21"/>
  <c r="AL36" i="21"/>
  <c r="AF37" i="21"/>
  <c r="AG37" i="21"/>
  <c r="AH37" i="21"/>
  <c r="AI37" i="21"/>
  <c r="AJ37" i="21"/>
  <c r="AK37" i="21"/>
  <c r="AM37" i="21"/>
  <c r="AL37" i="21"/>
  <c r="AF38" i="21"/>
  <c r="AG38" i="21"/>
  <c r="AH38" i="21"/>
  <c r="AI38" i="21"/>
  <c r="AJ38" i="21"/>
  <c r="AK38" i="21"/>
  <c r="AM38" i="21"/>
  <c r="AL38" i="21"/>
  <c r="AF39" i="21"/>
  <c r="AG39" i="21"/>
  <c r="AH39" i="21"/>
  <c r="AI39" i="21"/>
  <c r="AJ39" i="21"/>
  <c r="AK39" i="21"/>
  <c r="AM39" i="21"/>
  <c r="AL39" i="21"/>
  <c r="AF40" i="21"/>
  <c r="AG40" i="21"/>
  <c r="AH40" i="21"/>
  <c r="AI40" i="21"/>
  <c r="AJ40" i="21"/>
  <c r="AK40" i="21"/>
  <c r="AM40" i="21"/>
  <c r="AL40" i="21"/>
  <c r="AF41" i="21"/>
  <c r="AG41" i="21"/>
  <c r="AH41" i="21"/>
  <c r="AI41" i="21"/>
  <c r="AJ41" i="21"/>
  <c r="AK41" i="21"/>
  <c r="AM41" i="21"/>
  <c r="AL41" i="21"/>
  <c r="AF42" i="21"/>
  <c r="AG42" i="21"/>
  <c r="AH42" i="21"/>
  <c r="AI42" i="21"/>
  <c r="AJ42" i="21"/>
  <c r="AK42" i="21"/>
  <c r="AM42" i="21"/>
  <c r="AL42" i="21"/>
  <c r="AF43" i="21"/>
  <c r="AG43" i="21"/>
  <c r="AH43" i="21"/>
  <c r="AI43" i="21"/>
  <c r="AJ43" i="21"/>
  <c r="AK43" i="21"/>
  <c r="AM43" i="21"/>
  <c r="AL43" i="21"/>
  <c r="AF44" i="21"/>
  <c r="AG44" i="21"/>
  <c r="AH44" i="21"/>
  <c r="AI44" i="21"/>
  <c r="AJ44" i="21"/>
  <c r="AK44" i="21"/>
  <c r="AM44" i="21"/>
  <c r="AL44" i="21"/>
  <c r="AF45" i="21"/>
  <c r="AG45" i="21"/>
  <c r="AH45" i="21"/>
  <c r="AI45" i="21"/>
  <c r="AJ45" i="21"/>
  <c r="AK45" i="21"/>
  <c r="AM45" i="21"/>
  <c r="AL45" i="21"/>
  <c r="AF46" i="21"/>
  <c r="AG46" i="21"/>
  <c r="AH46" i="21"/>
  <c r="AI46" i="21"/>
  <c r="AJ46" i="21"/>
  <c r="AK46" i="21"/>
  <c r="AM46" i="21"/>
  <c r="AL46" i="21"/>
  <c r="AF47" i="21"/>
  <c r="AG47" i="21"/>
  <c r="AH47" i="21"/>
  <c r="AI47" i="21"/>
  <c r="AJ47" i="21"/>
  <c r="AK47" i="21"/>
  <c r="AM47" i="21"/>
  <c r="AL47" i="21"/>
  <c r="AF48" i="21"/>
  <c r="AG48" i="21"/>
  <c r="AH48" i="21"/>
  <c r="AI48" i="21"/>
  <c r="AJ48" i="21"/>
  <c r="AK48" i="21"/>
  <c r="AM48" i="21"/>
  <c r="AL48" i="21"/>
  <c r="AF49" i="21"/>
  <c r="AG49" i="21"/>
  <c r="AH49" i="21"/>
  <c r="AI49" i="21"/>
  <c r="AJ49" i="21"/>
  <c r="AK49" i="21"/>
  <c r="AM49" i="21"/>
  <c r="AL49" i="21"/>
  <c r="AF50" i="21"/>
  <c r="AG50" i="21"/>
  <c r="AH50" i="21"/>
  <c r="AI50" i="21"/>
  <c r="AJ50" i="21"/>
  <c r="AK50" i="21"/>
  <c r="AM50" i="21"/>
  <c r="AL50" i="21"/>
  <c r="AF51" i="21"/>
  <c r="AG51" i="21"/>
  <c r="AH51" i="21"/>
  <c r="AI51" i="21"/>
  <c r="AJ51" i="21"/>
  <c r="AK51" i="21"/>
  <c r="AM51" i="21"/>
  <c r="AL51" i="21"/>
  <c r="AF52" i="21"/>
  <c r="AG52" i="21"/>
  <c r="AH52" i="21"/>
  <c r="AI52" i="21"/>
  <c r="AJ52" i="21"/>
  <c r="AK52" i="21"/>
  <c r="AM52" i="21"/>
  <c r="AL52" i="21"/>
  <c r="AF53" i="21"/>
  <c r="AG53" i="21"/>
  <c r="AH53" i="21"/>
  <c r="AI53" i="21"/>
  <c r="AJ53" i="21"/>
  <c r="AK53" i="21"/>
  <c r="AM53" i="21"/>
  <c r="AL53" i="21"/>
  <c r="AF54" i="21"/>
  <c r="AG54" i="21"/>
  <c r="AH54" i="21"/>
  <c r="AI54" i="21"/>
  <c r="AJ54" i="21"/>
  <c r="AK54" i="21"/>
  <c r="AM54" i="21"/>
  <c r="AL54" i="21"/>
  <c r="AF55" i="21"/>
  <c r="AG55" i="21"/>
  <c r="AH55" i="21"/>
  <c r="AI55" i="21"/>
  <c r="AJ55" i="21"/>
  <c r="AK55" i="21"/>
  <c r="AM55" i="21"/>
  <c r="AL55" i="21"/>
  <c r="AF56" i="21"/>
  <c r="AG56" i="21"/>
  <c r="AH56" i="21"/>
  <c r="AI56" i="21"/>
  <c r="AJ56" i="21"/>
  <c r="AK56" i="21"/>
  <c r="AM56" i="21"/>
  <c r="AL56" i="21"/>
  <c r="AF57" i="21"/>
  <c r="AG57" i="21"/>
  <c r="AH57" i="21"/>
  <c r="AI57" i="21"/>
  <c r="AJ57" i="21"/>
  <c r="AK57" i="21"/>
  <c r="AM57" i="21"/>
  <c r="AL57" i="21"/>
  <c r="AF58" i="21"/>
  <c r="AG58" i="21"/>
  <c r="AH58" i="21"/>
  <c r="AI58" i="21"/>
  <c r="AJ58" i="21"/>
  <c r="AK58" i="21"/>
  <c r="AM58" i="21"/>
  <c r="AL58" i="21"/>
  <c r="AF59" i="21"/>
  <c r="AG59" i="21"/>
  <c r="AH59" i="21"/>
  <c r="AI59" i="21"/>
  <c r="AJ59" i="21"/>
  <c r="AK59" i="21"/>
  <c r="AM59" i="21"/>
  <c r="AL59" i="21"/>
  <c r="AF60" i="21"/>
  <c r="AG60" i="21"/>
  <c r="AH60" i="21"/>
  <c r="AI60" i="21"/>
  <c r="AJ60" i="21"/>
  <c r="AK60" i="21"/>
  <c r="AM60" i="21"/>
  <c r="AL60" i="21"/>
  <c r="AF61" i="21"/>
  <c r="AG61" i="21"/>
  <c r="AH61" i="21"/>
  <c r="AI61" i="21"/>
  <c r="AJ61" i="21"/>
  <c r="AK61" i="21"/>
  <c r="AM61" i="21"/>
  <c r="AL61" i="21"/>
  <c r="AF62" i="21"/>
  <c r="AG62" i="21"/>
  <c r="AH62" i="21"/>
  <c r="AI62" i="21"/>
  <c r="AJ62" i="21"/>
  <c r="AK62" i="21"/>
  <c r="AM62" i="21"/>
  <c r="AL62" i="21"/>
  <c r="AF63" i="21"/>
  <c r="AG63" i="21"/>
  <c r="AH63" i="21"/>
  <c r="AI63" i="21"/>
  <c r="AJ63" i="21"/>
  <c r="AK63" i="21"/>
  <c r="AM63" i="21"/>
  <c r="AL63" i="21"/>
  <c r="AF64" i="21"/>
  <c r="AG64" i="21"/>
  <c r="AH64" i="21"/>
  <c r="AI64" i="21"/>
  <c r="AJ64" i="21"/>
  <c r="AK64" i="21"/>
  <c r="AM64" i="21"/>
  <c r="AL64" i="21"/>
  <c r="AF65" i="21"/>
  <c r="AG65" i="21"/>
  <c r="AH65" i="21"/>
  <c r="AI65" i="21"/>
  <c r="AJ65" i="21"/>
  <c r="AK65" i="21"/>
  <c r="AM65" i="21"/>
  <c r="AL65" i="21"/>
  <c r="AF66" i="21"/>
  <c r="AG66" i="21"/>
  <c r="AH66" i="21"/>
  <c r="AI66" i="21"/>
  <c r="AJ66" i="21"/>
  <c r="AK66" i="21"/>
  <c r="AM66" i="21"/>
  <c r="AL66" i="21"/>
  <c r="AF67" i="21"/>
  <c r="AG67" i="21"/>
  <c r="AH67" i="21"/>
  <c r="AI67" i="21"/>
  <c r="AJ67" i="21"/>
  <c r="AK67" i="21"/>
  <c r="AM67" i="21"/>
  <c r="AL67" i="21"/>
  <c r="AF68" i="21"/>
  <c r="AG68" i="21"/>
  <c r="AH68" i="21"/>
  <c r="AI68" i="21"/>
  <c r="AJ68" i="21"/>
  <c r="AK68" i="21"/>
  <c r="AM68" i="21"/>
  <c r="AL68" i="21"/>
  <c r="AF69" i="21"/>
  <c r="AG69" i="21"/>
  <c r="AH69" i="21"/>
  <c r="AI69" i="21"/>
  <c r="AJ69" i="21"/>
  <c r="AK69" i="21"/>
  <c r="AM69" i="21"/>
  <c r="AL69" i="21"/>
  <c r="AF70" i="21"/>
  <c r="AG70" i="21"/>
  <c r="AH70" i="21"/>
  <c r="AI70" i="21"/>
  <c r="AJ70" i="21"/>
  <c r="AK70" i="21"/>
  <c r="AM70" i="21"/>
  <c r="AL70" i="21"/>
  <c r="AF71" i="21"/>
  <c r="AG71" i="21"/>
  <c r="AH71" i="21"/>
  <c r="AI71" i="21"/>
  <c r="AJ71" i="21"/>
  <c r="AK71" i="21"/>
  <c r="AM71" i="21"/>
  <c r="AL71" i="21"/>
  <c r="AF72" i="21"/>
  <c r="AG72" i="21"/>
  <c r="AH72" i="21"/>
  <c r="AI72" i="21"/>
  <c r="AJ72" i="21"/>
  <c r="AK72" i="21"/>
  <c r="AM72" i="21"/>
  <c r="AL72" i="21"/>
  <c r="AF73" i="21"/>
  <c r="AG73" i="21"/>
  <c r="AH73" i="21"/>
  <c r="AI73" i="21"/>
  <c r="AJ73" i="21"/>
  <c r="AK73" i="21"/>
  <c r="AM73" i="21"/>
  <c r="AL73" i="21"/>
  <c r="AF74" i="21"/>
  <c r="AG74" i="21"/>
  <c r="AH74" i="21"/>
  <c r="AI74" i="21"/>
  <c r="AJ74" i="21"/>
  <c r="AK74" i="21"/>
  <c r="AM74" i="21"/>
  <c r="AL74" i="21"/>
  <c r="AF75" i="21"/>
  <c r="AG75" i="21"/>
  <c r="AH75" i="21"/>
  <c r="AI75" i="21"/>
  <c r="AJ75" i="21"/>
  <c r="AK75" i="21"/>
  <c r="AM75" i="21"/>
  <c r="AL75" i="21"/>
  <c r="AF76" i="21"/>
  <c r="AG76" i="21"/>
  <c r="AH76" i="21"/>
  <c r="AI76" i="21"/>
  <c r="AJ76" i="21"/>
  <c r="AK76" i="21"/>
  <c r="AM76" i="21"/>
  <c r="AL76" i="21"/>
  <c r="AF77" i="21"/>
  <c r="AG77" i="21"/>
  <c r="AH77" i="21"/>
  <c r="AI77" i="21"/>
  <c r="AJ77" i="21"/>
  <c r="AK77" i="21"/>
  <c r="AM77" i="21"/>
  <c r="AL77" i="21"/>
  <c r="AF78" i="21"/>
  <c r="AG78" i="21"/>
  <c r="AH78" i="21"/>
  <c r="AI78" i="21"/>
  <c r="AJ78" i="21"/>
  <c r="AK78" i="21"/>
  <c r="AM78" i="21"/>
  <c r="AL78" i="21"/>
  <c r="AF79" i="21"/>
  <c r="AG79" i="21"/>
  <c r="AH79" i="21"/>
  <c r="AI79" i="21"/>
  <c r="AJ79" i="21"/>
  <c r="AK79" i="21"/>
  <c r="AM79" i="21"/>
  <c r="AL79" i="21"/>
  <c r="AF80" i="21"/>
  <c r="AG80" i="21"/>
  <c r="AH80" i="21"/>
  <c r="AI80" i="21"/>
  <c r="AJ80" i="21"/>
  <c r="AK80" i="21"/>
  <c r="AM80" i="21"/>
  <c r="AL80" i="21"/>
  <c r="AF81" i="21"/>
  <c r="AG81" i="21"/>
  <c r="AH81" i="21"/>
  <c r="AI81" i="21"/>
  <c r="AJ81" i="21"/>
  <c r="AK81" i="21"/>
  <c r="AM81" i="21"/>
  <c r="AL81" i="21"/>
  <c r="AF82" i="21"/>
  <c r="AG82" i="21"/>
  <c r="AH82" i="21"/>
  <c r="AI82" i="21"/>
  <c r="AJ82" i="21"/>
  <c r="AK82" i="21"/>
  <c r="AM82" i="21"/>
  <c r="AL82" i="21"/>
  <c r="AF83" i="21"/>
  <c r="AG83" i="21"/>
  <c r="AH83" i="21"/>
  <c r="AI83" i="21"/>
  <c r="AJ83" i="21"/>
  <c r="AK83" i="21"/>
  <c r="AM83" i="21"/>
  <c r="AL83" i="21"/>
  <c r="AF84" i="21"/>
  <c r="AG84" i="21"/>
  <c r="AH84" i="21"/>
  <c r="AI84" i="21"/>
  <c r="AJ84" i="21"/>
  <c r="AK84" i="21"/>
  <c r="AM84" i="21"/>
  <c r="AL84" i="21"/>
  <c r="AF85" i="21"/>
  <c r="AG85" i="21"/>
  <c r="AH85" i="21"/>
  <c r="AI85" i="21"/>
  <c r="AJ85" i="21"/>
  <c r="AK85" i="21"/>
  <c r="AM85" i="21"/>
  <c r="AL85" i="21"/>
  <c r="AF86" i="21"/>
  <c r="AG86" i="21"/>
  <c r="AH86" i="21"/>
  <c r="AI86" i="21"/>
  <c r="AJ86" i="21"/>
  <c r="AK86" i="21"/>
  <c r="AM86" i="21"/>
  <c r="AL86" i="21"/>
  <c r="AF87" i="21"/>
  <c r="AG87" i="21"/>
  <c r="AH87" i="21"/>
  <c r="AI87" i="21"/>
  <c r="AJ87" i="21"/>
  <c r="AK87" i="21"/>
  <c r="AM87" i="21"/>
  <c r="AL87" i="21"/>
  <c r="AF88" i="21"/>
  <c r="AG88" i="21"/>
  <c r="AH88" i="21"/>
  <c r="AI88" i="21"/>
  <c r="AJ88" i="21"/>
  <c r="AK88" i="21"/>
  <c r="AM88" i="21"/>
  <c r="AL88" i="21"/>
  <c r="AF89" i="21"/>
  <c r="AG89" i="21"/>
  <c r="AH89" i="21"/>
  <c r="AI89" i="21"/>
  <c r="AJ89" i="21"/>
  <c r="AK89" i="21"/>
  <c r="AM89" i="21"/>
  <c r="AL89" i="21"/>
  <c r="AF90" i="21"/>
  <c r="AG90" i="21"/>
  <c r="AH90" i="21"/>
  <c r="AI90" i="21"/>
  <c r="AJ90" i="21"/>
  <c r="AK90" i="21"/>
  <c r="AM90" i="21"/>
  <c r="AL90" i="21"/>
  <c r="AF91" i="21"/>
  <c r="AG91" i="21"/>
  <c r="AH91" i="21"/>
  <c r="AI91" i="21"/>
  <c r="AJ91" i="21"/>
  <c r="AK91" i="21"/>
  <c r="AM91" i="21"/>
  <c r="AL91" i="21"/>
  <c r="AF92" i="21"/>
  <c r="AG92" i="21"/>
  <c r="AH92" i="21"/>
  <c r="AI92" i="21"/>
  <c r="AJ92" i="21"/>
  <c r="AK92" i="21"/>
  <c r="AM92" i="21"/>
  <c r="AL92" i="21"/>
  <c r="AF93" i="21"/>
  <c r="AG93" i="21"/>
  <c r="AH93" i="21"/>
  <c r="AI93" i="21"/>
  <c r="AJ93" i="21"/>
  <c r="AK93" i="21"/>
  <c r="AM93" i="21"/>
  <c r="AL93" i="21"/>
  <c r="AF94" i="21"/>
  <c r="AG94" i="21"/>
  <c r="AH94" i="21"/>
  <c r="AI94" i="21"/>
  <c r="AJ94" i="21"/>
  <c r="AK94" i="21"/>
  <c r="AM94" i="21"/>
  <c r="AL94" i="21"/>
  <c r="AF95" i="21"/>
  <c r="AG95" i="21"/>
  <c r="AH95" i="21"/>
  <c r="AI95" i="21"/>
  <c r="AJ95" i="21"/>
  <c r="AK95" i="21"/>
  <c r="AM95" i="21"/>
  <c r="AL95" i="21"/>
  <c r="AF96" i="21"/>
  <c r="AG96" i="21"/>
  <c r="AH96" i="21"/>
  <c r="AI96" i="21"/>
  <c r="AJ96" i="21"/>
  <c r="AK96" i="21"/>
  <c r="AM96" i="21"/>
  <c r="AL96" i="21"/>
  <c r="AF97" i="21"/>
  <c r="AG97" i="21"/>
  <c r="AH97" i="21"/>
  <c r="AI97" i="21"/>
  <c r="AJ97" i="21"/>
  <c r="AK97" i="21"/>
  <c r="AM97" i="21"/>
  <c r="AL97" i="21"/>
  <c r="AF98" i="21"/>
  <c r="AG98" i="21"/>
  <c r="AH98" i="21"/>
  <c r="AI98" i="21"/>
  <c r="AJ98" i="21"/>
  <c r="AK98" i="21"/>
  <c r="AM98" i="21"/>
  <c r="AL98" i="21"/>
  <c r="AF99" i="21"/>
  <c r="AG99" i="21"/>
  <c r="AH99" i="21"/>
  <c r="AI99" i="21"/>
  <c r="AJ99" i="21"/>
  <c r="AK99" i="21"/>
  <c r="AM99" i="21"/>
  <c r="AL99" i="21"/>
  <c r="AF100" i="21"/>
  <c r="AG100" i="21"/>
  <c r="AH100" i="21"/>
  <c r="AI100" i="21"/>
  <c r="AJ100" i="21"/>
  <c r="AK100" i="21"/>
  <c r="AM100" i="21"/>
  <c r="AL100" i="21"/>
  <c r="AF101" i="21"/>
  <c r="AG101" i="21"/>
  <c r="AH101" i="21"/>
  <c r="AI101" i="21"/>
  <c r="AJ101" i="21"/>
  <c r="AK101" i="21"/>
  <c r="AM101" i="21"/>
  <c r="AL101" i="21"/>
  <c r="AF102" i="21"/>
  <c r="AG102" i="21"/>
  <c r="AH102" i="21"/>
  <c r="AI102" i="21"/>
  <c r="AJ102" i="21"/>
  <c r="AK102" i="21"/>
  <c r="AM102" i="21"/>
  <c r="AL102" i="21"/>
  <c r="AF103" i="21"/>
  <c r="AG103" i="21"/>
  <c r="AH103" i="21"/>
  <c r="AI103" i="21"/>
  <c r="AJ103" i="21"/>
  <c r="AK103" i="21"/>
  <c r="AM103" i="21"/>
  <c r="AL103" i="21"/>
  <c r="AF104" i="21"/>
  <c r="AG104" i="21"/>
  <c r="AH104" i="21"/>
  <c r="AI104" i="21"/>
  <c r="AJ104" i="21"/>
  <c r="AK104" i="21"/>
  <c r="AM104" i="21"/>
  <c r="AL104" i="21"/>
  <c r="AF105" i="21"/>
  <c r="AG105" i="21"/>
  <c r="AH105" i="21"/>
  <c r="AI105" i="21"/>
  <c r="AJ105" i="21"/>
  <c r="AK105" i="21"/>
  <c r="AM105" i="21"/>
  <c r="AL105" i="21"/>
  <c r="AF106" i="21"/>
  <c r="AG106" i="21"/>
  <c r="AH106" i="21"/>
  <c r="AI106" i="21"/>
  <c r="AJ106" i="21"/>
  <c r="AK106" i="21"/>
  <c r="AM106" i="21"/>
  <c r="AL106" i="21"/>
  <c r="AF107" i="21"/>
  <c r="AG107" i="21"/>
  <c r="AH107" i="21"/>
  <c r="AI107" i="21"/>
  <c r="AJ107" i="21"/>
  <c r="AK107" i="21"/>
  <c r="AM107" i="21"/>
  <c r="AL107" i="21"/>
  <c r="AF108" i="21"/>
  <c r="AG108" i="21"/>
  <c r="AH108" i="21"/>
  <c r="AI108" i="21"/>
  <c r="AJ108" i="21"/>
  <c r="AK108" i="21"/>
  <c r="AM108" i="21"/>
  <c r="AL108" i="21"/>
  <c r="AF109" i="21"/>
  <c r="AG109" i="21"/>
  <c r="AH109" i="21"/>
  <c r="AI109" i="21"/>
  <c r="AJ109" i="21"/>
  <c r="AK109" i="21"/>
  <c r="AM109" i="21"/>
  <c r="AL109" i="21"/>
  <c r="AF110" i="21"/>
  <c r="AG110" i="21"/>
  <c r="AH110" i="21"/>
  <c r="AI110" i="21"/>
  <c r="AJ110" i="21"/>
  <c r="AK110" i="21"/>
  <c r="AM110" i="21"/>
  <c r="AL110" i="21"/>
  <c r="AF111" i="21"/>
  <c r="AG111" i="21"/>
  <c r="AH111" i="21"/>
  <c r="AI111" i="21"/>
  <c r="AJ111" i="21"/>
  <c r="AK111" i="21"/>
  <c r="AM111" i="21"/>
  <c r="AL111" i="21"/>
  <c r="AF112" i="21"/>
  <c r="AG112" i="21"/>
  <c r="AH112" i="21"/>
  <c r="AI112" i="21"/>
  <c r="AJ112" i="21"/>
  <c r="AK112" i="21"/>
  <c r="AM112" i="21"/>
  <c r="AL112" i="21"/>
  <c r="AF113" i="21"/>
  <c r="AG113" i="21"/>
  <c r="AH113" i="21"/>
  <c r="AI113" i="21"/>
  <c r="AJ113" i="21"/>
  <c r="AK113" i="21"/>
  <c r="AM113" i="21"/>
  <c r="AL113" i="21"/>
  <c r="AF114" i="21"/>
  <c r="AG114" i="21"/>
  <c r="AH114" i="21"/>
  <c r="AI114" i="21"/>
  <c r="AJ114" i="21"/>
  <c r="AK114" i="21"/>
  <c r="AM114" i="21"/>
  <c r="AL114" i="21"/>
  <c r="AF115" i="21"/>
  <c r="AG115" i="21"/>
  <c r="AH115" i="21"/>
  <c r="AI115" i="21"/>
  <c r="AJ115" i="21"/>
  <c r="AK115" i="21"/>
  <c r="AM115" i="21"/>
  <c r="AL115" i="21"/>
  <c r="AF116" i="21"/>
  <c r="AG116" i="21"/>
  <c r="AH116" i="21"/>
  <c r="AI116" i="21"/>
  <c r="AJ116" i="21"/>
  <c r="AK116" i="21"/>
  <c r="AM116" i="21"/>
  <c r="AL116" i="21"/>
  <c r="AF117" i="21"/>
  <c r="AG117" i="21"/>
  <c r="AH117" i="21"/>
  <c r="AI117" i="21"/>
  <c r="AJ117" i="21"/>
  <c r="AK117" i="21"/>
  <c r="AM117" i="21"/>
  <c r="AL117" i="21"/>
  <c r="AF118" i="21"/>
  <c r="AG118" i="21"/>
  <c r="AH118" i="21"/>
  <c r="AI118" i="21"/>
  <c r="AJ118" i="21"/>
  <c r="AK118" i="21"/>
  <c r="AM118" i="21"/>
  <c r="AL118" i="21"/>
  <c r="AF119" i="21"/>
  <c r="AG119" i="21"/>
  <c r="AH119" i="21"/>
  <c r="AI119" i="21"/>
  <c r="AJ119" i="21"/>
  <c r="AK119" i="21"/>
  <c r="AM119" i="21"/>
  <c r="AL119" i="21"/>
  <c r="AF120" i="21"/>
  <c r="AG120" i="21"/>
  <c r="AH120" i="21"/>
  <c r="AI120" i="21"/>
  <c r="AJ120" i="21"/>
  <c r="AK120" i="21"/>
  <c r="AM120" i="21"/>
  <c r="AL120" i="21"/>
  <c r="AF121" i="21"/>
  <c r="AG121" i="21"/>
  <c r="AH121" i="21"/>
  <c r="AI121" i="21"/>
  <c r="AJ121" i="21"/>
  <c r="AK121" i="21"/>
  <c r="AM121" i="21"/>
  <c r="AL121" i="21"/>
  <c r="AF122" i="21"/>
  <c r="AG122" i="21"/>
  <c r="AH122" i="21"/>
  <c r="AI122" i="21"/>
  <c r="AJ122" i="21"/>
  <c r="AK122" i="21"/>
  <c r="AM122" i="21"/>
  <c r="AL122" i="21"/>
  <c r="AF123" i="21"/>
  <c r="AG123" i="21"/>
  <c r="AH123" i="21"/>
  <c r="AI123" i="21"/>
  <c r="AJ123" i="21"/>
  <c r="AK123" i="21"/>
  <c r="AM123" i="21"/>
  <c r="AL123" i="21"/>
  <c r="AF124" i="21"/>
  <c r="AG124" i="21"/>
  <c r="AH124" i="21"/>
  <c r="AI124" i="21"/>
  <c r="AJ124" i="21"/>
  <c r="AK124" i="21"/>
  <c r="AM124" i="21"/>
  <c r="AL124" i="21"/>
  <c r="AF125" i="21"/>
  <c r="AG125" i="21"/>
  <c r="AH125" i="21"/>
  <c r="AI125" i="21"/>
  <c r="AJ125" i="21"/>
  <c r="AK125" i="21"/>
  <c r="AM125" i="21"/>
  <c r="AL125" i="21"/>
  <c r="AF126" i="21"/>
  <c r="AG126" i="21"/>
  <c r="AH126" i="21"/>
  <c r="AI126" i="21"/>
  <c r="AJ126" i="21"/>
  <c r="AK126" i="21"/>
  <c r="AM126" i="21"/>
  <c r="AL126" i="21"/>
  <c r="AF127" i="21"/>
  <c r="AG127" i="21"/>
  <c r="AH127" i="21"/>
  <c r="AI127" i="21"/>
  <c r="AJ127" i="21"/>
  <c r="AK127" i="21"/>
  <c r="AM127" i="21"/>
  <c r="AL127" i="21"/>
  <c r="AF128" i="21"/>
  <c r="AG128" i="21"/>
  <c r="AH128" i="21"/>
  <c r="AI128" i="21"/>
  <c r="AJ128" i="21"/>
  <c r="AK128" i="21"/>
  <c r="AM128" i="21"/>
  <c r="AL128" i="21"/>
  <c r="AF129" i="21"/>
  <c r="AG129" i="21"/>
  <c r="AH129" i="21"/>
  <c r="AI129" i="21"/>
  <c r="AJ129" i="21"/>
  <c r="AK129" i="21"/>
  <c r="AM129" i="21"/>
  <c r="AL129" i="21"/>
  <c r="AF130" i="21"/>
  <c r="AG130" i="21"/>
  <c r="AH130" i="21"/>
  <c r="AI130" i="21"/>
  <c r="AJ130" i="21"/>
  <c r="AK130" i="21"/>
  <c r="AM130" i="21"/>
  <c r="AL130" i="21"/>
  <c r="AF131" i="21"/>
  <c r="AG131" i="21"/>
  <c r="AH131" i="21"/>
  <c r="AI131" i="21"/>
  <c r="AJ131" i="21"/>
  <c r="AK131" i="21"/>
  <c r="AM131" i="21"/>
  <c r="AL131" i="21"/>
  <c r="AF132" i="21"/>
  <c r="AG132" i="21"/>
  <c r="AH132" i="21"/>
  <c r="AI132" i="21"/>
  <c r="AJ132" i="21"/>
  <c r="AK132" i="21"/>
  <c r="AM132" i="21"/>
  <c r="AL132" i="21"/>
  <c r="AF133" i="21"/>
  <c r="AG133" i="21"/>
  <c r="AH133" i="21"/>
  <c r="AI133" i="21"/>
  <c r="AJ133" i="21"/>
  <c r="AK133" i="21"/>
  <c r="AM133" i="21"/>
  <c r="AL133" i="21"/>
  <c r="AF134" i="21"/>
  <c r="AG134" i="21"/>
  <c r="AH134" i="21"/>
  <c r="AI134" i="21"/>
  <c r="AJ134" i="21"/>
  <c r="AK134" i="21"/>
  <c r="AM134" i="21"/>
  <c r="AL134" i="21"/>
  <c r="AF135" i="21"/>
  <c r="AG135" i="21"/>
  <c r="AH135" i="21"/>
  <c r="AI135" i="21"/>
  <c r="AJ135" i="21"/>
  <c r="AK135" i="21"/>
  <c r="AM135" i="21"/>
  <c r="AL135" i="21"/>
  <c r="AF136" i="21"/>
  <c r="AG136" i="21"/>
  <c r="AH136" i="21"/>
  <c r="AI136" i="21"/>
  <c r="AJ136" i="21"/>
  <c r="AK136" i="21"/>
  <c r="AM136" i="21"/>
  <c r="AL136" i="21"/>
  <c r="AG2" i="21"/>
  <c r="AH2" i="21"/>
  <c r="AI2" i="21"/>
  <c r="AJ2" i="21"/>
  <c r="AK2" i="21"/>
  <c r="AM2" i="21"/>
  <c r="AL2" i="21"/>
  <c r="AF2" i="21"/>
  <c r="D2" i="23" s="1"/>
  <c r="D5" i="2"/>
  <c r="L3" i="18"/>
  <c r="M3" i="18"/>
  <c r="N3" i="18"/>
  <c r="O3" i="18"/>
  <c r="P3" i="18"/>
  <c r="Q3" i="18"/>
  <c r="L4" i="18"/>
  <c r="M4" i="18"/>
  <c r="N4" i="18"/>
  <c r="O4" i="18"/>
  <c r="P4" i="18"/>
  <c r="Q4" i="18"/>
  <c r="L5" i="18"/>
  <c r="M5" i="18"/>
  <c r="N5" i="18"/>
  <c r="O5" i="18"/>
  <c r="P5" i="18"/>
  <c r="Q5" i="18"/>
  <c r="L6" i="18"/>
  <c r="M6" i="18"/>
  <c r="N6" i="18"/>
  <c r="O6" i="18"/>
  <c r="P6" i="18"/>
  <c r="Q6" i="18"/>
  <c r="L7" i="18"/>
  <c r="M7" i="18"/>
  <c r="N7" i="18"/>
  <c r="O7" i="18"/>
  <c r="P7" i="18"/>
  <c r="Q7" i="18"/>
  <c r="L8" i="18"/>
  <c r="M8" i="18"/>
  <c r="N8" i="18"/>
  <c r="O8" i="18"/>
  <c r="P8" i="18"/>
  <c r="Q8" i="18"/>
  <c r="L9" i="18"/>
  <c r="M9" i="18"/>
  <c r="N9" i="18"/>
  <c r="O9" i="18"/>
  <c r="P9" i="18"/>
  <c r="Q9" i="18"/>
  <c r="L10" i="18"/>
  <c r="M10" i="18"/>
  <c r="N10" i="18"/>
  <c r="O10" i="18"/>
  <c r="P10" i="18"/>
  <c r="Q10" i="18"/>
  <c r="L11" i="18"/>
  <c r="M11" i="18"/>
  <c r="N11" i="18"/>
  <c r="O11" i="18"/>
  <c r="P11" i="18"/>
  <c r="Q11" i="18"/>
  <c r="L12" i="18"/>
  <c r="M12" i="18"/>
  <c r="N12" i="18"/>
  <c r="O12" i="18"/>
  <c r="P12" i="18"/>
  <c r="Q12" i="18"/>
  <c r="L13" i="18"/>
  <c r="M13" i="18"/>
  <c r="N13" i="18"/>
  <c r="O13" i="18"/>
  <c r="P13" i="18"/>
  <c r="Q13" i="18"/>
  <c r="L14" i="18"/>
  <c r="M14" i="18"/>
  <c r="N14" i="18"/>
  <c r="O14" i="18"/>
  <c r="P14" i="18"/>
  <c r="Q14" i="18"/>
  <c r="L15" i="18"/>
  <c r="M15" i="18"/>
  <c r="N15" i="18"/>
  <c r="O15" i="18"/>
  <c r="P15" i="18"/>
  <c r="Q15" i="18"/>
  <c r="L16" i="18"/>
  <c r="M16" i="18"/>
  <c r="N16" i="18"/>
  <c r="O16" i="18"/>
  <c r="P16" i="18"/>
  <c r="Q16" i="18"/>
  <c r="L17" i="18"/>
  <c r="M17" i="18"/>
  <c r="N17" i="18"/>
  <c r="O17" i="18"/>
  <c r="P17" i="18"/>
  <c r="Q17" i="18"/>
  <c r="L18" i="18"/>
  <c r="M18" i="18"/>
  <c r="N18" i="18"/>
  <c r="O18" i="18"/>
  <c r="P18" i="18"/>
  <c r="Q18" i="18"/>
  <c r="L19" i="18"/>
  <c r="M19" i="18"/>
  <c r="N19" i="18"/>
  <c r="O19" i="18"/>
  <c r="P19" i="18"/>
  <c r="Q19" i="18"/>
  <c r="L20" i="18"/>
  <c r="M20" i="18"/>
  <c r="N20" i="18"/>
  <c r="O20" i="18"/>
  <c r="P20" i="18"/>
  <c r="Q20" i="18"/>
  <c r="L21" i="18"/>
  <c r="M21" i="18"/>
  <c r="N21" i="18"/>
  <c r="O21" i="18"/>
  <c r="P21" i="18"/>
  <c r="Q21" i="18"/>
  <c r="L22" i="18"/>
  <c r="M22" i="18"/>
  <c r="N22" i="18"/>
  <c r="O22" i="18"/>
  <c r="P22" i="18"/>
  <c r="Q22" i="18"/>
  <c r="L23" i="18"/>
  <c r="M23" i="18"/>
  <c r="N23" i="18"/>
  <c r="O23" i="18"/>
  <c r="P23" i="18"/>
  <c r="Q23" i="18"/>
  <c r="L24" i="18"/>
  <c r="M24" i="18"/>
  <c r="N24" i="18"/>
  <c r="O24" i="18"/>
  <c r="P24" i="18"/>
  <c r="Q24" i="18"/>
  <c r="L25" i="18"/>
  <c r="M25" i="18"/>
  <c r="N25" i="18"/>
  <c r="O25" i="18"/>
  <c r="P25" i="18"/>
  <c r="Q25" i="18"/>
  <c r="L26" i="18"/>
  <c r="M26" i="18"/>
  <c r="N26" i="18"/>
  <c r="O26" i="18"/>
  <c r="P26" i="18"/>
  <c r="Q26" i="18"/>
  <c r="L27" i="18"/>
  <c r="M27" i="18"/>
  <c r="N27" i="18"/>
  <c r="O27" i="18"/>
  <c r="P27" i="18"/>
  <c r="Q27" i="18"/>
  <c r="L28" i="18"/>
  <c r="M28" i="18"/>
  <c r="N28" i="18"/>
  <c r="O28" i="18"/>
  <c r="P28" i="18"/>
  <c r="Q28" i="18"/>
  <c r="L29" i="18"/>
  <c r="M29" i="18"/>
  <c r="N29" i="18"/>
  <c r="O29" i="18"/>
  <c r="P29" i="18"/>
  <c r="Q29" i="18"/>
  <c r="L30" i="18"/>
  <c r="M30" i="18"/>
  <c r="N30" i="18"/>
  <c r="O30" i="18"/>
  <c r="P30" i="18"/>
  <c r="Q30" i="18"/>
  <c r="L31" i="18"/>
  <c r="M31" i="18"/>
  <c r="N31" i="18"/>
  <c r="O31" i="18"/>
  <c r="P31" i="18"/>
  <c r="Q31" i="18"/>
  <c r="L32" i="18"/>
  <c r="M32" i="18"/>
  <c r="N32" i="18"/>
  <c r="O32" i="18"/>
  <c r="P32" i="18"/>
  <c r="Q32" i="18"/>
  <c r="L33" i="18"/>
  <c r="M33" i="18"/>
  <c r="N33" i="18"/>
  <c r="O33" i="18"/>
  <c r="P33" i="18"/>
  <c r="Q33" i="18"/>
  <c r="L34" i="18"/>
  <c r="M34" i="18"/>
  <c r="N34" i="18"/>
  <c r="O34" i="18"/>
  <c r="P34" i="18"/>
  <c r="Q34" i="18"/>
  <c r="L35" i="18"/>
  <c r="M35" i="18"/>
  <c r="N35" i="18"/>
  <c r="O35" i="18"/>
  <c r="P35" i="18"/>
  <c r="Q35" i="18"/>
  <c r="L36" i="18"/>
  <c r="M36" i="18"/>
  <c r="N36" i="18"/>
  <c r="O36" i="18"/>
  <c r="P36" i="18"/>
  <c r="Q36" i="18"/>
  <c r="L37" i="18"/>
  <c r="M37" i="18"/>
  <c r="N37" i="18"/>
  <c r="O37" i="18"/>
  <c r="P37" i="18"/>
  <c r="Q37" i="18"/>
  <c r="L38" i="18"/>
  <c r="M38" i="18"/>
  <c r="N38" i="18"/>
  <c r="O38" i="18"/>
  <c r="P38" i="18"/>
  <c r="Q38" i="18"/>
  <c r="L39" i="18"/>
  <c r="M39" i="18"/>
  <c r="N39" i="18"/>
  <c r="O39" i="18"/>
  <c r="P39" i="18"/>
  <c r="Q39" i="18"/>
  <c r="L40" i="18"/>
  <c r="M40" i="18"/>
  <c r="N40" i="18"/>
  <c r="O40" i="18"/>
  <c r="P40" i="18"/>
  <c r="Q40" i="18"/>
  <c r="L41" i="18"/>
  <c r="M41" i="18"/>
  <c r="N41" i="18"/>
  <c r="O41" i="18"/>
  <c r="P41" i="18"/>
  <c r="Q41" i="18"/>
  <c r="L42" i="18"/>
  <c r="M42" i="18"/>
  <c r="N42" i="18"/>
  <c r="O42" i="18"/>
  <c r="P42" i="18"/>
  <c r="Q42" i="18"/>
  <c r="L43" i="18"/>
  <c r="M43" i="18"/>
  <c r="N43" i="18"/>
  <c r="O43" i="18"/>
  <c r="P43" i="18"/>
  <c r="Q43" i="18"/>
  <c r="L44" i="18"/>
  <c r="M44" i="18"/>
  <c r="N44" i="18"/>
  <c r="O44" i="18"/>
  <c r="P44" i="18"/>
  <c r="Q44" i="18"/>
  <c r="L45" i="18"/>
  <c r="M45" i="18"/>
  <c r="N45" i="18"/>
  <c r="O45" i="18"/>
  <c r="P45" i="18"/>
  <c r="Q45" i="18"/>
  <c r="L46" i="18"/>
  <c r="M46" i="18"/>
  <c r="N46" i="18"/>
  <c r="O46" i="18"/>
  <c r="P46" i="18"/>
  <c r="Q46" i="18"/>
  <c r="L47" i="18"/>
  <c r="M47" i="18"/>
  <c r="N47" i="18"/>
  <c r="O47" i="18"/>
  <c r="P47" i="18"/>
  <c r="Q47" i="18"/>
  <c r="L48" i="18"/>
  <c r="M48" i="18"/>
  <c r="N48" i="18"/>
  <c r="O48" i="18"/>
  <c r="P48" i="18"/>
  <c r="Q48" i="18"/>
  <c r="L49" i="18"/>
  <c r="M49" i="18"/>
  <c r="N49" i="18"/>
  <c r="O49" i="18"/>
  <c r="P49" i="18"/>
  <c r="Q49" i="18"/>
  <c r="L50" i="18"/>
  <c r="M50" i="18"/>
  <c r="N50" i="18"/>
  <c r="O50" i="18"/>
  <c r="P50" i="18"/>
  <c r="Q50" i="18"/>
  <c r="L51" i="18"/>
  <c r="M51" i="18"/>
  <c r="N51" i="18"/>
  <c r="O51" i="18"/>
  <c r="P51" i="18"/>
  <c r="Q51" i="18"/>
  <c r="Q2" i="18"/>
  <c r="P2" i="18"/>
  <c r="O2" i="18"/>
  <c r="N2" i="18"/>
  <c r="M2" i="18"/>
  <c r="L2" i="18"/>
  <c r="K3" i="17"/>
  <c r="L3" i="17"/>
  <c r="M3" i="17"/>
  <c r="N3" i="17"/>
  <c r="O3" i="17"/>
  <c r="P3" i="17"/>
  <c r="Q3" i="17"/>
  <c r="R3" i="17"/>
  <c r="K4" i="17"/>
  <c r="L4" i="17"/>
  <c r="M4" i="17"/>
  <c r="N4" i="17"/>
  <c r="O4" i="17"/>
  <c r="P4" i="17"/>
  <c r="Q4" i="17"/>
  <c r="R4" i="17"/>
  <c r="K5" i="17"/>
  <c r="L5" i="17"/>
  <c r="M5" i="17"/>
  <c r="N5" i="17"/>
  <c r="O5" i="17"/>
  <c r="P5" i="17"/>
  <c r="Q5" i="17"/>
  <c r="R5" i="17"/>
  <c r="K6" i="17"/>
  <c r="L6" i="17"/>
  <c r="M6" i="17"/>
  <c r="N6" i="17"/>
  <c r="O6" i="17"/>
  <c r="P6" i="17"/>
  <c r="Q6" i="17"/>
  <c r="R6" i="17"/>
  <c r="K7" i="17"/>
  <c r="L7" i="17"/>
  <c r="M7" i="17"/>
  <c r="N7" i="17"/>
  <c r="O7" i="17"/>
  <c r="P7" i="17"/>
  <c r="Q7" i="17"/>
  <c r="R7" i="17"/>
  <c r="K8" i="17"/>
  <c r="L8" i="17"/>
  <c r="M8" i="17"/>
  <c r="N8" i="17"/>
  <c r="O8" i="17"/>
  <c r="P8" i="17"/>
  <c r="Q8" i="17"/>
  <c r="R8" i="17"/>
  <c r="K9" i="17"/>
  <c r="L9" i="17"/>
  <c r="M9" i="17"/>
  <c r="N9" i="17"/>
  <c r="O9" i="17"/>
  <c r="P9" i="17"/>
  <c r="Q9" i="17"/>
  <c r="R9" i="17"/>
  <c r="R2" i="17"/>
  <c r="Q2" i="17"/>
  <c r="P2" i="17"/>
  <c r="O2" i="17"/>
  <c r="N2" i="17"/>
  <c r="M2" i="17"/>
  <c r="L2" i="17"/>
  <c r="K2" i="17"/>
  <c r="I2" i="21"/>
  <c r="W2" i="23" s="1"/>
  <c r="AJ2" i="23" s="1"/>
  <c r="H2" i="21"/>
  <c r="V2" i="23" s="1"/>
  <c r="AI2" i="23" s="1"/>
  <c r="F2" i="21"/>
  <c r="T2" i="23" s="1"/>
  <c r="G2" i="21"/>
  <c r="U2" i="23" s="1"/>
  <c r="E2" i="21"/>
  <c r="S2" i="23" s="1"/>
  <c r="AF2" i="23" s="1"/>
  <c r="D2" i="21"/>
  <c r="R2" i="23" s="1"/>
  <c r="C2" i="21"/>
  <c r="Q2" i="23" s="1"/>
  <c r="B2" i="21"/>
  <c r="P2" i="23" s="1"/>
  <c r="AP3" i="21"/>
  <c r="AQ3" i="21"/>
  <c r="AR3" i="21"/>
  <c r="AS3" i="21"/>
  <c r="AT3" i="21"/>
  <c r="AU3" i="21"/>
  <c r="AV3" i="21"/>
  <c r="AW3" i="21"/>
  <c r="AP4" i="21"/>
  <c r="AQ4" i="21"/>
  <c r="AR4" i="21"/>
  <c r="AS4" i="21"/>
  <c r="AT4" i="21"/>
  <c r="AU4" i="21"/>
  <c r="AV4" i="21"/>
  <c r="AW4" i="21"/>
  <c r="AP5" i="21"/>
  <c r="AQ5" i="21"/>
  <c r="AR5" i="21"/>
  <c r="AS5" i="21"/>
  <c r="AT5" i="21"/>
  <c r="AU5" i="21"/>
  <c r="AV5" i="21"/>
  <c r="AW5" i="21"/>
  <c r="AP6" i="21"/>
  <c r="AQ6" i="21"/>
  <c r="AR6" i="21"/>
  <c r="AS6" i="21"/>
  <c r="AT6" i="21"/>
  <c r="AU6" i="21"/>
  <c r="AV6" i="21"/>
  <c r="AW6" i="21"/>
  <c r="AP7" i="21"/>
  <c r="AQ7" i="21"/>
  <c r="AR7" i="21"/>
  <c r="AS7" i="21"/>
  <c r="AT7" i="21"/>
  <c r="AU7" i="21"/>
  <c r="AV7" i="21"/>
  <c r="AW7" i="21"/>
  <c r="AP8" i="21"/>
  <c r="AQ8" i="21"/>
  <c r="AR8" i="21"/>
  <c r="AS8" i="21"/>
  <c r="AT8" i="21"/>
  <c r="AU8" i="21"/>
  <c r="AV8" i="21"/>
  <c r="AW8" i="21"/>
  <c r="AQ2" i="21"/>
  <c r="AR2" i="21"/>
  <c r="AS2" i="21"/>
  <c r="AT2" i="21"/>
  <c r="AU2" i="21"/>
  <c r="AV2" i="21"/>
  <c r="AW2" i="21"/>
  <c r="AP2" i="21"/>
  <c r="B3" i="14"/>
  <c r="B4" i="14"/>
  <c r="B5" i="14"/>
  <c r="B6" i="14"/>
  <c r="B7" i="14"/>
  <c r="B8" i="14"/>
  <c r="B9" i="14"/>
  <c r="B3" i="22"/>
  <c r="B4" i="22"/>
  <c r="B5" i="22"/>
  <c r="B6" i="22"/>
  <c r="B7" i="22"/>
  <c r="B8" i="22"/>
  <c r="B9" i="22"/>
  <c r="B3" i="2"/>
  <c r="B4" i="2"/>
  <c r="B5" i="2"/>
  <c r="B6" i="2"/>
  <c r="B7" i="2"/>
  <c r="B8" i="2"/>
  <c r="B9" i="2"/>
  <c r="B2" i="14"/>
  <c r="B2" i="22"/>
  <c r="B2" i="2"/>
  <c r="U3" i="21"/>
  <c r="V3" i="21"/>
  <c r="U4" i="21"/>
  <c r="V4" i="21"/>
  <c r="U5" i="21"/>
  <c r="V5" i="21"/>
  <c r="U6" i="21"/>
  <c r="V6" i="21"/>
  <c r="U7" i="21"/>
  <c r="V7" i="21"/>
  <c r="U8" i="21"/>
  <c r="V8" i="21"/>
  <c r="U9" i="21"/>
  <c r="V9" i="21"/>
  <c r="U10" i="21"/>
  <c r="V10" i="21"/>
  <c r="U11" i="21"/>
  <c r="V11" i="21"/>
  <c r="U12" i="21"/>
  <c r="V12" i="21"/>
  <c r="U13" i="21"/>
  <c r="V13" i="21"/>
  <c r="U14" i="21"/>
  <c r="V14" i="21"/>
  <c r="U15" i="21"/>
  <c r="V15" i="21"/>
  <c r="U16" i="21"/>
  <c r="V16" i="21"/>
  <c r="U17" i="21"/>
  <c r="V17" i="21"/>
  <c r="U18" i="21"/>
  <c r="V18" i="21"/>
  <c r="U19" i="21"/>
  <c r="V19" i="21"/>
  <c r="U20" i="21"/>
  <c r="V20" i="21"/>
  <c r="U21" i="21"/>
  <c r="V21" i="21"/>
  <c r="U22" i="21"/>
  <c r="V22" i="21"/>
  <c r="U23" i="21"/>
  <c r="V23" i="21"/>
  <c r="U24" i="21"/>
  <c r="V24" i="21"/>
  <c r="U25" i="21"/>
  <c r="V25" i="21"/>
  <c r="U26" i="21"/>
  <c r="V26" i="21"/>
  <c r="U27" i="21"/>
  <c r="V27" i="21"/>
  <c r="U28" i="21"/>
  <c r="V28" i="21"/>
  <c r="U29" i="21"/>
  <c r="V29" i="21"/>
  <c r="U30" i="21"/>
  <c r="V30" i="21"/>
  <c r="U31" i="21"/>
  <c r="V31" i="21"/>
  <c r="U32" i="21"/>
  <c r="V32" i="21"/>
  <c r="U33" i="21"/>
  <c r="V33" i="21"/>
  <c r="U34" i="21"/>
  <c r="V34" i="21"/>
  <c r="U35" i="21"/>
  <c r="V35" i="21"/>
  <c r="U36" i="21"/>
  <c r="V36" i="21"/>
  <c r="U37" i="21"/>
  <c r="V37" i="21"/>
  <c r="U38" i="21"/>
  <c r="V38" i="21"/>
  <c r="U39" i="21"/>
  <c r="V39" i="21"/>
  <c r="U40" i="21"/>
  <c r="V40" i="21"/>
  <c r="U41" i="21"/>
  <c r="V41" i="21"/>
  <c r="U42" i="21"/>
  <c r="V42" i="21"/>
  <c r="U43" i="21"/>
  <c r="V43" i="21"/>
  <c r="U44" i="21"/>
  <c r="V44" i="21"/>
  <c r="U45" i="21"/>
  <c r="V45" i="21"/>
  <c r="U46" i="21"/>
  <c r="V46" i="21"/>
  <c r="U47" i="21"/>
  <c r="V47" i="21"/>
  <c r="U48" i="21"/>
  <c r="V48" i="21"/>
  <c r="U49" i="21"/>
  <c r="V49" i="21"/>
  <c r="U50" i="21"/>
  <c r="V50" i="21"/>
  <c r="U51" i="21"/>
  <c r="V51" i="21"/>
  <c r="U52" i="21"/>
  <c r="V52" i="21"/>
  <c r="U53" i="21"/>
  <c r="V53" i="21"/>
  <c r="U54" i="21"/>
  <c r="V54" i="21"/>
  <c r="U55" i="21"/>
  <c r="V55" i="21"/>
  <c r="U56" i="21"/>
  <c r="V56" i="21"/>
  <c r="U57" i="21"/>
  <c r="V57" i="21"/>
  <c r="U58" i="21"/>
  <c r="V58" i="21"/>
  <c r="U59" i="21"/>
  <c r="V59" i="21"/>
  <c r="U60" i="21"/>
  <c r="V60" i="21"/>
  <c r="U61" i="21"/>
  <c r="V61" i="21"/>
  <c r="U62" i="21"/>
  <c r="V62" i="21"/>
  <c r="U63" i="21"/>
  <c r="V63" i="21"/>
  <c r="U64" i="21"/>
  <c r="V64" i="21"/>
  <c r="U65" i="21"/>
  <c r="V65" i="21"/>
  <c r="U66" i="21"/>
  <c r="V66" i="21"/>
  <c r="U67" i="21"/>
  <c r="V67" i="21"/>
  <c r="U68" i="21"/>
  <c r="V68" i="21"/>
  <c r="U69" i="21"/>
  <c r="V69" i="21"/>
  <c r="U70" i="21"/>
  <c r="V70" i="21"/>
  <c r="U71" i="21"/>
  <c r="V71" i="21"/>
  <c r="U72" i="21"/>
  <c r="V72" i="21"/>
  <c r="U73" i="21"/>
  <c r="V73" i="21"/>
  <c r="U74" i="21"/>
  <c r="V74" i="21"/>
  <c r="U75" i="21"/>
  <c r="V75" i="21"/>
  <c r="U76" i="21"/>
  <c r="V76" i="21"/>
  <c r="U77" i="21"/>
  <c r="V77" i="21"/>
  <c r="U78" i="21"/>
  <c r="V78" i="21"/>
  <c r="U79" i="21"/>
  <c r="V79" i="21"/>
  <c r="U80" i="21"/>
  <c r="V80" i="21"/>
  <c r="U81" i="21"/>
  <c r="V81" i="21"/>
  <c r="U82" i="21"/>
  <c r="V82" i="21"/>
  <c r="U83" i="21"/>
  <c r="V83" i="21"/>
  <c r="U84" i="21"/>
  <c r="V84" i="21"/>
  <c r="U85" i="21"/>
  <c r="V85" i="21"/>
  <c r="U86" i="21"/>
  <c r="V86" i="21"/>
  <c r="U87" i="21"/>
  <c r="V87" i="21"/>
  <c r="U88" i="21"/>
  <c r="V88" i="21"/>
  <c r="U89" i="21"/>
  <c r="V89" i="21"/>
  <c r="U90" i="21"/>
  <c r="V90" i="21"/>
  <c r="U91" i="21"/>
  <c r="V91" i="21"/>
  <c r="U92" i="21"/>
  <c r="V92" i="21"/>
  <c r="U93" i="21"/>
  <c r="V93" i="21"/>
  <c r="U94" i="21"/>
  <c r="V94" i="21"/>
  <c r="U95" i="21"/>
  <c r="V95" i="21"/>
  <c r="U96" i="21"/>
  <c r="V96" i="21"/>
  <c r="U97" i="21"/>
  <c r="V97" i="21"/>
  <c r="U98" i="21"/>
  <c r="V98" i="21"/>
  <c r="U99" i="21"/>
  <c r="V99" i="21"/>
  <c r="U100" i="21"/>
  <c r="V100" i="21"/>
  <c r="U101" i="21"/>
  <c r="V101" i="21"/>
  <c r="U102" i="21"/>
  <c r="V102" i="21"/>
  <c r="U103" i="21"/>
  <c r="V103" i="21"/>
  <c r="U104" i="21"/>
  <c r="V104" i="21"/>
  <c r="U105" i="21"/>
  <c r="V105" i="21"/>
  <c r="U106" i="21"/>
  <c r="V106" i="21"/>
  <c r="U107" i="21"/>
  <c r="V107" i="21"/>
  <c r="U108" i="21"/>
  <c r="V108" i="21"/>
  <c r="U109" i="21"/>
  <c r="V109" i="21"/>
  <c r="U110" i="21"/>
  <c r="V110" i="21"/>
  <c r="U111" i="21"/>
  <c r="V111" i="21"/>
  <c r="U112" i="21"/>
  <c r="V112" i="21"/>
  <c r="U113" i="21"/>
  <c r="V113" i="21"/>
  <c r="U114" i="21"/>
  <c r="V114" i="21"/>
  <c r="U115" i="21"/>
  <c r="V115" i="21"/>
  <c r="U116" i="21"/>
  <c r="V116" i="21"/>
  <c r="U117" i="21"/>
  <c r="V117" i="21"/>
  <c r="U118" i="21"/>
  <c r="V118" i="21"/>
  <c r="U119" i="21"/>
  <c r="V119" i="21"/>
  <c r="U120" i="21"/>
  <c r="V120" i="21"/>
  <c r="U121" i="21"/>
  <c r="V121" i="21"/>
  <c r="U122" i="21"/>
  <c r="V122" i="21"/>
  <c r="U123" i="21"/>
  <c r="V123" i="21"/>
  <c r="U124" i="21"/>
  <c r="V124" i="21"/>
  <c r="U125" i="21"/>
  <c r="V125" i="21"/>
  <c r="U126" i="21"/>
  <c r="V126" i="21"/>
  <c r="U127" i="21"/>
  <c r="V127" i="21"/>
  <c r="U128" i="21"/>
  <c r="V128" i="21"/>
  <c r="U129" i="21"/>
  <c r="V129" i="21"/>
  <c r="U130" i="21"/>
  <c r="V130" i="21"/>
  <c r="U131" i="21"/>
  <c r="V131" i="21"/>
  <c r="U132" i="21"/>
  <c r="V132" i="21"/>
  <c r="U133" i="21"/>
  <c r="V133" i="21"/>
  <c r="U134" i="21"/>
  <c r="V134" i="21"/>
  <c r="U135" i="21"/>
  <c r="V135" i="21"/>
  <c r="U136" i="21"/>
  <c r="V136" i="21"/>
  <c r="U2" i="21"/>
  <c r="V2" i="21"/>
  <c r="T2" i="21"/>
  <c r="M206" i="22"/>
  <c r="L206" i="22"/>
  <c r="K206" i="22"/>
  <c r="J206" i="22"/>
  <c r="I206" i="22"/>
  <c r="H206" i="22"/>
  <c r="G206" i="22"/>
  <c r="F206" i="22"/>
  <c r="M187" i="22"/>
  <c r="L186" i="22"/>
  <c r="K185" i="22"/>
  <c r="J184" i="22"/>
  <c r="I183" i="22"/>
  <c r="H182" i="22"/>
  <c r="G181" i="22"/>
  <c r="F180" i="22"/>
  <c r="L178" i="22"/>
  <c r="K178" i="22"/>
  <c r="J178" i="22"/>
  <c r="I178" i="22"/>
  <c r="H178" i="22"/>
  <c r="G178" i="22"/>
  <c r="F178" i="22"/>
  <c r="M177" i="22"/>
  <c r="K177" i="22"/>
  <c r="J177" i="22"/>
  <c r="I177" i="22"/>
  <c r="H177" i="22"/>
  <c r="G177" i="22"/>
  <c r="F177" i="22"/>
  <c r="M176" i="22"/>
  <c r="L176" i="22"/>
  <c r="J176" i="22"/>
  <c r="I176" i="22"/>
  <c r="H176" i="22"/>
  <c r="G176" i="22"/>
  <c r="F176" i="22"/>
  <c r="M175" i="22"/>
  <c r="L175" i="22"/>
  <c r="K175" i="22"/>
  <c r="I175" i="22"/>
  <c r="H175" i="22"/>
  <c r="G175" i="22"/>
  <c r="F175" i="22"/>
  <c r="M174" i="22"/>
  <c r="L174" i="22"/>
  <c r="K174" i="22"/>
  <c r="J174" i="22"/>
  <c r="H174" i="22"/>
  <c r="G174" i="22"/>
  <c r="F174" i="22"/>
  <c r="M173" i="22"/>
  <c r="L173" i="22"/>
  <c r="K173" i="22"/>
  <c r="J173" i="22"/>
  <c r="I173" i="22"/>
  <c r="G173" i="22"/>
  <c r="F173" i="22"/>
  <c r="M172" i="22"/>
  <c r="L172" i="22"/>
  <c r="K172" i="22"/>
  <c r="J172" i="22"/>
  <c r="I172" i="22"/>
  <c r="H172" i="22"/>
  <c r="F172" i="22"/>
  <c r="M171" i="22"/>
  <c r="L171" i="22"/>
  <c r="K171" i="22"/>
  <c r="J171" i="22"/>
  <c r="I171" i="22"/>
  <c r="H171" i="22"/>
  <c r="G171" i="22"/>
  <c r="F28" i="22"/>
  <c r="J9" i="22"/>
  <c r="G8" i="22"/>
  <c r="I7" i="22"/>
  <c r="D5" i="22"/>
  <c r="S4" i="22"/>
  <c r="R4" i="22" s="1"/>
  <c r="J122" i="21"/>
  <c r="J121" i="21"/>
  <c r="J120" i="21"/>
  <c r="J119" i="21"/>
  <c r="J118" i="21"/>
  <c r="J117" i="21"/>
  <c r="J116" i="21"/>
  <c r="J115" i="21"/>
  <c r="J114" i="21"/>
  <c r="J113" i="21"/>
  <c r="J112" i="21"/>
  <c r="J111" i="21"/>
  <c r="J110" i="21"/>
  <c r="J109" i="21"/>
  <c r="J108" i="21"/>
  <c r="J107" i="21"/>
  <c r="J106" i="21"/>
  <c r="J105" i="21"/>
  <c r="J104" i="21"/>
  <c r="J103" i="21"/>
  <c r="J102" i="21"/>
  <c r="J101" i="21"/>
  <c r="J100" i="21"/>
  <c r="J99" i="21"/>
  <c r="J98" i="21"/>
  <c r="J97" i="21"/>
  <c r="J96" i="21"/>
  <c r="J95" i="21"/>
  <c r="J94" i="21"/>
  <c r="J93" i="21"/>
  <c r="J92" i="21"/>
  <c r="J91" i="21"/>
  <c r="J90" i="21"/>
  <c r="J89" i="21"/>
  <c r="J88" i="21"/>
  <c r="J87" i="21"/>
  <c r="J86" i="21"/>
  <c r="J85" i="21"/>
  <c r="J84" i="21"/>
  <c r="J83" i="21"/>
  <c r="J82" i="21"/>
  <c r="J81" i="21"/>
  <c r="J80" i="21"/>
  <c r="J79" i="21"/>
  <c r="J78" i="21"/>
  <c r="J77" i="21"/>
  <c r="J76" i="21"/>
  <c r="J75" i="21"/>
  <c r="J74" i="21"/>
  <c r="J73" i="21"/>
  <c r="J72" i="21"/>
  <c r="J71" i="21"/>
  <c r="J70" i="21"/>
  <c r="J69" i="21"/>
  <c r="J68" i="21"/>
  <c r="J67" i="21"/>
  <c r="J66" i="21"/>
  <c r="J65" i="21"/>
  <c r="J64" i="21"/>
  <c r="J63" i="21"/>
  <c r="J62" i="21"/>
  <c r="J61" i="21"/>
  <c r="J60" i="21"/>
  <c r="J59" i="21"/>
  <c r="J58" i="21"/>
  <c r="J57" i="21"/>
  <c r="J56" i="21"/>
  <c r="J55" i="21"/>
  <c r="J54" i="21"/>
  <c r="J53" i="21"/>
  <c r="J52" i="21"/>
  <c r="J51" i="21"/>
  <c r="J50" i="21"/>
  <c r="J49" i="21"/>
  <c r="J48" i="21"/>
  <c r="J47" i="21"/>
  <c r="J46" i="21"/>
  <c r="J45" i="21"/>
  <c r="J44" i="21"/>
  <c r="J43" i="21"/>
  <c r="J42" i="21"/>
  <c r="J41" i="21"/>
  <c r="J40" i="21"/>
  <c r="J39" i="21"/>
  <c r="J38" i="21"/>
  <c r="J37" i="21"/>
  <c r="J36" i="21"/>
  <c r="J35" i="21"/>
  <c r="J34" i="21"/>
  <c r="J33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J10" i="21"/>
  <c r="J9" i="21"/>
  <c r="AO8" i="21"/>
  <c r="J8" i="21"/>
  <c r="AO7" i="21"/>
  <c r="J7" i="21"/>
  <c r="AO6" i="21"/>
  <c r="J6" i="21"/>
  <c r="AO5" i="21"/>
  <c r="J5" i="21"/>
  <c r="AO4" i="21"/>
  <c r="J4" i="21"/>
  <c r="AO3" i="21"/>
  <c r="J3" i="21"/>
  <c r="AO2" i="21"/>
  <c r="J2" i="21"/>
  <c r="AD2" i="23" l="1"/>
  <c r="AG2" i="23"/>
  <c r="AR51" i="23"/>
  <c r="AN51" i="23"/>
  <c r="AO51" i="23" s="1"/>
  <c r="AP51" i="23"/>
  <c r="AN50" i="23"/>
  <c r="AT50" i="23" s="1"/>
  <c r="AN49" i="23"/>
  <c r="AR49" i="23" s="1"/>
  <c r="AN48" i="23"/>
  <c r="AP48" i="23" s="1"/>
  <c r="AN47" i="23"/>
  <c r="AO47" i="23" s="1"/>
  <c r="AP47" i="23"/>
  <c r="AN46" i="23"/>
  <c r="AT46" i="23" s="1"/>
  <c r="AN45" i="23"/>
  <c r="AR45" i="23" s="1"/>
  <c r="AN44" i="23"/>
  <c r="AP44" i="23" s="1"/>
  <c r="AR43" i="23"/>
  <c r="AN43" i="23"/>
  <c r="AO43" i="23" s="1"/>
  <c r="AP43" i="23"/>
  <c r="AN42" i="23"/>
  <c r="AT42" i="23" s="1"/>
  <c r="AR41" i="23"/>
  <c r="AN41" i="23"/>
  <c r="AT41" i="23" s="1"/>
  <c r="AP41" i="23"/>
  <c r="AN40" i="23"/>
  <c r="AR40" i="23" s="1"/>
  <c r="AN39" i="23"/>
  <c r="AT39" i="23" s="1"/>
  <c r="AN38" i="23"/>
  <c r="AR38" i="23" s="1"/>
  <c r="AR37" i="23"/>
  <c r="AN37" i="23"/>
  <c r="AT37" i="23" s="1"/>
  <c r="AP37" i="23"/>
  <c r="AN36" i="23"/>
  <c r="AT36" i="23" s="1"/>
  <c r="AN35" i="23"/>
  <c r="AP35" i="23" s="1"/>
  <c r="AN34" i="23"/>
  <c r="AT34" i="23" s="1"/>
  <c r="AN33" i="23"/>
  <c r="AP33" i="23" s="1"/>
  <c r="AN32" i="23"/>
  <c r="AT32" i="23" s="1"/>
  <c r="AN31" i="23"/>
  <c r="AP31" i="23" s="1"/>
  <c r="AN30" i="23"/>
  <c r="AT30" i="23" s="1"/>
  <c r="AN29" i="23"/>
  <c r="AP29" i="23" s="1"/>
  <c r="AN28" i="23"/>
  <c r="AT28" i="23" s="1"/>
  <c r="AR27" i="23"/>
  <c r="AN27" i="23"/>
  <c r="AP27" i="23" s="1"/>
  <c r="AN26" i="23"/>
  <c r="AT26" i="23" s="1"/>
  <c r="AN25" i="23"/>
  <c r="AP25" i="23" s="1"/>
  <c r="AN24" i="23"/>
  <c r="AT24" i="23" s="1"/>
  <c r="AN23" i="23"/>
  <c r="AP23" i="23" s="1"/>
  <c r="AN22" i="23"/>
  <c r="AT22" i="23" s="1"/>
  <c r="AN21" i="23"/>
  <c r="AP21" i="23" s="1"/>
  <c r="AN20" i="23"/>
  <c r="AT20" i="23" s="1"/>
  <c r="AP20" i="23"/>
  <c r="AN19" i="23"/>
  <c r="AR19" i="23" s="1"/>
  <c r="AN18" i="23"/>
  <c r="AT18" i="23" s="1"/>
  <c r="AN17" i="23"/>
  <c r="AR17" i="23" s="1"/>
  <c r="AN16" i="23"/>
  <c r="AT16" i="23" s="1"/>
  <c r="AN15" i="23"/>
  <c r="AT15" i="23" s="1"/>
  <c r="AN14" i="23"/>
  <c r="AR14" i="23" s="1"/>
  <c r="AP14" i="23"/>
  <c r="AN13" i="23"/>
  <c r="AT13" i="23" s="1"/>
  <c r="AP13" i="23"/>
  <c r="AN12" i="23"/>
  <c r="AR12" i="23" s="1"/>
  <c r="AN11" i="23"/>
  <c r="AT11" i="23" s="1"/>
  <c r="AN10" i="23"/>
  <c r="AT10" i="23" s="1"/>
  <c r="AN9" i="23"/>
  <c r="AT9" i="23" s="1"/>
  <c r="AN8" i="23"/>
  <c r="AT8" i="23" s="1"/>
  <c r="AN7" i="23"/>
  <c r="AT7" i="23" s="1"/>
  <c r="AN6" i="23"/>
  <c r="AT6" i="23" s="1"/>
  <c r="AN5" i="23"/>
  <c r="AT5" i="23" s="1"/>
  <c r="AN4" i="23"/>
  <c r="AT4" i="23" s="1"/>
  <c r="AN3" i="23"/>
  <c r="AT3" i="23" s="1"/>
  <c r="AX2" i="23"/>
  <c r="BB2" i="23" s="1"/>
  <c r="AC2" i="23"/>
  <c r="AY2" i="23"/>
  <c r="AE2" i="23"/>
  <c r="BA2" i="23"/>
  <c r="AH2" i="23"/>
  <c r="BD2" i="23"/>
  <c r="AN2" i="23"/>
  <c r="AO2" i="23" s="1"/>
  <c r="AS51" i="23"/>
  <c r="AQ51" i="23"/>
  <c r="AS50" i="23"/>
  <c r="AQ50" i="23"/>
  <c r="AO50" i="23"/>
  <c r="AS49" i="23"/>
  <c r="AQ49" i="23"/>
  <c r="AO49" i="23"/>
  <c r="AS48" i="23"/>
  <c r="AQ48" i="23"/>
  <c r="AO48" i="23"/>
  <c r="AS47" i="23"/>
  <c r="AQ47" i="23"/>
  <c r="AS46" i="23"/>
  <c r="AQ46" i="23"/>
  <c r="AO46" i="23"/>
  <c r="AS45" i="23"/>
  <c r="AQ45" i="23"/>
  <c r="AO45" i="23"/>
  <c r="AS44" i="23"/>
  <c r="AQ44" i="23"/>
  <c r="AO44" i="23"/>
  <c r="AS43" i="23"/>
  <c r="AQ43" i="23"/>
  <c r="AS42" i="23"/>
  <c r="AQ42" i="23"/>
  <c r="AO42" i="23"/>
  <c r="AS41" i="23"/>
  <c r="AQ41" i="23"/>
  <c r="AO41" i="23"/>
  <c r="AS40" i="23"/>
  <c r="AQ40" i="23"/>
  <c r="AO40" i="23"/>
  <c r="AS39" i="23"/>
  <c r="AQ39" i="23"/>
  <c r="AO39" i="23"/>
  <c r="AS38" i="23"/>
  <c r="AQ38" i="23"/>
  <c r="AO38" i="23"/>
  <c r="AS37" i="23"/>
  <c r="AQ37" i="23"/>
  <c r="AO37" i="23"/>
  <c r="AS36" i="23"/>
  <c r="AQ36" i="23"/>
  <c r="AO36" i="23"/>
  <c r="AS35" i="23"/>
  <c r="AQ35" i="23"/>
  <c r="AO35" i="23"/>
  <c r="AS34" i="23"/>
  <c r="AQ34" i="23"/>
  <c r="AO34" i="23"/>
  <c r="AS33" i="23"/>
  <c r="AQ33" i="23"/>
  <c r="AO33" i="23"/>
  <c r="AS32" i="23"/>
  <c r="AQ32" i="23"/>
  <c r="AO32" i="23"/>
  <c r="AS31" i="23"/>
  <c r="AQ31" i="23"/>
  <c r="AO31" i="23"/>
  <c r="AS30" i="23"/>
  <c r="AQ30" i="23"/>
  <c r="AO30" i="23"/>
  <c r="AS29" i="23"/>
  <c r="AQ29" i="23"/>
  <c r="AO29" i="23"/>
  <c r="AS28" i="23"/>
  <c r="AQ28" i="23"/>
  <c r="AO28" i="23"/>
  <c r="AS27" i="23"/>
  <c r="AQ27" i="23"/>
  <c r="AO27" i="23"/>
  <c r="AS26" i="23"/>
  <c r="AQ26" i="23"/>
  <c r="AO26" i="23"/>
  <c r="AS25" i="23"/>
  <c r="AQ25" i="23"/>
  <c r="AO25" i="23"/>
  <c r="AS24" i="23"/>
  <c r="AQ24" i="23"/>
  <c r="AO24" i="23"/>
  <c r="AS23" i="23"/>
  <c r="AQ23" i="23"/>
  <c r="AO23" i="23"/>
  <c r="AS22" i="23"/>
  <c r="AQ22" i="23"/>
  <c r="AO22" i="23"/>
  <c r="AS21" i="23"/>
  <c r="AQ21" i="23"/>
  <c r="AO21" i="23"/>
  <c r="AS20" i="23"/>
  <c r="AQ20" i="23"/>
  <c r="AO20" i="23"/>
  <c r="AS19" i="23"/>
  <c r="AQ19" i="23"/>
  <c r="AO19" i="23"/>
  <c r="AS18" i="23"/>
  <c r="AQ18" i="23"/>
  <c r="AO18" i="23"/>
  <c r="AS17" i="23"/>
  <c r="AQ17" i="23"/>
  <c r="AO17" i="23"/>
  <c r="AS16" i="23"/>
  <c r="AQ16" i="23"/>
  <c r="AO16" i="23"/>
  <c r="AS15" i="23"/>
  <c r="AQ15" i="23"/>
  <c r="AO15" i="23"/>
  <c r="AS14" i="23"/>
  <c r="AQ14" i="23"/>
  <c r="AO14" i="23"/>
  <c r="AS13" i="23"/>
  <c r="AQ13" i="23"/>
  <c r="AO13" i="23"/>
  <c r="AS12" i="23"/>
  <c r="AQ12" i="23"/>
  <c r="AO12" i="23"/>
  <c r="AS11" i="23"/>
  <c r="AQ11" i="23"/>
  <c r="AO11" i="23"/>
  <c r="AS10" i="23"/>
  <c r="AQ10" i="23"/>
  <c r="AO10" i="23"/>
  <c r="AS9" i="23"/>
  <c r="AQ9" i="23"/>
  <c r="AO9" i="23"/>
  <c r="AS8" i="23"/>
  <c r="AQ8" i="23"/>
  <c r="AO8" i="23"/>
  <c r="AS7" i="23"/>
  <c r="AQ7" i="23"/>
  <c r="AO7" i="23"/>
  <c r="AS6" i="23"/>
  <c r="AQ6" i="23"/>
  <c r="AO6" i="23"/>
  <c r="AS5" i="23"/>
  <c r="AQ5" i="23"/>
  <c r="AO5" i="23"/>
  <c r="AS4" i="23"/>
  <c r="AQ4" i="23"/>
  <c r="AO4" i="23"/>
  <c r="AS3" i="23"/>
  <c r="AQ3" i="23"/>
  <c r="AO3" i="23"/>
  <c r="S136" i="22"/>
  <c r="R136" i="22" s="1"/>
  <c r="S134" i="22"/>
  <c r="R134" i="22" s="1"/>
  <c r="S132" i="22"/>
  <c r="R132" i="22" s="1"/>
  <c r="S130" i="22"/>
  <c r="R130" i="22" s="1"/>
  <c r="S128" i="22"/>
  <c r="R128" i="22" s="1"/>
  <c r="S114" i="22"/>
  <c r="R114" i="22" s="1"/>
  <c r="S113" i="22"/>
  <c r="R113" i="22" s="1"/>
  <c r="S112" i="22"/>
  <c r="R112" i="22" s="1"/>
  <c r="S111" i="22"/>
  <c r="R111" i="22" s="1"/>
  <c r="S110" i="22"/>
  <c r="R110" i="22" s="1"/>
  <c r="S109" i="22"/>
  <c r="R109" i="22" s="1"/>
  <c r="S108" i="22"/>
  <c r="R108" i="22" s="1"/>
  <c r="S107" i="22"/>
  <c r="R107" i="22" s="1"/>
  <c r="S106" i="22"/>
  <c r="R106" i="22" s="1"/>
  <c r="S105" i="22"/>
  <c r="R105" i="22" s="1"/>
  <c r="S135" i="22"/>
  <c r="R135" i="22" s="1"/>
  <c r="S131" i="22"/>
  <c r="R131" i="22" s="1"/>
  <c r="S127" i="22"/>
  <c r="R127" i="22" s="1"/>
  <c r="S125" i="22"/>
  <c r="R125" i="22" s="1"/>
  <c r="S123" i="22"/>
  <c r="R123" i="22" s="1"/>
  <c r="S121" i="22"/>
  <c r="R121" i="22" s="1"/>
  <c r="S119" i="22"/>
  <c r="R119" i="22" s="1"/>
  <c r="S117" i="22"/>
  <c r="R117" i="22" s="1"/>
  <c r="S115" i="22"/>
  <c r="R115" i="22" s="1"/>
  <c r="S104" i="22"/>
  <c r="R104" i="22" s="1"/>
  <c r="S102" i="22"/>
  <c r="R102" i="22" s="1"/>
  <c r="S100" i="22"/>
  <c r="R100" i="22" s="1"/>
  <c r="S98" i="22"/>
  <c r="R98" i="22" s="1"/>
  <c r="S96" i="22"/>
  <c r="R96" i="22" s="1"/>
  <c r="S84" i="22"/>
  <c r="R84" i="22" s="1"/>
  <c r="S83" i="22"/>
  <c r="R83" i="22" s="1"/>
  <c r="S82" i="22"/>
  <c r="R82" i="22" s="1"/>
  <c r="S81" i="22"/>
  <c r="R81" i="22" s="1"/>
  <c r="S80" i="22"/>
  <c r="R80" i="22" s="1"/>
  <c r="S79" i="22"/>
  <c r="R79" i="22" s="1"/>
  <c r="S78" i="22"/>
  <c r="R78" i="22" s="1"/>
  <c r="S77" i="22"/>
  <c r="R77" i="22" s="1"/>
  <c r="S76" i="22"/>
  <c r="R76" i="22" s="1"/>
  <c r="S75" i="22"/>
  <c r="R75" i="22" s="1"/>
  <c r="S64" i="22"/>
  <c r="R64" i="22" s="1"/>
  <c r="S63" i="22"/>
  <c r="R63" i="22" s="1"/>
  <c r="S62" i="22"/>
  <c r="R62" i="22" s="1"/>
  <c r="S61" i="22"/>
  <c r="R61" i="22" s="1"/>
  <c r="S60" i="22"/>
  <c r="R60" i="22" s="1"/>
  <c r="S59" i="22"/>
  <c r="R59" i="22" s="1"/>
  <c r="S58" i="22"/>
  <c r="R58" i="22" s="1"/>
  <c r="S57" i="22"/>
  <c r="R57" i="22" s="1"/>
  <c r="S56" i="22"/>
  <c r="R56" i="22" s="1"/>
  <c r="S55" i="22"/>
  <c r="R55" i="22" s="1"/>
  <c r="S44" i="22"/>
  <c r="R44" i="22" s="1"/>
  <c r="S41" i="22"/>
  <c r="R41" i="22" s="1"/>
  <c r="S40" i="22"/>
  <c r="R40" i="22" s="1"/>
  <c r="S39" i="22"/>
  <c r="R39" i="22" s="1"/>
  <c r="S38" i="22"/>
  <c r="R38" i="22" s="1"/>
  <c r="S37" i="22"/>
  <c r="R37" i="22" s="1"/>
  <c r="S36" i="22"/>
  <c r="R36" i="22" s="1"/>
  <c r="S35" i="22"/>
  <c r="R35" i="22" s="1"/>
  <c r="S34" i="22"/>
  <c r="R34" i="22" s="1"/>
  <c r="S5" i="22"/>
  <c r="R5" i="22" s="1"/>
  <c r="S6" i="22"/>
  <c r="R6" i="22" s="1"/>
  <c r="S8" i="22"/>
  <c r="R8" i="22" s="1"/>
  <c r="S14" i="22"/>
  <c r="R14" i="22" s="1"/>
  <c r="S15" i="22"/>
  <c r="R15" i="22" s="1"/>
  <c r="S16" i="22"/>
  <c r="R16" i="22" s="1"/>
  <c r="S17" i="22"/>
  <c r="R17" i="22" s="1"/>
  <c r="S18" i="22"/>
  <c r="R18" i="22" s="1"/>
  <c r="S19" i="22"/>
  <c r="R19" i="22" s="1"/>
  <c r="S20" i="22"/>
  <c r="R20" i="22" s="1"/>
  <c r="S21" i="22"/>
  <c r="R21" i="22" s="1"/>
  <c r="S28" i="22"/>
  <c r="R28" i="22" s="1"/>
  <c r="S32" i="22"/>
  <c r="R32" i="22" s="1"/>
  <c r="S33" i="22"/>
  <c r="R33" i="22" s="1"/>
  <c r="S45" i="22"/>
  <c r="R45" i="22" s="1"/>
  <c r="S47" i="22"/>
  <c r="R47" i="22" s="1"/>
  <c r="S49" i="22"/>
  <c r="R49" i="22" s="1"/>
  <c r="S51" i="22"/>
  <c r="R51" i="22" s="1"/>
  <c r="S53" i="22"/>
  <c r="R53" i="22" s="1"/>
  <c r="S66" i="22"/>
  <c r="R66" i="22" s="1"/>
  <c r="S68" i="22"/>
  <c r="R68" i="22" s="1"/>
  <c r="S70" i="22"/>
  <c r="R70" i="22" s="1"/>
  <c r="S72" i="22"/>
  <c r="R72" i="22" s="1"/>
  <c r="S74" i="22"/>
  <c r="R74" i="22" s="1"/>
  <c r="S85" i="22"/>
  <c r="R85" i="22" s="1"/>
  <c r="S87" i="22"/>
  <c r="R87" i="22" s="1"/>
  <c r="S89" i="22"/>
  <c r="R89" i="22" s="1"/>
  <c r="S91" i="22"/>
  <c r="R91" i="22" s="1"/>
  <c r="S93" i="22"/>
  <c r="R93" i="22" s="1"/>
  <c r="S97" i="22"/>
  <c r="R97" i="22" s="1"/>
  <c r="S101" i="22"/>
  <c r="R101" i="22" s="1"/>
  <c r="S116" i="22"/>
  <c r="R116" i="22" s="1"/>
  <c r="S120" i="22"/>
  <c r="R120" i="22" s="1"/>
  <c r="S124" i="22"/>
  <c r="R124" i="22" s="1"/>
  <c r="S129" i="22"/>
  <c r="R129" i="22" s="1"/>
  <c r="S2" i="22"/>
  <c r="R2" i="22" s="1"/>
  <c r="S3" i="22"/>
  <c r="R3" i="22" s="1"/>
  <c r="S7" i="22"/>
  <c r="R7" i="22" s="1"/>
  <c r="S9" i="22"/>
  <c r="R9" i="22" s="1"/>
  <c r="S10" i="22"/>
  <c r="R10" i="22" s="1"/>
  <c r="S11" i="22"/>
  <c r="R11" i="22" s="1"/>
  <c r="S12" i="22"/>
  <c r="R12" i="22" s="1"/>
  <c r="S13" i="22"/>
  <c r="R13" i="22" s="1"/>
  <c r="S22" i="22"/>
  <c r="R22" i="22" s="1"/>
  <c r="S23" i="22"/>
  <c r="R23" i="22" s="1"/>
  <c r="S24" i="22"/>
  <c r="R24" i="22" s="1"/>
  <c r="S25" i="22"/>
  <c r="R25" i="22" s="1"/>
  <c r="S26" i="22"/>
  <c r="R26" i="22" s="1"/>
  <c r="S27" i="22"/>
  <c r="R27" i="22" s="1"/>
  <c r="S29" i="22"/>
  <c r="R29" i="22" s="1"/>
  <c r="S30" i="22"/>
  <c r="R30" i="22" s="1"/>
  <c r="S31" i="22"/>
  <c r="R31" i="22" s="1"/>
  <c r="S42" i="22"/>
  <c r="R42" i="22" s="1"/>
  <c r="S43" i="22"/>
  <c r="R43" i="22" s="1"/>
  <c r="S46" i="22"/>
  <c r="R46" i="22" s="1"/>
  <c r="S48" i="22"/>
  <c r="R48" i="22" s="1"/>
  <c r="S50" i="22"/>
  <c r="R50" i="22" s="1"/>
  <c r="S52" i="22"/>
  <c r="R52" i="22" s="1"/>
  <c r="S54" i="22"/>
  <c r="R54" i="22" s="1"/>
  <c r="S65" i="22"/>
  <c r="R65" i="22" s="1"/>
  <c r="S67" i="22"/>
  <c r="R67" i="22" s="1"/>
  <c r="S69" i="22"/>
  <c r="R69" i="22" s="1"/>
  <c r="S71" i="22"/>
  <c r="R71" i="22" s="1"/>
  <c r="S73" i="22"/>
  <c r="R73" i="22" s="1"/>
  <c r="S86" i="22"/>
  <c r="R86" i="22" s="1"/>
  <c r="S88" i="22"/>
  <c r="R88" i="22" s="1"/>
  <c r="S90" i="22"/>
  <c r="R90" i="22" s="1"/>
  <c r="S92" i="22"/>
  <c r="R92" i="22" s="1"/>
  <c r="S94" i="22"/>
  <c r="R94" i="22" s="1"/>
  <c r="S95" i="22"/>
  <c r="R95" i="22" s="1"/>
  <c r="S99" i="22"/>
  <c r="R99" i="22" s="1"/>
  <c r="S103" i="22"/>
  <c r="R103" i="22" s="1"/>
  <c r="S118" i="22"/>
  <c r="R118" i="22" s="1"/>
  <c r="S122" i="22"/>
  <c r="R122" i="22" s="1"/>
  <c r="S126" i="22"/>
  <c r="R126" i="22" s="1"/>
  <c r="S133" i="22"/>
  <c r="R133" i="22" s="1"/>
  <c r="D19" i="1"/>
  <c r="AT14" i="23" l="1"/>
  <c r="AR20" i="23"/>
  <c r="AR23" i="23"/>
  <c r="AP28" i="23"/>
  <c r="AR28" i="23"/>
  <c r="AR31" i="23"/>
  <c r="AP36" i="23"/>
  <c r="AR36" i="23"/>
  <c r="AP38" i="23"/>
  <c r="AT38" i="23"/>
  <c r="AP42" i="23"/>
  <c r="AR42" i="23"/>
  <c r="AP46" i="23"/>
  <c r="AR46" i="23"/>
  <c r="AP50" i="23"/>
  <c r="AR50" i="23"/>
  <c r="AR13" i="23"/>
  <c r="AP17" i="23"/>
  <c r="AT17" i="23"/>
  <c r="AP24" i="23"/>
  <c r="AR24" i="23"/>
  <c r="AP32" i="23"/>
  <c r="AR32" i="23"/>
  <c r="AR35" i="23"/>
  <c r="AR47" i="23"/>
  <c r="AT2" i="23"/>
  <c r="AP3" i="23"/>
  <c r="AR3" i="23"/>
  <c r="AP4" i="23"/>
  <c r="AR4" i="23"/>
  <c r="AP5" i="23"/>
  <c r="AR5" i="23"/>
  <c r="AP6" i="23"/>
  <c r="AR6" i="23"/>
  <c r="AP7" i="23"/>
  <c r="AR7" i="23"/>
  <c r="AP8" i="23"/>
  <c r="AR8" i="23"/>
  <c r="AP9" i="23"/>
  <c r="AR9" i="23"/>
  <c r="AP10" i="23"/>
  <c r="AR10" i="23"/>
  <c r="AP11" i="23"/>
  <c r="AR11" i="23"/>
  <c r="AP12" i="23"/>
  <c r="AT12" i="23"/>
  <c r="AP15" i="23"/>
  <c r="AR15" i="23"/>
  <c r="AP16" i="23"/>
  <c r="AR16" i="23"/>
  <c r="AP18" i="23"/>
  <c r="AR18" i="23"/>
  <c r="AP19" i="23"/>
  <c r="AT19" i="23"/>
  <c r="AR21" i="23"/>
  <c r="AP22" i="23"/>
  <c r="AR22" i="23"/>
  <c r="AT23" i="23"/>
  <c r="AR25" i="23"/>
  <c r="AP26" i="23"/>
  <c r="AR26" i="23"/>
  <c r="AT27" i="23"/>
  <c r="AR29" i="23"/>
  <c r="AP30" i="23"/>
  <c r="AR30" i="23"/>
  <c r="AT31" i="23"/>
  <c r="AR33" i="23"/>
  <c r="AP34" i="23"/>
  <c r="AR34" i="23"/>
  <c r="AT35" i="23"/>
  <c r="AP39" i="23"/>
  <c r="AR39" i="23"/>
  <c r="AP40" i="23"/>
  <c r="AT40" i="23"/>
  <c r="AT43" i="23"/>
  <c r="AR44" i="23"/>
  <c r="AP45" i="23"/>
  <c r="AT45" i="23"/>
  <c r="AT47" i="23"/>
  <c r="AR48" i="23"/>
  <c r="AP49" i="23"/>
  <c r="AT49" i="23"/>
  <c r="AT51" i="23"/>
  <c r="AS2" i="23"/>
  <c r="BC2" i="23"/>
  <c r="AZ2" i="23"/>
  <c r="AP2" i="23"/>
  <c r="AR2" i="23"/>
  <c r="AT21" i="23"/>
  <c r="AT25" i="23"/>
  <c r="AT29" i="23"/>
  <c r="AT33" i="23"/>
  <c r="AT44" i="23"/>
  <c r="AT48" i="23"/>
  <c r="AQ2" i="23"/>
  <c r="F29" i="22" l="1" a="1"/>
  <c r="K36" i="22" l="1"/>
  <c r="I36" i="22"/>
  <c r="G36" i="22"/>
  <c r="M35" i="22"/>
  <c r="K35" i="22"/>
  <c r="I35" i="22"/>
  <c r="G35" i="22"/>
  <c r="M34" i="22"/>
  <c r="I34" i="22"/>
  <c r="G34" i="22"/>
  <c r="M33" i="22"/>
  <c r="G33" i="22"/>
  <c r="M32" i="22"/>
  <c r="K32" i="22"/>
  <c r="G32" i="22"/>
  <c r="M31" i="22"/>
  <c r="K31" i="22"/>
  <c r="I31" i="22"/>
  <c r="K30" i="22"/>
  <c r="I30" i="22"/>
  <c r="M29" i="22"/>
  <c r="K29" i="22"/>
  <c r="I29" i="22"/>
  <c r="G29" i="22"/>
  <c r="L36" i="22"/>
  <c r="J36" i="22"/>
  <c r="H36" i="22"/>
  <c r="F36" i="22"/>
  <c r="J35" i="22"/>
  <c r="H35" i="22"/>
  <c r="F35" i="22"/>
  <c r="L34" i="22"/>
  <c r="J34" i="22"/>
  <c r="H34" i="22"/>
  <c r="F34" i="22"/>
  <c r="L33" i="22"/>
  <c r="H33" i="22"/>
  <c r="F33" i="22"/>
  <c r="L32" i="22"/>
  <c r="J32" i="22"/>
  <c r="F32" i="22"/>
  <c r="L31" i="22"/>
  <c r="J31" i="22"/>
  <c r="F31" i="22"/>
  <c r="L30" i="22"/>
  <c r="J30" i="22"/>
  <c r="H30" i="22"/>
  <c r="J29" i="22"/>
  <c r="H29" i="22"/>
  <c r="C2" i="18"/>
  <c r="C3" i="18"/>
  <c r="AE3" i="21" s="1"/>
  <c r="C4" i="18"/>
  <c r="AE4" i="21" s="1"/>
  <c r="C5" i="18"/>
  <c r="AE5" i="21" s="1"/>
  <c r="C6" i="18"/>
  <c r="AE6" i="21" s="1"/>
  <c r="C7" i="18"/>
  <c r="AE7" i="21" s="1"/>
  <c r="C8" i="18"/>
  <c r="AE8" i="21" s="1"/>
  <c r="C9" i="18"/>
  <c r="AE9" i="21" s="1"/>
  <c r="C10" i="18"/>
  <c r="AE10" i="21" s="1"/>
  <c r="C11" i="18"/>
  <c r="AE11" i="21" s="1"/>
  <c r="C12" i="18"/>
  <c r="AE12" i="21" s="1"/>
  <c r="C13" i="18"/>
  <c r="AE13" i="21" s="1"/>
  <c r="C14" i="18"/>
  <c r="AE14" i="21" s="1"/>
  <c r="C15" i="18"/>
  <c r="AE15" i="21" s="1"/>
  <c r="C16" i="18"/>
  <c r="AE16" i="21" s="1"/>
  <c r="C17" i="18"/>
  <c r="AE17" i="21" s="1"/>
  <c r="C18" i="18"/>
  <c r="AE18" i="21" s="1"/>
  <c r="C19" i="18"/>
  <c r="AE19" i="21" s="1"/>
  <c r="C20" i="18"/>
  <c r="AE20" i="21" s="1"/>
  <c r="C21" i="18"/>
  <c r="AE21" i="21" s="1"/>
  <c r="C22" i="18"/>
  <c r="AE22" i="21" s="1"/>
  <c r="C23" i="18"/>
  <c r="AE23" i="21" s="1"/>
  <c r="C24" i="18"/>
  <c r="AE24" i="21" s="1"/>
  <c r="C25" i="18"/>
  <c r="AE25" i="21" s="1"/>
  <c r="C26" i="18"/>
  <c r="AE26" i="21" s="1"/>
  <c r="C27" i="18"/>
  <c r="AE27" i="21" s="1"/>
  <c r="C28" i="18"/>
  <c r="AE28" i="21" s="1"/>
  <c r="C29" i="18"/>
  <c r="AE29" i="21" s="1"/>
  <c r="C30" i="18"/>
  <c r="AE30" i="21" s="1"/>
  <c r="C31" i="18"/>
  <c r="AE31" i="21" s="1"/>
  <c r="C32" i="18"/>
  <c r="AE32" i="21" s="1"/>
  <c r="C33" i="18"/>
  <c r="AE33" i="21" s="1"/>
  <c r="C34" i="18"/>
  <c r="AE34" i="21" s="1"/>
  <c r="C35" i="18"/>
  <c r="AE35" i="21" s="1"/>
  <c r="C36" i="18"/>
  <c r="AE36" i="21" s="1"/>
  <c r="C37" i="18"/>
  <c r="AE37" i="21" s="1"/>
  <c r="C38" i="18"/>
  <c r="AE38" i="21" s="1"/>
  <c r="C39" i="18"/>
  <c r="AE39" i="21" s="1"/>
  <c r="C40" i="18"/>
  <c r="AE40" i="21" s="1"/>
  <c r="C41" i="18"/>
  <c r="AE41" i="21" s="1"/>
  <c r="C42" i="18"/>
  <c r="AE42" i="21" s="1"/>
  <c r="C43" i="18"/>
  <c r="AE43" i="21" s="1"/>
  <c r="C44" i="18"/>
  <c r="AE44" i="21" s="1"/>
  <c r="C45" i="18"/>
  <c r="AE45" i="21" s="1"/>
  <c r="C46" i="18"/>
  <c r="AE46" i="21" s="1"/>
  <c r="C47" i="18"/>
  <c r="AE47" i="21" s="1"/>
  <c r="C48" i="18"/>
  <c r="AE48" i="21" s="1"/>
  <c r="C49" i="18"/>
  <c r="AE49" i="21" s="1"/>
  <c r="C50" i="18"/>
  <c r="AE50" i="21" s="1"/>
  <c r="C51" i="18"/>
  <c r="AE51" i="21" s="1"/>
  <c r="AE2" i="21" l="1"/>
  <c r="D5" i="14"/>
  <c r="V2" i="14" l="1"/>
  <c r="U2" i="14" s="1"/>
  <c r="V62" i="14"/>
  <c r="V74" i="14"/>
  <c r="V135" i="14"/>
  <c r="V131" i="14"/>
  <c r="V127" i="14"/>
  <c r="V123" i="14"/>
  <c r="V134" i="14"/>
  <c r="V130" i="14"/>
  <c r="V126" i="14"/>
  <c r="V122" i="14"/>
  <c r="V133" i="14"/>
  <c r="V125" i="14"/>
  <c r="V118" i="14"/>
  <c r="V114" i="14"/>
  <c r="V136" i="14"/>
  <c r="V128" i="14"/>
  <c r="V117" i="14"/>
  <c r="V113" i="14"/>
  <c r="V129" i="14"/>
  <c r="V120" i="14"/>
  <c r="V112" i="14"/>
  <c r="V111" i="14"/>
  <c r="V107" i="14"/>
  <c r="V103" i="14"/>
  <c r="V99" i="14"/>
  <c r="V132" i="14"/>
  <c r="V115" i="14"/>
  <c r="V110" i="14"/>
  <c r="V106" i="14"/>
  <c r="V102" i="14"/>
  <c r="V98" i="14"/>
  <c r="V94" i="14"/>
  <c r="V90" i="14"/>
  <c r="V121" i="14"/>
  <c r="V105" i="14"/>
  <c r="V89" i="14"/>
  <c r="V88" i="14"/>
  <c r="V84" i="14"/>
  <c r="V80" i="14"/>
  <c r="V76" i="14"/>
  <c r="V124" i="14"/>
  <c r="V108" i="14"/>
  <c r="V100" i="14"/>
  <c r="V93" i="14"/>
  <c r="V92" i="14"/>
  <c r="V91" i="14"/>
  <c r="V87" i="14"/>
  <c r="V83" i="14"/>
  <c r="V79" i="14"/>
  <c r="V75" i="14"/>
  <c r="V71" i="14"/>
  <c r="V67" i="14"/>
  <c r="V116" i="14"/>
  <c r="V101" i="14"/>
  <c r="V82" i="14"/>
  <c r="V58" i="14"/>
  <c r="V54" i="14"/>
  <c r="V50" i="14"/>
  <c r="V46" i="14"/>
  <c r="V42" i="14"/>
  <c r="V38" i="14"/>
  <c r="V119" i="14"/>
  <c r="V104" i="14"/>
  <c r="V85" i="14"/>
  <c r="V77" i="14"/>
  <c r="V66" i="14"/>
  <c r="V65" i="14"/>
  <c r="V61" i="14"/>
  <c r="V57" i="14"/>
  <c r="V53" i="14"/>
  <c r="V49" i="14"/>
  <c r="V45" i="14"/>
  <c r="V41" i="14"/>
  <c r="V37" i="14"/>
  <c r="V33" i="14"/>
  <c r="V29" i="14"/>
  <c r="V25" i="14"/>
  <c r="V109" i="14"/>
  <c r="V86" i="14"/>
  <c r="V70" i="14"/>
  <c r="V69" i="14"/>
  <c r="V68" i="14"/>
  <c r="V60" i="14"/>
  <c r="V52" i="14"/>
  <c r="V44" i="14"/>
  <c r="V36" i="14"/>
  <c r="V24" i="14"/>
  <c r="V21" i="14"/>
  <c r="V17" i="14"/>
  <c r="V13" i="14"/>
  <c r="V9" i="14"/>
  <c r="V7" i="14"/>
  <c r="V5" i="14"/>
  <c r="V40" i="14"/>
  <c r="V73" i="14"/>
  <c r="V72" i="14"/>
  <c r="V63" i="14"/>
  <c r="V55" i="14"/>
  <c r="V47" i="14"/>
  <c r="V39" i="14"/>
  <c r="V28" i="14"/>
  <c r="V27" i="14"/>
  <c r="V26" i="14"/>
  <c r="V20" i="14"/>
  <c r="V16" i="14"/>
  <c r="V12" i="14"/>
  <c r="V3" i="14"/>
  <c r="V97" i="14"/>
  <c r="V96" i="14"/>
  <c r="V95" i="14"/>
  <c r="V78" i="14"/>
  <c r="V64" i="14"/>
  <c r="V56" i="14"/>
  <c r="V48" i="14"/>
  <c r="V8" i="14"/>
  <c r="V11" i="14"/>
  <c r="V19" i="14"/>
  <c r="V4" i="14"/>
  <c r="V10" i="14"/>
  <c r="V18" i="14"/>
  <c r="V43" i="14"/>
  <c r="V15" i="14"/>
  <c r="V23" i="14"/>
  <c r="V30" i="14"/>
  <c r="V31" i="14"/>
  <c r="V32" i="14"/>
  <c r="V51" i="14"/>
  <c r="V81" i="14"/>
  <c r="V6" i="14"/>
  <c r="V14" i="14"/>
  <c r="V22" i="14"/>
  <c r="V34" i="14"/>
  <c r="V35" i="14"/>
  <c r="V59" i="14"/>
  <c r="AA31" i="14" l="1"/>
  <c r="Y31" i="14"/>
  <c r="W31" i="14"/>
  <c r="Z31" i="14"/>
  <c r="X31" i="14"/>
  <c r="AA23" i="14"/>
  <c r="Y23" i="14"/>
  <c r="W23" i="14"/>
  <c r="Z23" i="14"/>
  <c r="X23" i="14"/>
  <c r="Z10" i="14"/>
  <c r="X10" i="14"/>
  <c r="AA10" i="14"/>
  <c r="Y10" i="14"/>
  <c r="W10" i="14"/>
  <c r="Z8" i="14"/>
  <c r="X8" i="14"/>
  <c r="AA8" i="14"/>
  <c r="Y8" i="14"/>
  <c r="W8" i="14"/>
  <c r="Z56" i="14"/>
  <c r="X56" i="14"/>
  <c r="Y56" i="14"/>
  <c r="AA56" i="14"/>
  <c r="W56" i="14"/>
  <c r="Z96" i="14"/>
  <c r="X96" i="14"/>
  <c r="Y96" i="14"/>
  <c r="AA96" i="14"/>
  <c r="W96" i="14"/>
  <c r="Z16" i="14"/>
  <c r="X16" i="14"/>
  <c r="AA16" i="14"/>
  <c r="Y16" i="14"/>
  <c r="W16" i="14"/>
  <c r="Z26" i="14"/>
  <c r="X26" i="14"/>
  <c r="AA26" i="14"/>
  <c r="Y26" i="14"/>
  <c r="W26" i="14"/>
  <c r="AA47" i="14"/>
  <c r="Y47" i="14"/>
  <c r="W47" i="14"/>
  <c r="Z47" i="14"/>
  <c r="X47" i="14"/>
  <c r="AA73" i="14"/>
  <c r="Y73" i="14"/>
  <c r="W73" i="14"/>
  <c r="X73" i="14"/>
  <c r="Z73" i="14"/>
  <c r="AA9" i="14"/>
  <c r="Y9" i="14"/>
  <c r="W9" i="14"/>
  <c r="Z9" i="14"/>
  <c r="X9" i="14"/>
  <c r="Z24" i="14"/>
  <c r="X24" i="14"/>
  <c r="AA24" i="14"/>
  <c r="Y24" i="14"/>
  <c r="W24" i="14"/>
  <c r="Z60" i="14"/>
  <c r="X60" i="14"/>
  <c r="Y60" i="14"/>
  <c r="AA60" i="14"/>
  <c r="W60" i="14"/>
  <c r="Z86" i="14"/>
  <c r="X86" i="14"/>
  <c r="AA86" i="14"/>
  <c r="W86" i="14"/>
  <c r="Y86" i="14"/>
  <c r="AA25" i="14"/>
  <c r="Y25" i="14"/>
  <c r="W25" i="14"/>
  <c r="Z25" i="14"/>
  <c r="X25" i="14"/>
  <c r="AA41" i="14"/>
  <c r="Y41" i="14"/>
  <c r="W41" i="14"/>
  <c r="X41" i="14"/>
  <c r="Z41" i="14"/>
  <c r="AA57" i="14"/>
  <c r="Y57" i="14"/>
  <c r="W57" i="14"/>
  <c r="X57" i="14"/>
  <c r="Z57" i="14"/>
  <c r="AA77" i="14"/>
  <c r="Y77" i="14"/>
  <c r="W77" i="14"/>
  <c r="X77" i="14"/>
  <c r="Z77" i="14"/>
  <c r="Z38" i="14"/>
  <c r="X38" i="14"/>
  <c r="AA38" i="14"/>
  <c r="W38" i="14"/>
  <c r="Y38" i="14"/>
  <c r="Z54" i="14"/>
  <c r="X54" i="14"/>
  <c r="AA54" i="14"/>
  <c r="W54" i="14"/>
  <c r="Y54" i="14"/>
  <c r="AA116" i="14"/>
  <c r="Y116" i="14"/>
  <c r="W116" i="14"/>
  <c r="Z116" i="14"/>
  <c r="X116" i="14"/>
  <c r="AA59" i="14"/>
  <c r="Y59" i="14"/>
  <c r="W59" i="14"/>
  <c r="Z59" i="14"/>
  <c r="X59" i="14"/>
  <c r="Z34" i="14"/>
  <c r="X34" i="14"/>
  <c r="AA34" i="14"/>
  <c r="Y34" i="14"/>
  <c r="W34" i="14"/>
  <c r="Z14" i="14"/>
  <c r="X14" i="14"/>
  <c r="AA14" i="14"/>
  <c r="Y14" i="14"/>
  <c r="W14" i="14"/>
  <c r="AA81" i="14"/>
  <c r="Y81" i="14"/>
  <c r="W81" i="14"/>
  <c r="X81" i="14"/>
  <c r="Z81" i="14"/>
  <c r="Z32" i="14"/>
  <c r="X32" i="14"/>
  <c r="AA32" i="14"/>
  <c r="Y32" i="14"/>
  <c r="W32" i="14"/>
  <c r="Z30" i="14"/>
  <c r="X30" i="14"/>
  <c r="AA30" i="14"/>
  <c r="Y30" i="14"/>
  <c r="W30" i="14"/>
  <c r="AA15" i="14"/>
  <c r="Y15" i="14"/>
  <c r="W15" i="14"/>
  <c r="Z15" i="14"/>
  <c r="X15" i="14"/>
  <c r="Z18" i="14"/>
  <c r="X18" i="14"/>
  <c r="AA18" i="14"/>
  <c r="Y18" i="14"/>
  <c r="W18" i="14"/>
  <c r="Z4" i="14"/>
  <c r="X4" i="14"/>
  <c r="Y4" i="14"/>
  <c r="AA4" i="14"/>
  <c r="W4" i="14"/>
  <c r="AA11" i="14"/>
  <c r="Y11" i="14"/>
  <c r="W11" i="14"/>
  <c r="Z11" i="14"/>
  <c r="X11" i="14"/>
  <c r="Z48" i="14"/>
  <c r="X48" i="14"/>
  <c r="Y48" i="14"/>
  <c r="AA48" i="14"/>
  <c r="W48" i="14"/>
  <c r="Z64" i="14"/>
  <c r="X64" i="14"/>
  <c r="Y64" i="14"/>
  <c r="AA64" i="14"/>
  <c r="W64" i="14"/>
  <c r="AA95" i="14"/>
  <c r="Y95" i="14"/>
  <c r="W95" i="14"/>
  <c r="Z95" i="14"/>
  <c r="X95" i="14"/>
  <c r="AA97" i="14"/>
  <c r="Y97" i="14"/>
  <c r="W97" i="14"/>
  <c r="X97" i="14"/>
  <c r="Z97" i="14"/>
  <c r="Z12" i="14"/>
  <c r="X12" i="14"/>
  <c r="AA12" i="14"/>
  <c r="Y12" i="14"/>
  <c r="W12" i="14"/>
  <c r="Z20" i="14"/>
  <c r="X20" i="14"/>
  <c r="AA20" i="14"/>
  <c r="Y20" i="14"/>
  <c r="W20" i="14"/>
  <c r="AA27" i="14"/>
  <c r="Y27" i="14"/>
  <c r="W27" i="14"/>
  <c r="Z27" i="14"/>
  <c r="X27" i="14"/>
  <c r="AA39" i="14"/>
  <c r="Y39" i="14"/>
  <c r="W39" i="14"/>
  <c r="Z39" i="14"/>
  <c r="X39" i="14"/>
  <c r="AA55" i="14"/>
  <c r="Y55" i="14"/>
  <c r="W55" i="14"/>
  <c r="Z55" i="14"/>
  <c r="X55" i="14"/>
  <c r="Z72" i="14"/>
  <c r="X72" i="14"/>
  <c r="Y72" i="14"/>
  <c r="AA72" i="14"/>
  <c r="W72" i="14"/>
  <c r="Z40" i="14"/>
  <c r="X40" i="14"/>
  <c r="Y40" i="14"/>
  <c r="AA40" i="14"/>
  <c r="W40" i="14"/>
  <c r="AA7" i="14"/>
  <c r="Y7" i="14"/>
  <c r="W7" i="14"/>
  <c r="Z7" i="14"/>
  <c r="X7" i="14"/>
  <c r="AA13" i="14"/>
  <c r="Y13" i="14"/>
  <c r="W13" i="14"/>
  <c r="Z13" i="14"/>
  <c r="X13" i="14"/>
  <c r="AA21" i="14"/>
  <c r="Y21" i="14"/>
  <c r="W21" i="14"/>
  <c r="Z21" i="14"/>
  <c r="X21" i="14"/>
  <c r="Z36" i="14"/>
  <c r="X36" i="14"/>
  <c r="AA36" i="14"/>
  <c r="Y36" i="14"/>
  <c r="W36" i="14"/>
  <c r="Z52" i="14"/>
  <c r="X52" i="14"/>
  <c r="Y52" i="14"/>
  <c r="AA52" i="14"/>
  <c r="W52" i="14"/>
  <c r="Z68" i="14"/>
  <c r="X68" i="14"/>
  <c r="Y68" i="14"/>
  <c r="AA68" i="14"/>
  <c r="W68" i="14"/>
  <c r="Z70" i="14"/>
  <c r="X70" i="14"/>
  <c r="AA70" i="14"/>
  <c r="W70" i="14"/>
  <c r="Y70" i="14"/>
  <c r="Z109" i="14"/>
  <c r="X109" i="14"/>
  <c r="AA109" i="14"/>
  <c r="Y109" i="14"/>
  <c r="W109" i="14"/>
  <c r="AA29" i="14"/>
  <c r="Y29" i="14"/>
  <c r="W29" i="14"/>
  <c r="Z29" i="14"/>
  <c r="X29" i="14"/>
  <c r="AA37" i="14"/>
  <c r="Y37" i="14"/>
  <c r="W37" i="14"/>
  <c r="Z37" i="14"/>
  <c r="X37" i="14"/>
  <c r="AA45" i="14"/>
  <c r="Y45" i="14"/>
  <c r="W45" i="14"/>
  <c r="X45" i="14"/>
  <c r="Z45" i="14"/>
  <c r="AA53" i="14"/>
  <c r="Y53" i="14"/>
  <c r="W53" i="14"/>
  <c r="X53" i="14"/>
  <c r="Z53" i="14"/>
  <c r="AA61" i="14"/>
  <c r="Y61" i="14"/>
  <c r="W61" i="14"/>
  <c r="X61" i="14"/>
  <c r="Z61" i="14"/>
  <c r="Z66" i="14"/>
  <c r="X66" i="14"/>
  <c r="AA66" i="14"/>
  <c r="W66" i="14"/>
  <c r="Y66" i="14"/>
  <c r="AA85" i="14"/>
  <c r="Y85" i="14"/>
  <c r="W85" i="14"/>
  <c r="X85" i="14"/>
  <c r="Z85" i="14"/>
  <c r="Z119" i="14"/>
  <c r="X119" i="14"/>
  <c r="AA119" i="14"/>
  <c r="Y119" i="14"/>
  <c r="W119" i="14"/>
  <c r="Z42" i="14"/>
  <c r="X42" i="14"/>
  <c r="AA42" i="14"/>
  <c r="W42" i="14"/>
  <c r="Y42" i="14"/>
  <c r="Z50" i="14"/>
  <c r="X50" i="14"/>
  <c r="AA50" i="14"/>
  <c r="W50" i="14"/>
  <c r="Y50" i="14"/>
  <c r="Z58" i="14"/>
  <c r="X58" i="14"/>
  <c r="AA58" i="14"/>
  <c r="W58" i="14"/>
  <c r="Y58" i="14"/>
  <c r="AA101" i="14"/>
  <c r="Y101" i="14"/>
  <c r="W101" i="14"/>
  <c r="X101" i="14"/>
  <c r="Z101" i="14"/>
  <c r="AA67" i="14"/>
  <c r="Y67" i="14"/>
  <c r="W67" i="14"/>
  <c r="Z67" i="14"/>
  <c r="X67" i="14"/>
  <c r="AA75" i="14"/>
  <c r="Y75" i="14"/>
  <c r="W75" i="14"/>
  <c r="Z75" i="14"/>
  <c r="X75" i="14"/>
  <c r="AA83" i="14"/>
  <c r="Y83" i="14"/>
  <c r="W83" i="14"/>
  <c r="Z83" i="14"/>
  <c r="X83" i="14"/>
  <c r="AA91" i="14"/>
  <c r="Y91" i="14"/>
  <c r="W91" i="14"/>
  <c r="Z91" i="14"/>
  <c r="X91" i="14"/>
  <c r="AA93" i="14"/>
  <c r="Y93" i="14"/>
  <c r="W93" i="14"/>
  <c r="X93" i="14"/>
  <c r="Z93" i="14"/>
  <c r="AA108" i="14"/>
  <c r="Y108" i="14"/>
  <c r="W108" i="14"/>
  <c r="Z108" i="14"/>
  <c r="X108" i="14"/>
  <c r="Z76" i="14"/>
  <c r="X76" i="14"/>
  <c r="Y76" i="14"/>
  <c r="AA76" i="14"/>
  <c r="W76" i="14"/>
  <c r="Z84" i="14"/>
  <c r="X84" i="14"/>
  <c r="Y84" i="14"/>
  <c r="AA84" i="14"/>
  <c r="W84" i="14"/>
  <c r="AA89" i="14"/>
  <c r="Y89" i="14"/>
  <c r="W89" i="14"/>
  <c r="X89" i="14"/>
  <c r="Z89" i="14"/>
  <c r="Z121" i="14"/>
  <c r="X121" i="14"/>
  <c r="AA121" i="14"/>
  <c r="Y121" i="14"/>
  <c r="W121" i="14"/>
  <c r="Z94" i="14"/>
  <c r="X94" i="14"/>
  <c r="AA94" i="14"/>
  <c r="W94" i="14"/>
  <c r="Y94" i="14"/>
  <c r="Z102" i="14"/>
  <c r="X102" i="14"/>
  <c r="AA102" i="14"/>
  <c r="W102" i="14"/>
  <c r="Y102" i="14"/>
  <c r="AA110" i="14"/>
  <c r="Y110" i="14"/>
  <c r="W110" i="14"/>
  <c r="Z110" i="14"/>
  <c r="X110" i="14"/>
  <c r="AA132" i="14"/>
  <c r="Y132" i="14"/>
  <c r="W132" i="14"/>
  <c r="Z132" i="14"/>
  <c r="X132" i="14"/>
  <c r="AA103" i="14"/>
  <c r="Y103" i="14"/>
  <c r="W103" i="14"/>
  <c r="Z103" i="14"/>
  <c r="X103" i="14"/>
  <c r="Z111" i="14"/>
  <c r="X111" i="14"/>
  <c r="AA111" i="14"/>
  <c r="Y111" i="14"/>
  <c r="W111" i="14"/>
  <c r="AA120" i="14"/>
  <c r="Y120" i="14"/>
  <c r="W120" i="14"/>
  <c r="Z120" i="14"/>
  <c r="X120" i="14"/>
  <c r="Z113" i="14"/>
  <c r="X113" i="14"/>
  <c r="AA113" i="14"/>
  <c r="Y113" i="14"/>
  <c r="W113" i="14"/>
  <c r="AA128" i="14"/>
  <c r="Y128" i="14"/>
  <c r="W128" i="14"/>
  <c r="Z128" i="14"/>
  <c r="X128" i="14"/>
  <c r="AA114" i="14"/>
  <c r="Y114" i="14"/>
  <c r="W114" i="14"/>
  <c r="Z114" i="14"/>
  <c r="X114" i="14"/>
  <c r="Z125" i="14"/>
  <c r="X125" i="14"/>
  <c r="AA125" i="14"/>
  <c r="Y125" i="14"/>
  <c r="W125" i="14"/>
  <c r="AA122" i="14"/>
  <c r="Y122" i="14"/>
  <c r="W122" i="14"/>
  <c r="Z122" i="14"/>
  <c r="X122" i="14"/>
  <c r="AA130" i="14"/>
  <c r="Y130" i="14"/>
  <c r="W130" i="14"/>
  <c r="Z130" i="14"/>
  <c r="X130" i="14"/>
  <c r="Z123" i="14"/>
  <c r="X123" i="14"/>
  <c r="AA123" i="14"/>
  <c r="Y123" i="14"/>
  <c r="W123" i="14"/>
  <c r="Z131" i="14"/>
  <c r="X131" i="14"/>
  <c r="AA131" i="14"/>
  <c r="Y131" i="14"/>
  <c r="W131" i="14"/>
  <c r="Z62" i="14"/>
  <c r="X62" i="14"/>
  <c r="AA62" i="14"/>
  <c r="W62" i="14"/>
  <c r="Y62" i="14"/>
  <c r="U62" i="14"/>
  <c r="AA35" i="14"/>
  <c r="Y35" i="14"/>
  <c r="W35" i="14"/>
  <c r="Z35" i="14"/>
  <c r="X35" i="14"/>
  <c r="Z22" i="14"/>
  <c r="X22" i="14"/>
  <c r="AA22" i="14"/>
  <c r="Y22" i="14"/>
  <c r="W22" i="14"/>
  <c r="Z6" i="14"/>
  <c r="X6" i="14"/>
  <c r="AA6" i="14"/>
  <c r="W6" i="14"/>
  <c r="Y6" i="14"/>
  <c r="AA51" i="14"/>
  <c r="Y51" i="14"/>
  <c r="W51" i="14"/>
  <c r="Z51" i="14"/>
  <c r="X51" i="14"/>
  <c r="AA43" i="14"/>
  <c r="Y43" i="14"/>
  <c r="W43" i="14"/>
  <c r="Z43" i="14"/>
  <c r="X43" i="14"/>
  <c r="AA19" i="14"/>
  <c r="Y19" i="14"/>
  <c r="W19" i="14"/>
  <c r="Z19" i="14"/>
  <c r="X19" i="14"/>
  <c r="Z78" i="14"/>
  <c r="X78" i="14"/>
  <c r="AA78" i="14"/>
  <c r="W78" i="14"/>
  <c r="Y78" i="14"/>
  <c r="AA3" i="14"/>
  <c r="Y3" i="14"/>
  <c r="W3" i="14"/>
  <c r="Z3" i="14"/>
  <c r="X3" i="14"/>
  <c r="Z28" i="14"/>
  <c r="X28" i="14"/>
  <c r="AA28" i="14"/>
  <c r="Y28" i="14"/>
  <c r="W28" i="14"/>
  <c r="AA63" i="14"/>
  <c r="Y63" i="14"/>
  <c r="W63" i="14"/>
  <c r="Z63" i="14"/>
  <c r="X63" i="14"/>
  <c r="AA5" i="14"/>
  <c r="Y5" i="14"/>
  <c r="W5" i="14"/>
  <c r="X5" i="14"/>
  <c r="Z5" i="14"/>
  <c r="AA17" i="14"/>
  <c r="Y17" i="14"/>
  <c r="W17" i="14"/>
  <c r="Z17" i="14"/>
  <c r="X17" i="14"/>
  <c r="Z44" i="14"/>
  <c r="X44" i="14"/>
  <c r="Y44" i="14"/>
  <c r="AA44" i="14"/>
  <c r="W44" i="14"/>
  <c r="AA69" i="14"/>
  <c r="Y69" i="14"/>
  <c r="W69" i="14"/>
  <c r="X69" i="14"/>
  <c r="Z69" i="14"/>
  <c r="AA33" i="14"/>
  <c r="Y33" i="14"/>
  <c r="W33" i="14"/>
  <c r="Z33" i="14"/>
  <c r="X33" i="14"/>
  <c r="AA49" i="14"/>
  <c r="Y49" i="14"/>
  <c r="W49" i="14"/>
  <c r="X49" i="14"/>
  <c r="Z49" i="14"/>
  <c r="AA65" i="14"/>
  <c r="Y65" i="14"/>
  <c r="W65" i="14"/>
  <c r="X65" i="14"/>
  <c r="Z65" i="14"/>
  <c r="Z104" i="14"/>
  <c r="X104" i="14"/>
  <c r="Y104" i="14"/>
  <c r="AA104" i="14"/>
  <c r="W104" i="14"/>
  <c r="Z46" i="14"/>
  <c r="X46" i="14"/>
  <c r="AA46" i="14"/>
  <c r="W46" i="14"/>
  <c r="Y46" i="14"/>
  <c r="Z82" i="14"/>
  <c r="X82" i="14"/>
  <c r="AA82" i="14"/>
  <c r="W82" i="14"/>
  <c r="Y82" i="14"/>
  <c r="AA71" i="14"/>
  <c r="Y71" i="14"/>
  <c r="W71" i="14"/>
  <c r="Z71" i="14"/>
  <c r="X71" i="14"/>
  <c r="AA79" i="14"/>
  <c r="Y79" i="14"/>
  <c r="W79" i="14"/>
  <c r="Z79" i="14"/>
  <c r="X79" i="14"/>
  <c r="AA87" i="14"/>
  <c r="Y87" i="14"/>
  <c r="W87" i="14"/>
  <c r="Z87" i="14"/>
  <c r="X87" i="14"/>
  <c r="Z92" i="14"/>
  <c r="X92" i="14"/>
  <c r="Y92" i="14"/>
  <c r="AA92" i="14"/>
  <c r="W92" i="14"/>
  <c r="Z100" i="14"/>
  <c r="X100" i="14"/>
  <c r="Y100" i="14"/>
  <c r="AA100" i="14"/>
  <c r="W100" i="14"/>
  <c r="AA124" i="14"/>
  <c r="Y124" i="14"/>
  <c r="W124" i="14"/>
  <c r="Z124" i="14"/>
  <c r="X124" i="14"/>
  <c r="Z80" i="14"/>
  <c r="X80" i="14"/>
  <c r="Y80" i="14"/>
  <c r="AA80" i="14"/>
  <c r="W80" i="14"/>
  <c r="Z88" i="14"/>
  <c r="X88" i="14"/>
  <c r="Y88" i="14"/>
  <c r="AA88" i="14"/>
  <c r="W88" i="14"/>
  <c r="AA105" i="14"/>
  <c r="Y105" i="14"/>
  <c r="W105" i="14"/>
  <c r="X105" i="14"/>
  <c r="Z105" i="14"/>
  <c r="Z90" i="14"/>
  <c r="X90" i="14"/>
  <c r="AA90" i="14"/>
  <c r="W90" i="14"/>
  <c r="Y90" i="14"/>
  <c r="Z98" i="14"/>
  <c r="X98" i="14"/>
  <c r="AA98" i="14"/>
  <c r="W98" i="14"/>
  <c r="Y98" i="14"/>
  <c r="AA106" i="14"/>
  <c r="Y106" i="14"/>
  <c r="W106" i="14"/>
  <c r="Z106" i="14"/>
  <c r="X106" i="14"/>
  <c r="Z115" i="14"/>
  <c r="X115" i="14"/>
  <c r="AA115" i="14"/>
  <c r="Y115" i="14"/>
  <c r="W115" i="14"/>
  <c r="AA99" i="14"/>
  <c r="Y99" i="14"/>
  <c r="W99" i="14"/>
  <c r="Z99" i="14"/>
  <c r="X99" i="14"/>
  <c r="Z107" i="14"/>
  <c r="X107" i="14"/>
  <c r="AA107" i="14"/>
  <c r="Y107" i="14"/>
  <c r="W107" i="14"/>
  <c r="AA112" i="14"/>
  <c r="Y112" i="14"/>
  <c r="W112" i="14"/>
  <c r="Z112" i="14"/>
  <c r="X112" i="14"/>
  <c r="Z129" i="14"/>
  <c r="X129" i="14"/>
  <c r="AA129" i="14"/>
  <c r="Y129" i="14"/>
  <c r="W129" i="14"/>
  <c r="Z117" i="14"/>
  <c r="X117" i="14"/>
  <c r="AA117" i="14"/>
  <c r="Y117" i="14"/>
  <c r="W117" i="14"/>
  <c r="AA136" i="14"/>
  <c r="Y136" i="14"/>
  <c r="W136" i="14"/>
  <c r="Z136" i="14"/>
  <c r="X136" i="14"/>
  <c r="AA118" i="14"/>
  <c r="Y118" i="14"/>
  <c r="W118" i="14"/>
  <c r="Z118" i="14"/>
  <c r="X118" i="14"/>
  <c r="Z133" i="14"/>
  <c r="X133" i="14"/>
  <c r="AA133" i="14"/>
  <c r="Y133" i="14"/>
  <c r="W133" i="14"/>
  <c r="AA126" i="14"/>
  <c r="Y126" i="14"/>
  <c r="W126" i="14"/>
  <c r="Z126" i="14"/>
  <c r="X126" i="14"/>
  <c r="AA134" i="14"/>
  <c r="Y134" i="14"/>
  <c r="W134" i="14"/>
  <c r="Z134" i="14"/>
  <c r="X134" i="14"/>
  <c r="Z127" i="14"/>
  <c r="X127" i="14"/>
  <c r="AA127" i="14"/>
  <c r="Y127" i="14"/>
  <c r="W127" i="14"/>
  <c r="Z135" i="14"/>
  <c r="X135" i="14"/>
  <c r="AA135" i="14"/>
  <c r="Y135" i="14"/>
  <c r="W135" i="14"/>
  <c r="Z74" i="14"/>
  <c r="X74" i="14"/>
  <c r="AA74" i="14"/>
  <c r="W74" i="14"/>
  <c r="Y74" i="14"/>
  <c r="U74" i="14"/>
  <c r="AA2" i="14"/>
  <c r="Y2" i="14"/>
  <c r="W2" i="14"/>
  <c r="Z2" i="14"/>
  <c r="X2" i="14"/>
  <c r="U22" i="14"/>
  <c r="U31" i="14"/>
  <c r="U23" i="14"/>
  <c r="U10" i="14"/>
  <c r="U8" i="14"/>
  <c r="U56" i="14"/>
  <c r="U96" i="14"/>
  <c r="U16" i="14"/>
  <c r="U28" i="14"/>
  <c r="U63" i="14"/>
  <c r="U40" i="14"/>
  <c r="U7" i="14"/>
  <c r="U21" i="14"/>
  <c r="U52" i="14"/>
  <c r="U109" i="14"/>
  <c r="U59" i="14"/>
  <c r="U34" i="14"/>
  <c r="U14" i="14"/>
  <c r="U81" i="14"/>
  <c r="U32" i="14"/>
  <c r="U30" i="14"/>
  <c r="U15" i="14"/>
  <c r="U18" i="14"/>
  <c r="U4" i="14"/>
  <c r="U11" i="14"/>
  <c r="U48" i="14"/>
  <c r="U64" i="14"/>
  <c r="U95" i="14"/>
  <c r="U97" i="14"/>
  <c r="U12" i="14"/>
  <c r="U20" i="14"/>
  <c r="U27" i="14"/>
  <c r="U39" i="14"/>
  <c r="U55" i="14"/>
  <c r="U72" i="14"/>
  <c r="U5" i="14"/>
  <c r="U9" i="14"/>
  <c r="U17" i="14"/>
  <c r="U24" i="14"/>
  <c r="U44" i="14"/>
  <c r="U60" i="14"/>
  <c r="U69" i="14"/>
  <c r="U86" i="14"/>
  <c r="U25" i="14"/>
  <c r="U33" i="14"/>
  <c r="U41" i="14"/>
  <c r="U49" i="14"/>
  <c r="U57" i="14"/>
  <c r="U65" i="14"/>
  <c r="U77" i="14"/>
  <c r="U104" i="14"/>
  <c r="U38" i="14"/>
  <c r="U46" i="14"/>
  <c r="U54" i="14"/>
  <c r="U101" i="14"/>
  <c r="U67" i="14"/>
  <c r="U75" i="14"/>
  <c r="U83" i="14"/>
  <c r="U91" i="14"/>
  <c r="U93" i="14"/>
  <c r="U108" i="14"/>
  <c r="U76" i="14"/>
  <c r="U84" i="14"/>
  <c r="U89" i="14"/>
  <c r="U121" i="14"/>
  <c r="U94" i="14"/>
  <c r="U102" i="14"/>
  <c r="U110" i="14"/>
  <c r="U132" i="14"/>
  <c r="U103" i="14"/>
  <c r="U111" i="14"/>
  <c r="U120" i="14"/>
  <c r="U113" i="14"/>
  <c r="U128" i="14"/>
  <c r="U114" i="14"/>
  <c r="U125" i="14"/>
  <c r="U122" i="14"/>
  <c r="U130" i="14"/>
  <c r="U123" i="14"/>
  <c r="U131" i="14"/>
  <c r="U35" i="14"/>
  <c r="U6" i="14"/>
  <c r="U51" i="14"/>
  <c r="U43" i="14"/>
  <c r="U19" i="14"/>
  <c r="U78" i="14"/>
  <c r="U3" i="14"/>
  <c r="U26" i="14"/>
  <c r="U47" i="14"/>
  <c r="U73" i="14"/>
  <c r="U13" i="14"/>
  <c r="U36" i="14"/>
  <c r="U68" i="14"/>
  <c r="U70" i="14"/>
  <c r="U29" i="14"/>
  <c r="U37" i="14"/>
  <c r="U45" i="14"/>
  <c r="U53" i="14"/>
  <c r="U61" i="14"/>
  <c r="U66" i="14"/>
  <c r="U85" i="14"/>
  <c r="U119" i="14"/>
  <c r="U42" i="14"/>
  <c r="U50" i="14"/>
  <c r="U58" i="14"/>
  <c r="U82" i="14"/>
  <c r="U116" i="14"/>
  <c r="U71" i="14"/>
  <c r="U79" i="14"/>
  <c r="U87" i="14"/>
  <c r="U92" i="14"/>
  <c r="U100" i="14"/>
  <c r="U124" i="14"/>
  <c r="U80" i="14"/>
  <c r="U88" i="14"/>
  <c r="U105" i="14"/>
  <c r="U90" i="14"/>
  <c r="U98" i="14"/>
  <c r="U106" i="14"/>
  <c r="U115" i="14"/>
  <c r="U99" i="14"/>
  <c r="U107" i="14"/>
  <c r="U112" i="14"/>
  <c r="U129" i="14"/>
  <c r="U117" i="14"/>
  <c r="U136" i="14"/>
  <c r="U118" i="14"/>
  <c r="U133" i="14"/>
  <c r="U126" i="14"/>
  <c r="U134" i="14"/>
  <c r="U127" i="14"/>
  <c r="U135" i="14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C26" i="1"/>
  <c r="I48" i="1" l="1"/>
  <c r="I47" i="1"/>
  <c r="I44" i="1"/>
  <c r="I51" i="1"/>
  <c r="I50" i="1"/>
  <c r="I49" i="1"/>
  <c r="I46" i="1"/>
  <c r="I45" i="1"/>
  <c r="C25" i="1"/>
  <c r="G96" i="2"/>
  <c r="F96" i="2" s="1"/>
  <c r="A96" i="21" s="1"/>
  <c r="G95" i="2"/>
  <c r="F95" i="2" s="1"/>
  <c r="A95" i="21" s="1"/>
  <c r="G97" i="2"/>
  <c r="F97" i="2" s="1"/>
  <c r="A97" i="21" s="1"/>
  <c r="G99" i="2"/>
  <c r="F99" i="2" s="1"/>
  <c r="A99" i="21" s="1"/>
  <c r="G100" i="2"/>
  <c r="F100" i="2" s="1"/>
  <c r="A100" i="21" s="1"/>
  <c r="G101" i="2"/>
  <c r="F101" i="2" s="1"/>
  <c r="A101" i="21" s="1"/>
  <c r="G103" i="2"/>
  <c r="F103" i="2" s="1"/>
  <c r="A103" i="21" s="1"/>
  <c r="G104" i="2"/>
  <c r="F104" i="2" s="1"/>
  <c r="A104" i="21" s="1"/>
  <c r="G105" i="2"/>
  <c r="F105" i="2" s="1"/>
  <c r="A105" i="21" s="1"/>
  <c r="G107" i="2"/>
  <c r="F107" i="2" s="1"/>
  <c r="A107" i="21" s="1"/>
  <c r="G108" i="2"/>
  <c r="F108" i="2" s="1"/>
  <c r="A108" i="21" s="1"/>
  <c r="G109" i="2"/>
  <c r="F109" i="2" s="1"/>
  <c r="A109" i="21" s="1"/>
  <c r="G111" i="2"/>
  <c r="F111" i="2" s="1"/>
  <c r="A111" i="21" s="1"/>
  <c r="G112" i="2"/>
  <c r="F112" i="2" s="1"/>
  <c r="A112" i="21" s="1"/>
  <c r="G113" i="2"/>
  <c r="F113" i="2" s="1"/>
  <c r="A113" i="21" s="1"/>
  <c r="G115" i="2"/>
  <c r="F115" i="2" s="1"/>
  <c r="A115" i="21" s="1"/>
  <c r="G116" i="2"/>
  <c r="F116" i="2" s="1"/>
  <c r="A116" i="21" s="1"/>
  <c r="G117" i="2"/>
  <c r="F117" i="2" s="1"/>
  <c r="A117" i="21" s="1"/>
  <c r="G119" i="2"/>
  <c r="F119" i="2" s="1"/>
  <c r="A119" i="21" s="1"/>
  <c r="G120" i="2"/>
  <c r="F120" i="2" s="1"/>
  <c r="A120" i="21" s="1"/>
  <c r="G121" i="2"/>
  <c r="F121" i="2" s="1"/>
  <c r="A121" i="21" s="1"/>
  <c r="G123" i="2"/>
  <c r="F123" i="2" s="1"/>
  <c r="A123" i="21" s="1"/>
  <c r="G124" i="2"/>
  <c r="F124" i="2" s="1"/>
  <c r="A124" i="21" s="1"/>
  <c r="G125" i="2"/>
  <c r="F125" i="2" s="1"/>
  <c r="A125" i="21" s="1"/>
  <c r="G127" i="2"/>
  <c r="F127" i="2" s="1"/>
  <c r="A127" i="21" s="1"/>
  <c r="G128" i="2"/>
  <c r="F128" i="2" s="1"/>
  <c r="A128" i="21" s="1"/>
  <c r="G129" i="2"/>
  <c r="F129" i="2" s="1"/>
  <c r="A129" i="21" s="1"/>
  <c r="G131" i="2"/>
  <c r="F131" i="2" s="1"/>
  <c r="A131" i="21" s="1"/>
  <c r="G132" i="2"/>
  <c r="F132" i="2" s="1"/>
  <c r="A132" i="21" s="1"/>
  <c r="G133" i="2"/>
  <c r="F133" i="2" s="1"/>
  <c r="A133" i="21" s="1"/>
  <c r="G135" i="2"/>
  <c r="F135" i="2" s="1"/>
  <c r="A135" i="21" s="1"/>
  <c r="G136" i="2"/>
  <c r="F136" i="2" s="1"/>
  <c r="A136" i="21" s="1"/>
  <c r="G134" i="2" l="1"/>
  <c r="F134" i="2" s="1"/>
  <c r="A134" i="21" s="1"/>
  <c r="G130" i="2"/>
  <c r="F130" i="2" s="1"/>
  <c r="A130" i="21" s="1"/>
  <c r="G126" i="2"/>
  <c r="F126" i="2" s="1"/>
  <c r="A126" i="21" s="1"/>
  <c r="G122" i="2"/>
  <c r="F122" i="2" s="1"/>
  <c r="A122" i="21" s="1"/>
  <c r="G118" i="2"/>
  <c r="F118" i="2" s="1"/>
  <c r="A118" i="21" s="1"/>
  <c r="G114" i="2"/>
  <c r="F114" i="2" s="1"/>
  <c r="A114" i="21" s="1"/>
  <c r="G110" i="2"/>
  <c r="F110" i="2" s="1"/>
  <c r="A110" i="21" s="1"/>
  <c r="G106" i="2"/>
  <c r="F106" i="2" s="1"/>
  <c r="A106" i="21" s="1"/>
  <c r="G102" i="2"/>
  <c r="F102" i="2" s="1"/>
  <c r="A102" i="21" s="1"/>
  <c r="G98" i="2"/>
  <c r="F98" i="2" s="1"/>
  <c r="A98" i="21" s="1"/>
  <c r="G31" i="2"/>
  <c r="F31" i="2" s="1"/>
  <c r="A31" i="21" s="1"/>
  <c r="G32" i="2"/>
  <c r="F32" i="2" s="1"/>
  <c r="A32" i="21" s="1"/>
  <c r="G33" i="2"/>
  <c r="F33" i="2" s="1"/>
  <c r="A33" i="21" s="1"/>
  <c r="G34" i="2"/>
  <c r="F34" i="2" s="1"/>
  <c r="A34" i="21" s="1"/>
  <c r="G35" i="2"/>
  <c r="F35" i="2" s="1"/>
  <c r="A35" i="21" s="1"/>
  <c r="G36" i="2"/>
  <c r="F36" i="2" s="1"/>
  <c r="A36" i="21" s="1"/>
  <c r="G37" i="2"/>
  <c r="F37" i="2" s="1"/>
  <c r="A37" i="21" s="1"/>
  <c r="G38" i="2"/>
  <c r="F38" i="2" s="1"/>
  <c r="A38" i="21" s="1"/>
  <c r="G39" i="2"/>
  <c r="F39" i="2" s="1"/>
  <c r="A39" i="21" s="1"/>
  <c r="G40" i="2"/>
  <c r="F40" i="2" s="1"/>
  <c r="A40" i="21" s="1"/>
  <c r="G41" i="2"/>
  <c r="F41" i="2" s="1"/>
  <c r="A41" i="21" s="1"/>
  <c r="G42" i="2"/>
  <c r="F42" i="2" s="1"/>
  <c r="A42" i="21" s="1"/>
  <c r="G43" i="2"/>
  <c r="F43" i="2" s="1"/>
  <c r="A43" i="21" s="1"/>
  <c r="G44" i="2"/>
  <c r="F44" i="2" s="1"/>
  <c r="A44" i="21" s="1"/>
  <c r="G45" i="2"/>
  <c r="F45" i="2" s="1"/>
  <c r="A45" i="21" s="1"/>
  <c r="G46" i="2"/>
  <c r="F46" i="2" s="1"/>
  <c r="A46" i="21" s="1"/>
  <c r="G47" i="2"/>
  <c r="F47" i="2" s="1"/>
  <c r="A47" i="21" s="1"/>
  <c r="G48" i="2"/>
  <c r="F48" i="2" s="1"/>
  <c r="A48" i="21" s="1"/>
  <c r="G49" i="2"/>
  <c r="F49" i="2" s="1"/>
  <c r="A49" i="21" s="1"/>
  <c r="G50" i="2"/>
  <c r="F50" i="2" s="1"/>
  <c r="A50" i="21" s="1"/>
  <c r="G51" i="2"/>
  <c r="F51" i="2" s="1"/>
  <c r="A51" i="21" s="1"/>
  <c r="G52" i="2"/>
  <c r="F52" i="2" s="1"/>
  <c r="A52" i="21" s="1"/>
  <c r="G53" i="2"/>
  <c r="F53" i="2" s="1"/>
  <c r="A53" i="21" s="1"/>
  <c r="G54" i="2"/>
  <c r="F54" i="2" s="1"/>
  <c r="A54" i="21" s="1"/>
  <c r="G55" i="2"/>
  <c r="F55" i="2" s="1"/>
  <c r="A55" i="21" s="1"/>
  <c r="G56" i="2"/>
  <c r="F56" i="2" s="1"/>
  <c r="A56" i="21" s="1"/>
  <c r="G57" i="2"/>
  <c r="F57" i="2" s="1"/>
  <c r="A57" i="21" s="1"/>
  <c r="G58" i="2"/>
  <c r="F58" i="2" s="1"/>
  <c r="A58" i="21" s="1"/>
  <c r="G59" i="2"/>
  <c r="F59" i="2" s="1"/>
  <c r="A59" i="21" s="1"/>
  <c r="G60" i="2"/>
  <c r="F60" i="2" s="1"/>
  <c r="A60" i="21" s="1"/>
  <c r="G61" i="2"/>
  <c r="F61" i="2" s="1"/>
  <c r="A61" i="21" s="1"/>
  <c r="G62" i="2"/>
  <c r="F62" i="2" s="1"/>
  <c r="A62" i="21" s="1"/>
  <c r="G63" i="2"/>
  <c r="F63" i="2" s="1"/>
  <c r="A63" i="21" s="1"/>
  <c r="G64" i="2"/>
  <c r="F64" i="2" s="1"/>
  <c r="A64" i="21" s="1"/>
  <c r="G65" i="2"/>
  <c r="F65" i="2" s="1"/>
  <c r="A65" i="21" s="1"/>
  <c r="G66" i="2"/>
  <c r="F66" i="2" s="1"/>
  <c r="A66" i="21" s="1"/>
  <c r="G67" i="2"/>
  <c r="F67" i="2" s="1"/>
  <c r="A67" i="21" s="1"/>
  <c r="G68" i="2"/>
  <c r="F68" i="2" s="1"/>
  <c r="A68" i="21" s="1"/>
  <c r="G69" i="2"/>
  <c r="F69" i="2" s="1"/>
  <c r="A69" i="21" s="1"/>
  <c r="G70" i="2"/>
  <c r="F70" i="2" s="1"/>
  <c r="A70" i="21" s="1"/>
  <c r="G71" i="2"/>
  <c r="F71" i="2" s="1"/>
  <c r="A71" i="21" s="1"/>
  <c r="G72" i="2"/>
  <c r="F72" i="2" s="1"/>
  <c r="A72" i="21" s="1"/>
  <c r="G73" i="2"/>
  <c r="F73" i="2" s="1"/>
  <c r="A73" i="21" s="1"/>
  <c r="G74" i="2"/>
  <c r="F74" i="2" s="1"/>
  <c r="A74" i="21" s="1"/>
  <c r="G75" i="2"/>
  <c r="F75" i="2" s="1"/>
  <c r="A75" i="21" s="1"/>
  <c r="G76" i="2"/>
  <c r="F76" i="2" s="1"/>
  <c r="A76" i="21" s="1"/>
  <c r="G77" i="2"/>
  <c r="F77" i="2" s="1"/>
  <c r="A77" i="21" s="1"/>
  <c r="G78" i="2"/>
  <c r="F78" i="2" s="1"/>
  <c r="A78" i="21" s="1"/>
  <c r="G79" i="2"/>
  <c r="F79" i="2" s="1"/>
  <c r="A79" i="21" s="1"/>
  <c r="G80" i="2"/>
  <c r="F80" i="2" s="1"/>
  <c r="A80" i="21" s="1"/>
  <c r="G81" i="2"/>
  <c r="F81" i="2" s="1"/>
  <c r="A81" i="21" s="1"/>
  <c r="G82" i="2"/>
  <c r="F82" i="2" s="1"/>
  <c r="A82" i="21" s="1"/>
  <c r="G83" i="2"/>
  <c r="F83" i="2" s="1"/>
  <c r="A83" i="21" s="1"/>
  <c r="G84" i="2"/>
  <c r="F84" i="2" s="1"/>
  <c r="A84" i="21" s="1"/>
  <c r="G85" i="2"/>
  <c r="F85" i="2" s="1"/>
  <c r="A85" i="21" s="1"/>
  <c r="G86" i="2"/>
  <c r="F86" i="2" s="1"/>
  <c r="A86" i="21" s="1"/>
  <c r="G87" i="2"/>
  <c r="F87" i="2" s="1"/>
  <c r="A87" i="21" s="1"/>
  <c r="G88" i="2"/>
  <c r="F88" i="2" s="1"/>
  <c r="A88" i="21" s="1"/>
  <c r="G89" i="2"/>
  <c r="F89" i="2" s="1"/>
  <c r="A89" i="21" s="1"/>
  <c r="G90" i="2"/>
  <c r="F90" i="2" s="1"/>
  <c r="A90" i="21" s="1"/>
  <c r="G91" i="2"/>
  <c r="F91" i="2" s="1"/>
  <c r="A91" i="21" s="1"/>
  <c r="G92" i="2"/>
  <c r="F92" i="2" s="1"/>
  <c r="A92" i="21" s="1"/>
  <c r="G93" i="2"/>
  <c r="F93" i="2" s="1"/>
  <c r="A93" i="21" s="1"/>
  <c r="G94" i="2"/>
  <c r="F94" i="2" s="1"/>
  <c r="A94" i="21" s="1"/>
  <c r="B41" i="1"/>
  <c r="C3" i="1"/>
  <c r="C5" i="1" s="1"/>
  <c r="D17" i="1" s="1"/>
  <c r="C4" i="1"/>
  <c r="C6" i="1" s="1"/>
  <c r="D10" i="1" s="1"/>
  <c r="Y2" i="2" l="1"/>
  <c r="D13" i="1"/>
  <c r="D11" i="1"/>
  <c r="D15" i="1"/>
  <c r="D14" i="1"/>
  <c r="D12" i="1"/>
  <c r="D16" i="1"/>
  <c r="C7" i="1"/>
  <c r="C27" i="1" s="1"/>
  <c r="C28" i="1"/>
  <c r="G19" i="2"/>
  <c r="F19" i="2" s="1"/>
  <c r="A19" i="21" s="1"/>
  <c r="G20" i="2"/>
  <c r="F20" i="2" s="1"/>
  <c r="A20" i="21" s="1"/>
  <c r="G21" i="2"/>
  <c r="F21" i="2" s="1"/>
  <c r="A21" i="21" s="1"/>
  <c r="G22" i="2"/>
  <c r="F22" i="2" s="1"/>
  <c r="A22" i="21" s="1"/>
  <c r="G23" i="2"/>
  <c r="F23" i="2" s="1"/>
  <c r="A23" i="21" s="1"/>
  <c r="G24" i="2"/>
  <c r="F24" i="2" s="1"/>
  <c r="A24" i="21" s="1"/>
  <c r="G25" i="2"/>
  <c r="F25" i="2" s="1"/>
  <c r="A25" i="21" s="1"/>
  <c r="G26" i="2"/>
  <c r="F26" i="2" s="1"/>
  <c r="A26" i="21" s="1"/>
  <c r="G27" i="2"/>
  <c r="F27" i="2" s="1"/>
  <c r="A27" i="21" s="1"/>
  <c r="G28" i="2"/>
  <c r="F28" i="2" s="1"/>
  <c r="A28" i="21" s="1"/>
  <c r="G29" i="2"/>
  <c r="F29" i="2" s="1"/>
  <c r="A29" i="21" s="1"/>
  <c r="G30" i="2"/>
  <c r="F30" i="2" s="1"/>
  <c r="A30" i="21" s="1"/>
  <c r="AC2" i="14" l="1" a="1"/>
  <c r="Q2" i="2"/>
  <c r="W2" i="2"/>
  <c r="K2" i="2"/>
  <c r="M2" i="2"/>
  <c r="O2" i="2"/>
  <c r="S2" i="2"/>
  <c r="I2" i="2"/>
  <c r="G16" i="2"/>
  <c r="F16" i="2" s="1"/>
  <c r="A16" i="21" s="1"/>
  <c r="C8" i="1"/>
  <c r="F10" i="1" s="1"/>
  <c r="AI2" i="14" l="1"/>
  <c r="Q2" i="21" s="1"/>
  <c r="AE2" i="14"/>
  <c r="M2" i="21" s="1"/>
  <c r="AF2" i="14"/>
  <c r="N2" i="21" s="1"/>
  <c r="AD2" i="14"/>
  <c r="L2" i="21" s="1"/>
  <c r="AG2" i="14"/>
  <c r="O2" i="21" s="1"/>
  <c r="AC2" i="14"/>
  <c r="K2" i="21" s="1"/>
  <c r="AJ2" i="14"/>
  <c r="R2" i="21" s="1"/>
  <c r="AH2" i="14"/>
  <c r="P2" i="21" s="1"/>
  <c r="L44" i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A11" i="21" s="1"/>
  <c r="G2" i="2"/>
  <c r="F2" i="2" s="1"/>
  <c r="G5" i="2"/>
  <c r="F5" i="2" s="1"/>
  <c r="A5" i="21" s="1"/>
  <c r="G9" i="2"/>
  <c r="F9" i="2" s="1"/>
  <c r="A9" i="21" s="1"/>
  <c r="G13" i="2"/>
  <c r="F13" i="2" s="1"/>
  <c r="A13" i="21" s="1"/>
  <c r="G15" i="2"/>
  <c r="F15" i="2" s="1"/>
  <c r="A15" i="21" s="1"/>
  <c r="G17" i="2"/>
  <c r="F17" i="2" s="1"/>
  <c r="A17" i="21" s="1"/>
  <c r="G18" i="2"/>
  <c r="F18" i="2" s="1"/>
  <c r="A18" i="21" s="1"/>
  <c r="G14" i="2"/>
  <c r="F14" i="2" s="1"/>
  <c r="A14" i="21" s="1"/>
  <c r="G7" i="2"/>
  <c r="F7" i="2" s="1"/>
  <c r="A7" i="21" s="1"/>
  <c r="G3" i="2"/>
  <c r="F3" i="2" s="1"/>
  <c r="A3" i="21" s="1"/>
  <c r="G12" i="2"/>
  <c r="F12" i="2" s="1"/>
  <c r="A12" i="21" s="1"/>
  <c r="G10" i="2"/>
  <c r="F10" i="2" s="1"/>
  <c r="A10" i="21" s="1"/>
  <c r="G8" i="2"/>
  <c r="F8" i="2" s="1"/>
  <c r="A8" i="21" s="1"/>
  <c r="G6" i="2"/>
  <c r="F6" i="2" s="1"/>
  <c r="A6" i="21" s="1"/>
  <c r="G4" i="2"/>
  <c r="F4" i="2" s="1"/>
  <c r="A4" i="21" s="1"/>
  <c r="C33" i="1"/>
  <c r="C34" i="1" s="1"/>
  <c r="C51" i="1"/>
  <c r="F51" i="1" s="1"/>
  <c r="C50" i="1"/>
  <c r="F50" i="1" s="1"/>
  <c r="C49" i="1"/>
  <c r="F49" i="1" s="1"/>
  <c r="C48" i="1"/>
  <c r="F48" i="1" s="1"/>
  <c r="C47" i="1"/>
  <c r="F47" i="1" s="1"/>
  <c r="C46" i="1"/>
  <c r="F46" i="1" s="1"/>
  <c r="C45" i="1"/>
  <c r="F45" i="1" s="1"/>
  <c r="C44" i="1"/>
  <c r="F44" i="1" s="1"/>
  <c r="G8" i="14" l="1"/>
  <c r="I7" i="14"/>
  <c r="J9" i="14"/>
  <c r="K49" i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B12" i="22" s="1"/>
  <c r="U2" i="2"/>
  <c r="M9" i="22" l="1"/>
  <c r="J6" i="22"/>
  <c r="G4" i="22"/>
  <c r="G31" i="22" s="1"/>
  <c r="F3" i="22"/>
  <c r="F30" i="22" s="1"/>
  <c r="L8" i="22"/>
  <c r="I6" i="22"/>
  <c r="I33" i="22" s="1"/>
  <c r="H4" i="22"/>
  <c r="L2" i="22"/>
  <c r="K7" i="22"/>
  <c r="H5" i="22"/>
  <c r="H32" i="22" s="1"/>
  <c r="M3" i="22"/>
  <c r="M30" i="22" s="1"/>
  <c r="F2" i="22"/>
  <c r="K6" i="22"/>
  <c r="K33" i="22" s="1"/>
  <c r="I5" i="22"/>
  <c r="G3" i="22"/>
  <c r="B12" i="14"/>
  <c r="C20" i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R2" i="2" s="1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F3" i="14" l="1"/>
  <c r="K2" i="14"/>
  <c r="K6" i="14"/>
  <c r="L2" i="14"/>
  <c r="I24" i="22"/>
  <c r="I32" i="22"/>
  <c r="I42" i="22" s="1"/>
  <c r="F24" i="22"/>
  <c r="O2" i="22" a="1"/>
  <c r="F14" i="22" a="1"/>
  <c r="F29" i="22"/>
  <c r="F42" i="22" s="1"/>
  <c r="G168" i="22"/>
  <c r="L29" i="22"/>
  <c r="J24" i="22"/>
  <c r="J33" i="22"/>
  <c r="J42" i="22" s="1"/>
  <c r="G24" i="22"/>
  <c r="G30" i="22"/>
  <c r="G42" i="22" s="1"/>
  <c r="K24" i="22"/>
  <c r="K34" i="22"/>
  <c r="K42" i="22" s="1"/>
  <c r="H24" i="22"/>
  <c r="H31" i="22"/>
  <c r="H42" i="22" s="1"/>
  <c r="L24" i="22"/>
  <c r="L35" i="22"/>
  <c r="L42" i="22" s="1"/>
  <c r="M24" i="22"/>
  <c r="M36" i="22"/>
  <c r="Q3" i="2"/>
  <c r="R3" i="2" s="1"/>
  <c r="J2" i="2"/>
  <c r="I5" i="14"/>
  <c r="I6" i="14"/>
  <c r="G4" i="14"/>
  <c r="H4" i="14"/>
  <c r="J6" i="14"/>
  <c r="H5" i="14"/>
  <c r="K7" i="14"/>
  <c r="M9" i="14"/>
  <c r="G3" i="14"/>
  <c r="M3" i="14"/>
  <c r="L8" i="14"/>
  <c r="F2" i="14"/>
  <c r="I3" i="2"/>
  <c r="B3" i="21" s="1"/>
  <c r="P3" i="23" s="1"/>
  <c r="Z2" i="2"/>
  <c r="Y3" i="2" s="1"/>
  <c r="X2" i="2"/>
  <c r="W3" i="2" s="1"/>
  <c r="L2" i="2"/>
  <c r="K3" i="2" s="1"/>
  <c r="T2" i="2"/>
  <c r="S3" i="2" s="1"/>
  <c r="N2" i="2"/>
  <c r="M3" i="2" s="1"/>
  <c r="P2" i="2"/>
  <c r="O3" i="2" s="1"/>
  <c r="F75" i="22" a="1"/>
  <c r="F45" i="22" a="1"/>
  <c r="F85" i="22" a="1"/>
  <c r="F55" i="22" a="1"/>
  <c r="F95" i="22" a="1"/>
  <c r="F65" i="22" a="1"/>
  <c r="F105" i="22" a="1"/>
  <c r="C43" i="22" a="1"/>
  <c r="C50" i="22" l="1"/>
  <c r="C46" i="22"/>
  <c r="C49" i="22"/>
  <c r="C51" i="22"/>
  <c r="C43" i="22"/>
  <c r="C48" i="22"/>
  <c r="C44" i="22"/>
  <c r="C45" i="22"/>
  <c r="C47" i="22"/>
  <c r="K112" i="22"/>
  <c r="G112" i="22"/>
  <c r="K111" i="22"/>
  <c r="G111" i="22"/>
  <c r="K110" i="22"/>
  <c r="G110" i="22"/>
  <c r="K109" i="22"/>
  <c r="G109" i="22"/>
  <c r="K108" i="22"/>
  <c r="G108" i="22"/>
  <c r="K107" i="22"/>
  <c r="G107" i="22"/>
  <c r="K106" i="22"/>
  <c r="G106" i="22"/>
  <c r="K105" i="22"/>
  <c r="G105" i="22"/>
  <c r="H112" i="22"/>
  <c r="H111" i="22"/>
  <c r="H110" i="22"/>
  <c r="H109" i="22"/>
  <c r="H108" i="22"/>
  <c r="H107" i="22"/>
  <c r="H106" i="22"/>
  <c r="H105" i="22"/>
  <c r="J111" i="22"/>
  <c r="J109" i="22"/>
  <c r="J107" i="22"/>
  <c r="J105" i="22"/>
  <c r="F111" i="22"/>
  <c r="F109" i="22"/>
  <c r="F107" i="22"/>
  <c r="F105" i="22"/>
  <c r="M112" i="22"/>
  <c r="I112" i="22"/>
  <c r="M111" i="22"/>
  <c r="I111" i="22"/>
  <c r="M110" i="22"/>
  <c r="I110" i="22"/>
  <c r="M109" i="22"/>
  <c r="I109" i="22"/>
  <c r="M108" i="22"/>
  <c r="I108" i="22"/>
  <c r="M107" i="22"/>
  <c r="I107" i="22"/>
  <c r="M106" i="22"/>
  <c r="I106" i="22"/>
  <c r="M105" i="22"/>
  <c r="I105" i="22"/>
  <c r="L112" i="22"/>
  <c r="L111" i="22"/>
  <c r="L110" i="22"/>
  <c r="L109" i="22"/>
  <c r="L108" i="22"/>
  <c r="L107" i="22"/>
  <c r="L106" i="22"/>
  <c r="L105" i="22"/>
  <c r="J112" i="22"/>
  <c r="J110" i="22"/>
  <c r="J108" i="22"/>
  <c r="J106" i="22"/>
  <c r="F112" i="22"/>
  <c r="F110" i="22"/>
  <c r="F108" i="22"/>
  <c r="F106" i="22"/>
  <c r="L127" i="22" s="1"/>
  <c r="J72" i="22"/>
  <c r="F72" i="22"/>
  <c r="J71" i="22"/>
  <c r="F71" i="22"/>
  <c r="J70" i="22"/>
  <c r="F70" i="22"/>
  <c r="J69" i="22"/>
  <c r="F69" i="22"/>
  <c r="J68" i="22"/>
  <c r="F68" i="22"/>
  <c r="J67" i="22"/>
  <c r="F67" i="22"/>
  <c r="J66" i="22"/>
  <c r="F66" i="22"/>
  <c r="J65" i="22"/>
  <c r="F65" i="22"/>
  <c r="G72" i="22"/>
  <c r="L72" i="22"/>
  <c r="H72" i="22"/>
  <c r="L71" i="22"/>
  <c r="H71" i="22"/>
  <c r="L70" i="22"/>
  <c r="H70" i="22"/>
  <c r="L69" i="22"/>
  <c r="H69" i="22"/>
  <c r="L68" i="22"/>
  <c r="H68" i="22"/>
  <c r="L67" i="22"/>
  <c r="H67" i="22"/>
  <c r="L66" i="22"/>
  <c r="H66" i="22"/>
  <c r="L65" i="22"/>
  <c r="H65" i="22"/>
  <c r="K72" i="22"/>
  <c r="K71" i="22"/>
  <c r="K70" i="22"/>
  <c r="K69" i="22"/>
  <c r="K68" i="22"/>
  <c r="K67" i="22"/>
  <c r="K66" i="22"/>
  <c r="K65" i="22"/>
  <c r="M72" i="22"/>
  <c r="M71" i="22"/>
  <c r="M70" i="22"/>
  <c r="M69" i="22"/>
  <c r="M68" i="22"/>
  <c r="M67" i="22"/>
  <c r="M66" i="22"/>
  <c r="M65" i="22"/>
  <c r="G71" i="22"/>
  <c r="G69" i="22"/>
  <c r="G67" i="22"/>
  <c r="G65" i="22"/>
  <c r="I71" i="22"/>
  <c r="I69" i="22"/>
  <c r="I67" i="22"/>
  <c r="I65" i="22"/>
  <c r="G70" i="22"/>
  <c r="G68" i="22"/>
  <c r="G66" i="22"/>
  <c r="I72" i="22"/>
  <c r="I70" i="22"/>
  <c r="I68" i="22"/>
  <c r="I66" i="22"/>
  <c r="L102" i="22"/>
  <c r="H102" i="22"/>
  <c r="L101" i="22"/>
  <c r="H101" i="22"/>
  <c r="L100" i="22"/>
  <c r="H100" i="22"/>
  <c r="L99" i="22"/>
  <c r="M102" i="22"/>
  <c r="M101" i="22"/>
  <c r="M100" i="22"/>
  <c r="M99" i="22"/>
  <c r="G99" i="22"/>
  <c r="K98" i="22"/>
  <c r="G98" i="22"/>
  <c r="K97" i="22"/>
  <c r="G97" i="22"/>
  <c r="K96" i="22"/>
  <c r="G96" i="22"/>
  <c r="K95" i="22"/>
  <c r="G95" i="22"/>
  <c r="G101" i="22"/>
  <c r="H99" i="22"/>
  <c r="H98" i="22"/>
  <c r="H97" i="22"/>
  <c r="H96" i="22"/>
  <c r="H95" i="22"/>
  <c r="K101" i="22"/>
  <c r="K99" i="22"/>
  <c r="J98" i="22"/>
  <c r="J97" i="22"/>
  <c r="J96" i="22"/>
  <c r="J95" i="22"/>
  <c r="J102" i="22"/>
  <c r="F102" i="22"/>
  <c r="J101" i="22"/>
  <c r="F101" i="22"/>
  <c r="J100" i="22"/>
  <c r="F100" i="22"/>
  <c r="J99" i="22"/>
  <c r="I102" i="22"/>
  <c r="I101" i="22"/>
  <c r="I100" i="22"/>
  <c r="I99" i="22"/>
  <c r="M98" i="22"/>
  <c r="I98" i="22"/>
  <c r="M97" i="22"/>
  <c r="I97" i="22"/>
  <c r="M96" i="22"/>
  <c r="I96" i="22"/>
  <c r="M95" i="22"/>
  <c r="I95" i="22"/>
  <c r="G102" i="22"/>
  <c r="G100" i="22"/>
  <c r="L98" i="22"/>
  <c r="L97" i="22"/>
  <c r="L96" i="22"/>
  <c r="L95" i="22"/>
  <c r="K102" i="22"/>
  <c r="K100" i="22"/>
  <c r="F99" i="22"/>
  <c r="F98" i="22"/>
  <c r="F97" i="22"/>
  <c r="F96" i="22"/>
  <c r="F95" i="22"/>
  <c r="K126" i="22" s="1"/>
  <c r="M62" i="22"/>
  <c r="I62" i="22"/>
  <c r="M61" i="22"/>
  <c r="I61" i="22"/>
  <c r="M60" i="22"/>
  <c r="I60" i="22"/>
  <c r="M59" i="22"/>
  <c r="I59" i="22"/>
  <c r="M58" i="22"/>
  <c r="I58" i="22"/>
  <c r="M57" i="22"/>
  <c r="I57" i="22"/>
  <c r="M56" i="22"/>
  <c r="I56" i="22"/>
  <c r="M55" i="22"/>
  <c r="I55" i="22"/>
  <c r="L62" i="22"/>
  <c r="L61" i="22"/>
  <c r="L60" i="22"/>
  <c r="G62" i="22"/>
  <c r="G61" i="22"/>
  <c r="G60" i="22"/>
  <c r="G59" i="22"/>
  <c r="G58" i="22"/>
  <c r="G57" i="22"/>
  <c r="G56" i="22"/>
  <c r="G55" i="22"/>
  <c r="H61" i="22"/>
  <c r="L59" i="22"/>
  <c r="L58" i="22"/>
  <c r="L57" i="22"/>
  <c r="L56" i="22"/>
  <c r="L55" i="22"/>
  <c r="J62" i="22"/>
  <c r="J61" i="22"/>
  <c r="J60" i="22"/>
  <c r="J59" i="22"/>
  <c r="J58" i="22"/>
  <c r="J57" i="22"/>
  <c r="J56" i="22"/>
  <c r="J55" i="22"/>
  <c r="K62" i="22"/>
  <c r="K61" i="22"/>
  <c r="K60" i="22"/>
  <c r="K59" i="22"/>
  <c r="K58" i="22"/>
  <c r="K57" i="22"/>
  <c r="K56" i="22"/>
  <c r="K55" i="22"/>
  <c r="H62" i="22"/>
  <c r="H60" i="22"/>
  <c r="H59" i="22"/>
  <c r="H58" i="22"/>
  <c r="H57" i="22"/>
  <c r="H56" i="22"/>
  <c r="H55" i="22"/>
  <c r="F62" i="22"/>
  <c r="F61" i="22"/>
  <c r="F60" i="22"/>
  <c r="F59" i="22"/>
  <c r="F58" i="22"/>
  <c r="F57" i="22"/>
  <c r="F56" i="22"/>
  <c r="F55" i="22"/>
  <c r="G126" i="22" s="1"/>
  <c r="L92" i="22"/>
  <c r="H92" i="22"/>
  <c r="L91" i="22"/>
  <c r="H91" i="22"/>
  <c r="L90" i="22"/>
  <c r="H90" i="22"/>
  <c r="L89" i="22"/>
  <c r="H89" i="22"/>
  <c r="L88" i="22"/>
  <c r="H88" i="22"/>
  <c r="L87" i="22"/>
  <c r="H87" i="22"/>
  <c r="L86" i="22"/>
  <c r="H86" i="22"/>
  <c r="L85" i="22"/>
  <c r="H85" i="22"/>
  <c r="M92" i="22"/>
  <c r="M91" i="22"/>
  <c r="M90" i="22"/>
  <c r="M89" i="22"/>
  <c r="M88" i="22"/>
  <c r="M87" i="22"/>
  <c r="M86" i="22"/>
  <c r="M85" i="22"/>
  <c r="K92" i="22"/>
  <c r="K91" i="22"/>
  <c r="K90" i="22"/>
  <c r="K89" i="22"/>
  <c r="K88" i="22"/>
  <c r="K87" i="22"/>
  <c r="K86" i="22"/>
  <c r="K85" i="22"/>
  <c r="F92" i="22"/>
  <c r="F91" i="22"/>
  <c r="F90" i="22"/>
  <c r="F89" i="22"/>
  <c r="F88" i="22"/>
  <c r="F87" i="22"/>
  <c r="F86" i="22"/>
  <c r="F85" i="22"/>
  <c r="I91" i="22"/>
  <c r="I89" i="22"/>
  <c r="I87" i="22"/>
  <c r="I85" i="22"/>
  <c r="G91" i="22"/>
  <c r="G89" i="22"/>
  <c r="G87" i="22"/>
  <c r="G85" i="22"/>
  <c r="J92" i="22"/>
  <c r="J91" i="22"/>
  <c r="J90" i="22"/>
  <c r="J89" i="22"/>
  <c r="J88" i="22"/>
  <c r="J87" i="22"/>
  <c r="J86" i="22"/>
  <c r="J85" i="22"/>
  <c r="I92" i="22"/>
  <c r="I90" i="22"/>
  <c r="I88" i="22"/>
  <c r="I86" i="22"/>
  <c r="G92" i="22"/>
  <c r="G90" i="22"/>
  <c r="G88" i="22"/>
  <c r="G86" i="22"/>
  <c r="J52" i="22"/>
  <c r="F52" i="22"/>
  <c r="J51" i="22"/>
  <c r="F51" i="22"/>
  <c r="J50" i="22"/>
  <c r="F50" i="22"/>
  <c r="J49" i="22"/>
  <c r="F49" i="22"/>
  <c r="J48" i="22"/>
  <c r="F48" i="22"/>
  <c r="J47" i="22"/>
  <c r="F47" i="22"/>
  <c r="J46" i="22"/>
  <c r="F46" i="22"/>
  <c r="J45" i="22"/>
  <c r="F45" i="22"/>
  <c r="I52" i="22"/>
  <c r="I51" i="22"/>
  <c r="I50" i="22"/>
  <c r="I49" i="22"/>
  <c r="I48" i="22"/>
  <c r="I47" i="22"/>
  <c r="I46" i="22"/>
  <c r="I45" i="22"/>
  <c r="G52" i="22"/>
  <c r="G51" i="22"/>
  <c r="G50" i="22"/>
  <c r="G49" i="22"/>
  <c r="G48" i="22"/>
  <c r="G47" i="22"/>
  <c r="G46" i="22"/>
  <c r="G45" i="22"/>
  <c r="L52" i="22"/>
  <c r="H52" i="22"/>
  <c r="L51" i="22"/>
  <c r="H51" i="22"/>
  <c r="L50" i="22"/>
  <c r="H50" i="22"/>
  <c r="L49" i="22"/>
  <c r="H49" i="22"/>
  <c r="L48" i="22"/>
  <c r="H48" i="22"/>
  <c r="L47" i="22"/>
  <c r="H47" i="22"/>
  <c r="L46" i="22"/>
  <c r="H46" i="22"/>
  <c r="L45" i="22"/>
  <c r="H45" i="22"/>
  <c r="M52" i="22"/>
  <c r="M51" i="22"/>
  <c r="M50" i="22"/>
  <c r="M49" i="22"/>
  <c r="M48" i="22"/>
  <c r="M47" i="22"/>
  <c r="M46" i="22"/>
  <c r="M45" i="22"/>
  <c r="K52" i="22"/>
  <c r="K51" i="22"/>
  <c r="K50" i="22"/>
  <c r="K49" i="22"/>
  <c r="K48" i="22"/>
  <c r="K47" i="22"/>
  <c r="K46" i="22"/>
  <c r="K45" i="22"/>
  <c r="M82" i="22"/>
  <c r="I82" i="22"/>
  <c r="M81" i="22"/>
  <c r="I81" i="22"/>
  <c r="M80" i="22"/>
  <c r="I80" i="22"/>
  <c r="M79" i="22"/>
  <c r="I79" i="22"/>
  <c r="M78" i="22"/>
  <c r="I78" i="22"/>
  <c r="M77" i="22"/>
  <c r="I77" i="22"/>
  <c r="M76" i="22"/>
  <c r="I76" i="22"/>
  <c r="M75" i="22"/>
  <c r="I75" i="22"/>
  <c r="J82" i="22"/>
  <c r="J81" i="22"/>
  <c r="G82" i="22"/>
  <c r="G81" i="22"/>
  <c r="G80" i="22"/>
  <c r="G79" i="22"/>
  <c r="G78" i="22"/>
  <c r="G77" i="22"/>
  <c r="G76" i="22"/>
  <c r="G75" i="22"/>
  <c r="F81" i="22"/>
  <c r="F80" i="22"/>
  <c r="F79" i="22"/>
  <c r="F78" i="22"/>
  <c r="F77" i="22"/>
  <c r="F76" i="22"/>
  <c r="F75" i="22"/>
  <c r="H82" i="22"/>
  <c r="H81" i="22"/>
  <c r="H80" i="22"/>
  <c r="H79" i="22"/>
  <c r="H78" i="22"/>
  <c r="H77" i="22"/>
  <c r="H76" i="22"/>
  <c r="H75" i="22"/>
  <c r="K82" i="22"/>
  <c r="K81" i="22"/>
  <c r="K80" i="22"/>
  <c r="K79" i="22"/>
  <c r="K78" i="22"/>
  <c r="K77" i="22"/>
  <c r="K76" i="22"/>
  <c r="K75" i="22"/>
  <c r="F82" i="22"/>
  <c r="J80" i="22"/>
  <c r="J79" i="22"/>
  <c r="J78" i="22"/>
  <c r="J77" i="22"/>
  <c r="J76" i="22"/>
  <c r="J75" i="22"/>
  <c r="L82" i="22"/>
  <c r="L81" i="22"/>
  <c r="L80" i="22"/>
  <c r="L79" i="22"/>
  <c r="L78" i="22"/>
  <c r="L77" i="22"/>
  <c r="L76" i="22"/>
  <c r="L75" i="22"/>
  <c r="M42" i="22"/>
  <c r="O9" i="22"/>
  <c r="O5" i="22"/>
  <c r="O8" i="22"/>
  <c r="O4" i="22"/>
  <c r="O3" i="22"/>
  <c r="O6" i="22"/>
  <c r="O7" i="22"/>
  <c r="O2" i="22"/>
  <c r="J3" i="2"/>
  <c r="L21" i="22"/>
  <c r="H21" i="22"/>
  <c r="L20" i="22"/>
  <c r="H20" i="22"/>
  <c r="L19" i="22"/>
  <c r="H19" i="22"/>
  <c r="L18" i="22"/>
  <c r="H18" i="22"/>
  <c r="L17" i="22"/>
  <c r="H17" i="22"/>
  <c r="L16" i="22"/>
  <c r="H16" i="22"/>
  <c r="L15" i="22"/>
  <c r="H15" i="22"/>
  <c r="L14" i="22"/>
  <c r="H14" i="22"/>
  <c r="M21" i="22"/>
  <c r="I21" i="22"/>
  <c r="M20" i="22"/>
  <c r="I20" i="22"/>
  <c r="M19" i="22"/>
  <c r="I19" i="22"/>
  <c r="M18" i="22"/>
  <c r="I18" i="22"/>
  <c r="M17" i="22"/>
  <c r="I17" i="22"/>
  <c r="M16" i="22"/>
  <c r="I16" i="22"/>
  <c r="M15" i="22"/>
  <c r="I15" i="22"/>
  <c r="M14" i="22"/>
  <c r="I14" i="22"/>
  <c r="J21" i="22"/>
  <c r="J20" i="22"/>
  <c r="F20" i="22"/>
  <c r="J19" i="22"/>
  <c r="J18" i="22"/>
  <c r="F18" i="22"/>
  <c r="F17" i="22"/>
  <c r="F16" i="22"/>
  <c r="F15" i="22"/>
  <c r="F14" i="22"/>
  <c r="K21" i="22"/>
  <c r="K20" i="22"/>
  <c r="K19" i="22"/>
  <c r="K18" i="22"/>
  <c r="K17" i="22"/>
  <c r="K16" i="22"/>
  <c r="G16" i="22"/>
  <c r="G15" i="22"/>
  <c r="G14" i="22"/>
  <c r="F21" i="22"/>
  <c r="F19" i="22"/>
  <c r="J17" i="22"/>
  <c r="J16" i="22"/>
  <c r="J15" i="22"/>
  <c r="J14" i="22"/>
  <c r="G21" i="22"/>
  <c r="G20" i="22"/>
  <c r="G19" i="22"/>
  <c r="G18" i="22"/>
  <c r="G17" i="22"/>
  <c r="K15" i="22"/>
  <c r="K14" i="22"/>
  <c r="F3" i="21"/>
  <c r="T3" i="23" s="1"/>
  <c r="H3" i="21"/>
  <c r="V3" i="23" s="1"/>
  <c r="D3" i="21"/>
  <c r="R3" i="23" s="1"/>
  <c r="C3" i="21"/>
  <c r="Q3" i="23" s="1"/>
  <c r="E3" i="21"/>
  <c r="S3" i="23" s="1"/>
  <c r="G3" i="21"/>
  <c r="U3" i="23" s="1"/>
  <c r="I3" i="21"/>
  <c r="W3" i="23" s="1"/>
  <c r="Q4" i="2"/>
  <c r="Z3" i="2"/>
  <c r="Y4" i="2" s="1"/>
  <c r="P3" i="2"/>
  <c r="O4" i="2" s="1"/>
  <c r="L3" i="2"/>
  <c r="K4" i="2" s="1"/>
  <c r="N3" i="2"/>
  <c r="M4" i="2" s="1"/>
  <c r="U3" i="2"/>
  <c r="I4" i="2"/>
  <c r="T3" i="2"/>
  <c r="S4" i="2" s="1"/>
  <c r="X3" i="2"/>
  <c r="W4" i="2" s="1"/>
  <c r="AA3" i="2"/>
  <c r="D44" i="22" a="1"/>
  <c r="F115" i="22" a="1"/>
  <c r="AX3" i="23" l="1"/>
  <c r="BC3" i="23" s="1"/>
  <c r="J122" i="22"/>
  <c r="F122" i="22"/>
  <c r="J121" i="22"/>
  <c r="F121" i="22"/>
  <c r="J120" i="22"/>
  <c r="F120" i="22"/>
  <c r="J119" i="22"/>
  <c r="L122" i="22"/>
  <c r="H122" i="22"/>
  <c r="L121" i="22"/>
  <c r="H121" i="22"/>
  <c r="L120" i="22"/>
  <c r="H120" i="22"/>
  <c r="L119" i="22"/>
  <c r="H119" i="22"/>
  <c r="L118" i="22"/>
  <c r="H118" i="22"/>
  <c r="L117" i="22"/>
  <c r="H117" i="22"/>
  <c r="L116" i="22"/>
  <c r="H116" i="22"/>
  <c r="L115" i="22"/>
  <c r="H115" i="22"/>
  <c r="K122" i="22"/>
  <c r="K121" i="22"/>
  <c r="K120" i="22"/>
  <c r="K119" i="22"/>
  <c r="K118" i="22"/>
  <c r="K117" i="22"/>
  <c r="K116" i="22"/>
  <c r="K115" i="22"/>
  <c r="M122" i="22"/>
  <c r="M120" i="22"/>
  <c r="M118" i="22"/>
  <c r="M116" i="22"/>
  <c r="I122" i="22"/>
  <c r="I120" i="22"/>
  <c r="I118" i="22"/>
  <c r="I116" i="22"/>
  <c r="F119" i="22"/>
  <c r="F118" i="22"/>
  <c r="F117" i="22"/>
  <c r="F116" i="22"/>
  <c r="F115" i="22"/>
  <c r="G121" i="22"/>
  <c r="G119" i="22"/>
  <c r="G117" i="22"/>
  <c r="G115" i="22"/>
  <c r="M119" i="22"/>
  <c r="M115" i="22"/>
  <c r="I119" i="22"/>
  <c r="I115" i="22"/>
  <c r="J118" i="22"/>
  <c r="J117" i="22"/>
  <c r="J116" i="22"/>
  <c r="J115" i="22"/>
  <c r="G122" i="22"/>
  <c r="G120" i="22"/>
  <c r="G118" i="22"/>
  <c r="G116" i="22"/>
  <c r="M121" i="22"/>
  <c r="M117" i="22"/>
  <c r="I121" i="22"/>
  <c r="I117" i="22"/>
  <c r="E51" i="22"/>
  <c r="E49" i="22"/>
  <c r="E47" i="22"/>
  <c r="E45" i="22"/>
  <c r="D51" i="22"/>
  <c r="D47" i="22"/>
  <c r="D50" i="22"/>
  <c r="D46" i="22"/>
  <c r="E50" i="22"/>
  <c r="E48" i="22"/>
  <c r="E46" i="22"/>
  <c r="E44" i="22"/>
  <c r="D49" i="22"/>
  <c r="D45" i="22"/>
  <c r="D48" i="22"/>
  <c r="D44" i="22"/>
  <c r="J4" i="2"/>
  <c r="R4" i="2"/>
  <c r="I133" i="22"/>
  <c r="I127" i="22"/>
  <c r="I129" i="22"/>
  <c r="I131" i="22"/>
  <c r="F126" i="22"/>
  <c r="F127" i="22"/>
  <c r="F128" i="22"/>
  <c r="F129" i="22"/>
  <c r="F130" i="22"/>
  <c r="F131" i="22"/>
  <c r="F132" i="22"/>
  <c r="F133" i="22"/>
  <c r="J126" i="22"/>
  <c r="J128" i="22"/>
  <c r="J130" i="22"/>
  <c r="J132" i="22"/>
  <c r="G128" i="22"/>
  <c r="G130" i="22"/>
  <c r="G132" i="22"/>
  <c r="K128" i="22"/>
  <c r="K130" i="22"/>
  <c r="K131" i="22"/>
  <c r="K132" i="22"/>
  <c r="K133" i="22"/>
  <c r="H126" i="22"/>
  <c r="H127" i="22"/>
  <c r="H128" i="22"/>
  <c r="H129" i="22"/>
  <c r="H130" i="22"/>
  <c r="H131" i="22"/>
  <c r="H132" i="22"/>
  <c r="H133" i="22"/>
  <c r="L131" i="22"/>
  <c r="L126" i="22"/>
  <c r="L130" i="22"/>
  <c r="O12" i="22" a="1"/>
  <c r="I126" i="22"/>
  <c r="I128" i="22"/>
  <c r="I130" i="22"/>
  <c r="I132" i="22"/>
  <c r="J127" i="22"/>
  <c r="J129" i="22"/>
  <c r="J131" i="22"/>
  <c r="J133" i="22"/>
  <c r="G127" i="22"/>
  <c r="G129" i="22"/>
  <c r="G131" i="22"/>
  <c r="G133" i="22"/>
  <c r="K127" i="22"/>
  <c r="K129" i="22"/>
  <c r="L129" i="22"/>
  <c r="L133" i="22"/>
  <c r="L128" i="22"/>
  <c r="L132" i="22"/>
  <c r="B4" i="21"/>
  <c r="P4" i="23" s="1"/>
  <c r="H4" i="21"/>
  <c r="V4" i="23" s="1"/>
  <c r="AI3" i="23" s="1"/>
  <c r="D4" i="21"/>
  <c r="R4" i="23" s="1"/>
  <c r="E4" i="21"/>
  <c r="S4" i="23" s="1"/>
  <c r="AF3" i="23" s="1"/>
  <c r="G4" i="21"/>
  <c r="U4" i="23" s="1"/>
  <c r="I4" i="21"/>
  <c r="W4" i="23" s="1"/>
  <c r="AJ3" i="23" s="1"/>
  <c r="F4" i="21"/>
  <c r="T4" i="23" s="1"/>
  <c r="C4" i="21"/>
  <c r="Q4" i="23" s="1"/>
  <c r="Q5" i="2"/>
  <c r="Z4" i="2"/>
  <c r="Y5" i="2" s="1"/>
  <c r="P4" i="2"/>
  <c r="O5" i="2" s="1"/>
  <c r="T4" i="2"/>
  <c r="S5" i="2" s="1"/>
  <c r="X4" i="2"/>
  <c r="W5" i="2" s="1"/>
  <c r="N4" i="2"/>
  <c r="M5" i="2" s="1"/>
  <c r="I5" i="2"/>
  <c r="J5" i="2" s="1"/>
  <c r="AA4" i="2"/>
  <c r="L4" i="2"/>
  <c r="K5" i="2" s="1"/>
  <c r="U4" i="2"/>
  <c r="AD3" i="23" l="1"/>
  <c r="BC4" i="23"/>
  <c r="AG3" i="23"/>
  <c r="BD4" i="23"/>
  <c r="AH3" i="23"/>
  <c r="AE3" i="23"/>
  <c r="AY4" i="23"/>
  <c r="AX4" i="23"/>
  <c r="BB4" i="23" s="1"/>
  <c r="AC3" i="23"/>
  <c r="AZ3" i="23"/>
  <c r="BB3" i="23"/>
  <c r="AY3" i="23"/>
  <c r="BD3" i="23"/>
  <c r="BA3" i="23"/>
  <c r="R5" i="2"/>
  <c r="Q6" i="2" s="1"/>
  <c r="R6" i="2" s="1"/>
  <c r="M127" i="22"/>
  <c r="M129" i="22"/>
  <c r="O17" i="22"/>
  <c r="O14" i="22"/>
  <c r="O15" i="22"/>
  <c r="O12" i="22"/>
  <c r="O13" i="22"/>
  <c r="O18" i="22"/>
  <c r="O19" i="22"/>
  <c r="O16" i="22"/>
  <c r="M126" i="22"/>
  <c r="M128" i="22"/>
  <c r="M130" i="22"/>
  <c r="M131" i="22"/>
  <c r="M132" i="22"/>
  <c r="M133" i="22"/>
  <c r="B5" i="21"/>
  <c r="P5" i="23" s="1"/>
  <c r="E5" i="21"/>
  <c r="S5" i="23" s="1"/>
  <c r="G5" i="21"/>
  <c r="U5" i="23" s="1"/>
  <c r="I5" i="21"/>
  <c r="W5" i="23" s="1"/>
  <c r="F5" i="21"/>
  <c r="T5" i="23" s="1"/>
  <c r="C5" i="21"/>
  <c r="Q5" i="23" s="1"/>
  <c r="H5" i="21"/>
  <c r="V5" i="23" s="1"/>
  <c r="D5" i="21"/>
  <c r="R5" i="23" s="1"/>
  <c r="Z5" i="2"/>
  <c r="Y6" i="2" s="1"/>
  <c r="P5" i="2"/>
  <c r="O6" i="2" s="1"/>
  <c r="N5" i="2"/>
  <c r="M6" i="2" s="1"/>
  <c r="T5" i="2"/>
  <c r="S6" i="2" s="1"/>
  <c r="X5" i="2"/>
  <c r="W6" i="2" s="1"/>
  <c r="I6" i="2"/>
  <c r="L5" i="2"/>
  <c r="K6" i="2" s="1"/>
  <c r="AA5" i="2"/>
  <c r="U5" i="2"/>
  <c r="F189" i="22" l="1" a="1"/>
  <c r="F136" i="22" a="1"/>
  <c r="I143" i="22" s="1"/>
  <c r="AZ5" i="23"/>
  <c r="BD5" i="23"/>
  <c r="AX5" i="23"/>
  <c r="BB5" i="23" s="1"/>
  <c r="AY5" i="23"/>
  <c r="BA4" i="23"/>
  <c r="AZ4" i="23"/>
  <c r="BA5" i="23"/>
  <c r="M143" i="22"/>
  <c r="M141" i="22"/>
  <c r="M139" i="22"/>
  <c r="M137" i="22"/>
  <c r="J143" i="22"/>
  <c r="J139" i="22"/>
  <c r="L143" i="22"/>
  <c r="H142" i="22"/>
  <c r="K143" i="22"/>
  <c r="K141" i="22"/>
  <c r="K139" i="22"/>
  <c r="G138" i="22"/>
  <c r="G137" i="22"/>
  <c r="G136" i="22"/>
  <c r="F141" i="22"/>
  <c r="F138" i="22"/>
  <c r="F136" i="22"/>
  <c r="L138" i="22"/>
  <c r="H140" i="22"/>
  <c r="H141" i="22"/>
  <c r="M196" i="22"/>
  <c r="M205" i="22" s="1"/>
  <c r="I196" i="22"/>
  <c r="I205" i="22" s="1"/>
  <c r="M195" i="22"/>
  <c r="M204" i="22" s="1"/>
  <c r="I195" i="22"/>
  <c r="I204" i="22" s="1"/>
  <c r="M194" i="22"/>
  <c r="M203" i="22" s="1"/>
  <c r="I194" i="22"/>
  <c r="I203" i="22" s="1"/>
  <c r="M193" i="22"/>
  <c r="M202" i="22" s="1"/>
  <c r="I193" i="22"/>
  <c r="I202" i="22" s="1"/>
  <c r="M192" i="22"/>
  <c r="M201" i="22" s="1"/>
  <c r="I192" i="22"/>
  <c r="I201" i="22" s="1"/>
  <c r="M191" i="22"/>
  <c r="M200" i="22" s="1"/>
  <c r="I191" i="22"/>
  <c r="I200" i="22" s="1"/>
  <c r="M190" i="22"/>
  <c r="M199" i="22" s="1"/>
  <c r="I190" i="22"/>
  <c r="I199" i="22" s="1"/>
  <c r="M189" i="22"/>
  <c r="M198" i="22" s="1"/>
  <c r="M207" i="22" s="1"/>
  <c r="I189" i="22"/>
  <c r="I198" i="22" s="1"/>
  <c r="I207" i="22" s="1"/>
  <c r="L196" i="22"/>
  <c r="L205" i="22" s="1"/>
  <c r="L195" i="22"/>
  <c r="L204" i="22" s="1"/>
  <c r="L194" i="22"/>
  <c r="L203" i="22" s="1"/>
  <c r="L193" i="22"/>
  <c r="L202" i="22" s="1"/>
  <c r="L192" i="22"/>
  <c r="L201" i="22" s="1"/>
  <c r="L191" i="22"/>
  <c r="L200" i="22" s="1"/>
  <c r="L190" i="22"/>
  <c r="L199" i="22" s="1"/>
  <c r="L189" i="22"/>
  <c r="L198" i="22" s="1"/>
  <c r="L207" i="22" s="1"/>
  <c r="J196" i="22"/>
  <c r="J205" i="22" s="1"/>
  <c r="J194" i="22"/>
  <c r="J203" i="22" s="1"/>
  <c r="J192" i="22"/>
  <c r="J201" i="22" s="1"/>
  <c r="J190" i="22"/>
  <c r="J199" i="22" s="1"/>
  <c r="F195" i="22"/>
  <c r="F204" i="22" s="1"/>
  <c r="F191" i="22"/>
  <c r="F200" i="22" s="1"/>
  <c r="F196" i="22"/>
  <c r="F205" i="22" s="1"/>
  <c r="F194" i="22"/>
  <c r="F203" i="22" s="1"/>
  <c r="K196" i="22"/>
  <c r="K205" i="22" s="1"/>
  <c r="G196" i="22"/>
  <c r="G205" i="22" s="1"/>
  <c r="K195" i="22"/>
  <c r="K204" i="22" s="1"/>
  <c r="G195" i="22"/>
  <c r="G204" i="22" s="1"/>
  <c r="K194" i="22"/>
  <c r="K203" i="22" s="1"/>
  <c r="G194" i="22"/>
  <c r="G203" i="22" s="1"/>
  <c r="K193" i="22"/>
  <c r="K202" i="22" s="1"/>
  <c r="G193" i="22"/>
  <c r="G202" i="22" s="1"/>
  <c r="K192" i="22"/>
  <c r="K201" i="22" s="1"/>
  <c r="G192" i="22"/>
  <c r="G201" i="22" s="1"/>
  <c r="K191" i="22"/>
  <c r="K200" i="22" s="1"/>
  <c r="G191" i="22"/>
  <c r="G200" i="22" s="1"/>
  <c r="K190" i="22"/>
  <c r="K199" i="22" s="1"/>
  <c r="G190" i="22"/>
  <c r="G199" i="22" s="1"/>
  <c r="K189" i="22"/>
  <c r="K198" i="22" s="1"/>
  <c r="K207" i="22" s="1"/>
  <c r="G189" i="22"/>
  <c r="G198" i="22" s="1"/>
  <c r="G207" i="22" s="1"/>
  <c r="H196" i="22"/>
  <c r="H205" i="22" s="1"/>
  <c r="H195" i="22"/>
  <c r="H204" i="22" s="1"/>
  <c r="H194" i="22"/>
  <c r="H203" i="22" s="1"/>
  <c r="H193" i="22"/>
  <c r="H202" i="22" s="1"/>
  <c r="H192" i="22"/>
  <c r="H201" i="22" s="1"/>
  <c r="H191" i="22"/>
  <c r="H200" i="22" s="1"/>
  <c r="H190" i="22"/>
  <c r="H199" i="22" s="1"/>
  <c r="H189" i="22"/>
  <c r="H198" i="22" s="1"/>
  <c r="H207" i="22" s="1"/>
  <c r="J195" i="22"/>
  <c r="J204" i="22" s="1"/>
  <c r="J193" i="22"/>
  <c r="J202" i="22" s="1"/>
  <c r="J191" i="22"/>
  <c r="J200" i="22" s="1"/>
  <c r="J189" i="22"/>
  <c r="J198" i="22" s="1"/>
  <c r="J207" i="22" s="1"/>
  <c r="F193" i="22"/>
  <c r="F202" i="22" s="1"/>
  <c r="F189" i="22"/>
  <c r="F198" i="22" s="1"/>
  <c r="F207" i="22" s="1"/>
  <c r="F192" i="22"/>
  <c r="F201" i="22" s="1"/>
  <c r="F190" i="22"/>
  <c r="F199" i="22" s="1"/>
  <c r="O22" i="22" a="1"/>
  <c r="J6" i="2"/>
  <c r="B6" i="21"/>
  <c r="P6" i="23" s="1"/>
  <c r="F6" i="21"/>
  <c r="T6" i="23" s="1"/>
  <c r="I6" i="21"/>
  <c r="W6" i="23" s="1"/>
  <c r="AJ4" i="23" s="1"/>
  <c r="G6" i="21"/>
  <c r="U6" i="23" s="1"/>
  <c r="E6" i="21"/>
  <c r="S6" i="23" s="1"/>
  <c r="AF4" i="23" s="1"/>
  <c r="C6" i="21"/>
  <c r="Q6" i="23" s="1"/>
  <c r="H6" i="21"/>
  <c r="V6" i="23" s="1"/>
  <c r="AI4" i="23" s="1"/>
  <c r="D6" i="21"/>
  <c r="R6" i="23" s="1"/>
  <c r="Q7" i="2"/>
  <c r="Z6" i="2"/>
  <c r="Y7" i="2" s="1"/>
  <c r="I7" i="2"/>
  <c r="P6" i="2"/>
  <c r="O7" i="2" s="1"/>
  <c r="T6" i="2"/>
  <c r="S7" i="2" s="1"/>
  <c r="X6" i="2"/>
  <c r="W7" i="2" s="1"/>
  <c r="AA6" i="2"/>
  <c r="L6" i="2"/>
  <c r="K7" i="2" s="1"/>
  <c r="N6" i="2"/>
  <c r="M7" i="2" s="1"/>
  <c r="U6" i="2"/>
  <c r="H137" i="22" l="1"/>
  <c r="H136" i="22"/>
  <c r="L136" i="22"/>
  <c r="L142" i="22"/>
  <c r="F137" i="22"/>
  <c r="F139" i="22"/>
  <c r="F143" i="22"/>
  <c r="K136" i="22"/>
  <c r="K137" i="22"/>
  <c r="K138" i="22"/>
  <c r="K140" i="22"/>
  <c r="K142" i="22"/>
  <c r="H143" i="22"/>
  <c r="L139" i="22"/>
  <c r="J137" i="22"/>
  <c r="J141" i="22"/>
  <c r="M136" i="22"/>
  <c r="M138" i="22"/>
  <c r="M140" i="22"/>
  <c r="M142" i="22"/>
  <c r="L140" i="22"/>
  <c r="F140" i="22"/>
  <c r="F142" i="22"/>
  <c r="G139" i="22"/>
  <c r="G140" i="22"/>
  <c r="G141" i="22"/>
  <c r="G142" i="22"/>
  <c r="G143" i="22"/>
  <c r="H139" i="22"/>
  <c r="H138" i="22"/>
  <c r="L137" i="22"/>
  <c r="L141" i="22"/>
  <c r="J136" i="22"/>
  <c r="J138" i="22"/>
  <c r="J140" i="22"/>
  <c r="J142" i="22"/>
  <c r="I136" i="22"/>
  <c r="F146" i="22" s="1" a="1"/>
  <c r="I137" i="22"/>
  <c r="I138" i="22"/>
  <c r="I139" i="22"/>
  <c r="I140" i="22"/>
  <c r="I141" i="22"/>
  <c r="I142" i="22"/>
  <c r="AE4" i="23"/>
  <c r="AD4" i="23"/>
  <c r="AH4" i="23"/>
  <c r="AG4" i="23"/>
  <c r="BC5" i="23"/>
  <c r="AX6" i="23"/>
  <c r="BB6" i="23" s="1"/>
  <c r="AC4" i="23"/>
  <c r="J7" i="2"/>
  <c r="I8" i="2" s="1"/>
  <c r="O29" i="22"/>
  <c r="O25" i="22"/>
  <c r="O28" i="22"/>
  <c r="O24" i="22"/>
  <c r="O27" i="22"/>
  <c r="O23" i="22"/>
  <c r="O26" i="22"/>
  <c r="O22" i="22"/>
  <c r="O32" i="22" s="1" a="1"/>
  <c r="R7" i="2"/>
  <c r="I7" i="21"/>
  <c r="W7" i="23" s="1"/>
  <c r="D7" i="21"/>
  <c r="R7" i="23" s="1"/>
  <c r="G7" i="21"/>
  <c r="U7" i="23" s="1"/>
  <c r="F7" i="21"/>
  <c r="T7" i="23" s="1"/>
  <c r="C7" i="21"/>
  <c r="Q7" i="23" s="1"/>
  <c r="H7" i="21"/>
  <c r="V7" i="23" s="1"/>
  <c r="E7" i="21"/>
  <c r="S7" i="23" s="1"/>
  <c r="B7" i="21"/>
  <c r="P7" i="23" s="1"/>
  <c r="Q8" i="2"/>
  <c r="Z7" i="2"/>
  <c r="Y8" i="2" s="1"/>
  <c r="P7" i="2"/>
  <c r="O8" i="2" s="1"/>
  <c r="T7" i="2"/>
  <c r="S8" i="2" s="1"/>
  <c r="X7" i="2"/>
  <c r="W8" i="2" s="1"/>
  <c r="AA7" i="2"/>
  <c r="N7" i="2"/>
  <c r="M8" i="2" s="1"/>
  <c r="L7" i="2"/>
  <c r="K8" i="2" s="1"/>
  <c r="U7" i="2"/>
  <c r="AX7" i="23" l="1"/>
  <c r="BB7" i="23" s="1"/>
  <c r="BC7" i="23"/>
  <c r="AY6" i="23"/>
  <c r="BC6" i="23"/>
  <c r="BD6" i="23"/>
  <c r="AZ6" i="23"/>
  <c r="BA6" i="23"/>
  <c r="O38" i="22"/>
  <c r="O34" i="22"/>
  <c r="O39" i="22"/>
  <c r="O35" i="22"/>
  <c r="O36" i="22"/>
  <c r="O32" i="22"/>
  <c r="O37" i="22"/>
  <c r="O33" i="22"/>
  <c r="J146" i="22"/>
  <c r="F146" i="22"/>
  <c r="G146" i="22"/>
  <c r="M146" i="22"/>
  <c r="L146" i="22"/>
  <c r="H146" i="22"/>
  <c r="K146" i="22"/>
  <c r="I146" i="22"/>
  <c r="J8" i="2"/>
  <c r="I9" i="2" s="1"/>
  <c r="R8" i="2"/>
  <c r="D8" i="21"/>
  <c r="R8" i="23" s="1"/>
  <c r="H8" i="21"/>
  <c r="V8" i="23" s="1"/>
  <c r="E8" i="21"/>
  <c r="S8" i="23" s="1"/>
  <c r="C8" i="21"/>
  <c r="Q8" i="23" s="1"/>
  <c r="G8" i="21"/>
  <c r="U8" i="23" s="1"/>
  <c r="I8" i="21"/>
  <c r="W8" i="23" s="1"/>
  <c r="F8" i="21"/>
  <c r="T8" i="23" s="1"/>
  <c r="B8" i="21"/>
  <c r="P8" i="23" s="1"/>
  <c r="Q9" i="2"/>
  <c r="Z8" i="2"/>
  <c r="Y9" i="2" s="1"/>
  <c r="T8" i="2"/>
  <c r="S9" i="2" s="1"/>
  <c r="P8" i="2"/>
  <c r="O9" i="2" s="1"/>
  <c r="X8" i="2"/>
  <c r="W9" i="2" s="1"/>
  <c r="AA8" i="2"/>
  <c r="L8" i="2"/>
  <c r="K9" i="2" s="1"/>
  <c r="N8" i="2"/>
  <c r="M9" i="2" s="1"/>
  <c r="U8" i="2"/>
  <c r="BA7" i="23" l="1"/>
  <c r="AY7" i="23"/>
  <c r="BD7" i="23"/>
  <c r="AX8" i="23"/>
  <c r="BB8" i="23" s="1"/>
  <c r="AZ8" i="23"/>
  <c r="AZ7" i="23"/>
  <c r="J9" i="2"/>
  <c r="K154" i="22"/>
  <c r="K152" i="22"/>
  <c r="K150" i="22"/>
  <c r="K148" i="22"/>
  <c r="K155" i="22"/>
  <c r="K153" i="22"/>
  <c r="K151" i="22"/>
  <c r="K149" i="22"/>
  <c r="L150" i="22"/>
  <c r="L148" i="22"/>
  <c r="L154" i="22"/>
  <c r="L153" i="22"/>
  <c r="L151" i="22"/>
  <c r="L149" i="22"/>
  <c r="L155" i="22"/>
  <c r="L152" i="22"/>
  <c r="G155" i="22"/>
  <c r="G153" i="22"/>
  <c r="G151" i="22"/>
  <c r="G149" i="22"/>
  <c r="G154" i="22"/>
  <c r="G152" i="22"/>
  <c r="G150" i="22"/>
  <c r="G148" i="22"/>
  <c r="J154" i="22"/>
  <c r="J152" i="22"/>
  <c r="J150" i="22"/>
  <c r="J148" i="22"/>
  <c r="J155" i="22"/>
  <c r="J153" i="22"/>
  <c r="J151" i="22"/>
  <c r="J149" i="22"/>
  <c r="I154" i="22"/>
  <c r="I152" i="22"/>
  <c r="I150" i="22"/>
  <c r="I148" i="22"/>
  <c r="I155" i="22"/>
  <c r="I153" i="22"/>
  <c r="I151" i="22"/>
  <c r="I149" i="22"/>
  <c r="H153" i="22"/>
  <c r="H151" i="22"/>
  <c r="H149" i="22"/>
  <c r="H155" i="22"/>
  <c r="H154" i="22"/>
  <c r="H152" i="22"/>
  <c r="H150" i="22"/>
  <c r="H148" i="22"/>
  <c r="M155" i="22"/>
  <c r="M153" i="22"/>
  <c r="M149" i="22"/>
  <c r="M150" i="22"/>
  <c r="M154" i="22"/>
  <c r="M151" i="22"/>
  <c r="M152" i="22"/>
  <c r="M148" i="22"/>
  <c r="D169" i="22"/>
  <c r="F154" i="22"/>
  <c r="F152" i="22"/>
  <c r="F150" i="22"/>
  <c r="F148" i="22"/>
  <c r="F155" i="22"/>
  <c r="F153" i="22"/>
  <c r="F151" i="22"/>
  <c r="F149" i="22"/>
  <c r="O42" i="22" a="1"/>
  <c r="B9" i="21"/>
  <c r="P9" i="23" s="1"/>
  <c r="R9" i="2"/>
  <c r="Q10" i="2" s="1"/>
  <c r="D9" i="21"/>
  <c r="R9" i="23" s="1"/>
  <c r="E9" i="21"/>
  <c r="S9" i="23" s="1"/>
  <c r="AF5" i="23" s="1"/>
  <c r="C9" i="21"/>
  <c r="Q9" i="23" s="1"/>
  <c r="H9" i="21"/>
  <c r="V9" i="23" s="1"/>
  <c r="AI5" i="23" s="1"/>
  <c r="G9" i="21"/>
  <c r="U9" i="23" s="1"/>
  <c r="F9" i="21"/>
  <c r="T9" i="23" s="1"/>
  <c r="I9" i="21"/>
  <c r="W9" i="23" s="1"/>
  <c r="AJ5" i="23" s="1"/>
  <c r="I10" i="2"/>
  <c r="Z9" i="2"/>
  <c r="Y10" i="2" s="1"/>
  <c r="T9" i="2"/>
  <c r="S10" i="2" s="1"/>
  <c r="AA9" i="2"/>
  <c r="L9" i="2"/>
  <c r="K10" i="2" s="1"/>
  <c r="X9" i="2"/>
  <c r="W10" i="2" s="1"/>
  <c r="N9" i="2"/>
  <c r="M10" i="2" s="1"/>
  <c r="P9" i="2"/>
  <c r="O10" i="2" s="1"/>
  <c r="U9" i="2"/>
  <c r="AG5" i="23" l="1"/>
  <c r="AH5" i="23"/>
  <c r="AD5" i="23"/>
  <c r="AE5" i="23"/>
  <c r="AX9" i="23"/>
  <c r="BB9" i="23" s="1"/>
  <c r="AY9" i="23"/>
  <c r="AC5" i="23"/>
  <c r="AY8" i="23"/>
  <c r="BD8" i="23"/>
  <c r="BA8" i="23"/>
  <c r="BC8" i="23"/>
  <c r="O46" i="22"/>
  <c r="O42" i="22"/>
  <c r="O43" i="22"/>
  <c r="O45" i="22"/>
  <c r="O48" i="22"/>
  <c r="O44" i="22"/>
  <c r="O47" i="22"/>
  <c r="O49" i="22"/>
  <c r="W134" i="22"/>
  <c r="Z134" i="21" s="1"/>
  <c r="W130" i="22"/>
  <c r="Z130" i="21" s="1"/>
  <c r="W114" i="22"/>
  <c r="Z114" i="21" s="1"/>
  <c r="W112" i="22"/>
  <c r="Z112" i="21" s="1"/>
  <c r="W110" i="22"/>
  <c r="Z110" i="21" s="1"/>
  <c r="W108" i="22"/>
  <c r="Z108" i="21" s="1"/>
  <c r="W106" i="22"/>
  <c r="Z106" i="21" s="1"/>
  <c r="W133" i="22"/>
  <c r="Z133" i="21" s="1"/>
  <c r="W127" i="22"/>
  <c r="Z127" i="21" s="1"/>
  <c r="W123" i="22"/>
  <c r="Z123" i="21" s="1"/>
  <c r="W119" i="22"/>
  <c r="Z119" i="21" s="1"/>
  <c r="W115" i="22"/>
  <c r="Z115" i="21" s="1"/>
  <c r="W102" i="22"/>
  <c r="Z102" i="21" s="1"/>
  <c r="W98" i="22"/>
  <c r="Z98" i="21" s="1"/>
  <c r="W84" i="22"/>
  <c r="Z84" i="21" s="1"/>
  <c r="W82" i="22"/>
  <c r="Z82" i="21" s="1"/>
  <c r="W80" i="22"/>
  <c r="Z80" i="21" s="1"/>
  <c r="W78" i="22"/>
  <c r="Z78" i="21" s="1"/>
  <c r="W76" i="22"/>
  <c r="Z76" i="21" s="1"/>
  <c r="W64" i="22"/>
  <c r="Z64" i="21" s="1"/>
  <c r="W62" i="22"/>
  <c r="Z62" i="21" s="1"/>
  <c r="W60" i="22"/>
  <c r="Z60" i="21" s="1"/>
  <c r="W58" i="22"/>
  <c r="Z58" i="21" s="1"/>
  <c r="W56" i="22"/>
  <c r="Z56" i="21" s="1"/>
  <c r="W44" i="22"/>
  <c r="Z44" i="21" s="1"/>
  <c r="W40" i="22"/>
  <c r="Z40" i="21" s="1"/>
  <c r="W38" i="22"/>
  <c r="Z38" i="21" s="1"/>
  <c r="W36" i="22"/>
  <c r="Z36" i="21" s="1"/>
  <c r="W34" i="22"/>
  <c r="Z34" i="21" s="1"/>
  <c r="W131" i="22"/>
  <c r="Z131" i="21" s="1"/>
  <c r="W120" i="22"/>
  <c r="Z120" i="21" s="1"/>
  <c r="W101" i="22"/>
  <c r="Z101" i="21" s="1"/>
  <c r="W94" i="22"/>
  <c r="Z94" i="21" s="1"/>
  <c r="W90" i="22"/>
  <c r="Z90" i="21" s="1"/>
  <c r="W86" i="22"/>
  <c r="Z86" i="21" s="1"/>
  <c r="W71" i="22"/>
  <c r="Z71" i="21" s="1"/>
  <c r="W67" i="22"/>
  <c r="Z67" i="21" s="1"/>
  <c r="W54" i="22"/>
  <c r="Z54" i="21" s="1"/>
  <c r="W50" i="22"/>
  <c r="Z50" i="21" s="1"/>
  <c r="W46" i="22"/>
  <c r="Z46" i="21" s="1"/>
  <c r="W42" i="22"/>
  <c r="Z42" i="21" s="1"/>
  <c r="W30" i="22"/>
  <c r="Z30" i="21" s="1"/>
  <c r="W27" i="22"/>
  <c r="Z27" i="21" s="1"/>
  <c r="W25" i="22"/>
  <c r="Z25" i="21" s="1"/>
  <c r="W23" i="22"/>
  <c r="Z23" i="21" s="1"/>
  <c r="W13" i="22"/>
  <c r="Z13" i="21" s="1"/>
  <c r="W11" i="22"/>
  <c r="Z11" i="21" s="1"/>
  <c r="W9" i="22"/>
  <c r="Z9" i="21" s="1"/>
  <c r="W3" i="22"/>
  <c r="Z3" i="21" s="1"/>
  <c r="W135" i="22"/>
  <c r="Z135" i="21" s="1"/>
  <c r="W122" i="22"/>
  <c r="Z122" i="21" s="1"/>
  <c r="W103" i="22"/>
  <c r="Z103" i="21" s="1"/>
  <c r="W95" i="22"/>
  <c r="Z95" i="21" s="1"/>
  <c r="W91" i="22"/>
  <c r="Z91" i="21" s="1"/>
  <c r="W87" i="22"/>
  <c r="Z87" i="21" s="1"/>
  <c r="W74" i="22"/>
  <c r="Z74" i="21" s="1"/>
  <c r="W70" i="22"/>
  <c r="Z70" i="21" s="1"/>
  <c r="W66" i="22"/>
  <c r="Z66" i="21" s="1"/>
  <c r="W51" i="22"/>
  <c r="Z51" i="21" s="1"/>
  <c r="W47" i="22"/>
  <c r="Z47" i="21" s="1"/>
  <c r="W32" i="22"/>
  <c r="Z32" i="21" s="1"/>
  <c r="W21" i="22"/>
  <c r="Z21" i="21" s="1"/>
  <c r="W19" i="22"/>
  <c r="Z19" i="21" s="1"/>
  <c r="W17" i="22"/>
  <c r="Z17" i="21" s="1"/>
  <c r="W15" i="22"/>
  <c r="Z15" i="21" s="1"/>
  <c r="W8" i="22"/>
  <c r="Z8" i="21" s="1"/>
  <c r="W5" i="22"/>
  <c r="Z5" i="21" s="1"/>
  <c r="W136" i="22"/>
  <c r="Z136" i="21" s="1"/>
  <c r="W132" i="22"/>
  <c r="Z132" i="21" s="1"/>
  <c r="W128" i="22"/>
  <c r="Z128" i="21" s="1"/>
  <c r="W113" i="22"/>
  <c r="Z113" i="21" s="1"/>
  <c r="W111" i="22"/>
  <c r="Z111" i="21" s="1"/>
  <c r="W109" i="22"/>
  <c r="Z109" i="21" s="1"/>
  <c r="W107" i="22"/>
  <c r="Z107" i="21" s="1"/>
  <c r="W105" i="22"/>
  <c r="Z105" i="21" s="1"/>
  <c r="W129" i="22"/>
  <c r="Z129" i="21" s="1"/>
  <c r="W125" i="22"/>
  <c r="Z125" i="21" s="1"/>
  <c r="W121" i="22"/>
  <c r="Z121" i="21" s="1"/>
  <c r="W117" i="22"/>
  <c r="Z117" i="21" s="1"/>
  <c r="W104" i="22"/>
  <c r="Z104" i="21" s="1"/>
  <c r="W100" i="22"/>
  <c r="Z100" i="21" s="1"/>
  <c r="W96" i="22"/>
  <c r="Z96" i="21" s="1"/>
  <c r="W83" i="22"/>
  <c r="Z83" i="21" s="1"/>
  <c r="W81" i="22"/>
  <c r="Z81" i="21" s="1"/>
  <c r="W79" i="22"/>
  <c r="Z79" i="21" s="1"/>
  <c r="W77" i="22"/>
  <c r="Z77" i="21" s="1"/>
  <c r="W75" i="22"/>
  <c r="Z75" i="21" s="1"/>
  <c r="W63" i="22"/>
  <c r="Z63" i="21" s="1"/>
  <c r="W61" i="22"/>
  <c r="Z61" i="21" s="1"/>
  <c r="W59" i="22"/>
  <c r="Z59" i="21" s="1"/>
  <c r="W57" i="22"/>
  <c r="Z57" i="21" s="1"/>
  <c r="W55" i="22"/>
  <c r="Z55" i="21" s="1"/>
  <c r="W41" i="22"/>
  <c r="Z41" i="21" s="1"/>
  <c r="W39" i="22"/>
  <c r="Z39" i="21" s="1"/>
  <c r="W37" i="22"/>
  <c r="Z37" i="21" s="1"/>
  <c r="W35" i="22"/>
  <c r="Z35" i="21" s="1"/>
  <c r="W33" i="22"/>
  <c r="Z33" i="21" s="1"/>
  <c r="W124" i="22"/>
  <c r="Z124" i="21" s="1"/>
  <c r="W116" i="22"/>
  <c r="Z116" i="21" s="1"/>
  <c r="W97" i="22"/>
  <c r="Z97" i="21" s="1"/>
  <c r="W92" i="22"/>
  <c r="Z92" i="21" s="1"/>
  <c r="W88" i="22"/>
  <c r="Z88" i="21" s="1"/>
  <c r="W73" i="22"/>
  <c r="Z73" i="21" s="1"/>
  <c r="W69" i="22"/>
  <c r="Z69" i="21" s="1"/>
  <c r="W65" i="22"/>
  <c r="Z65" i="21" s="1"/>
  <c r="W52" i="22"/>
  <c r="Z52" i="21" s="1"/>
  <c r="W48" i="22"/>
  <c r="Z48" i="21" s="1"/>
  <c r="W43" i="22"/>
  <c r="Z43" i="21" s="1"/>
  <c r="W31" i="22"/>
  <c r="Z31" i="21" s="1"/>
  <c r="W29" i="22"/>
  <c r="Z29" i="21" s="1"/>
  <c r="W26" i="22"/>
  <c r="Z26" i="21" s="1"/>
  <c r="W24" i="22"/>
  <c r="Z24" i="21" s="1"/>
  <c r="W22" i="22"/>
  <c r="Z22" i="21" s="1"/>
  <c r="W12" i="22"/>
  <c r="Z12" i="21" s="1"/>
  <c r="W10" i="22"/>
  <c r="Z10" i="21" s="1"/>
  <c r="W7" i="22"/>
  <c r="Z7" i="21" s="1"/>
  <c r="W2" i="22"/>
  <c r="Z2" i="21" s="1"/>
  <c r="W126" i="22"/>
  <c r="Z126" i="21" s="1"/>
  <c r="W118" i="22"/>
  <c r="Z118" i="21" s="1"/>
  <c r="W99" i="22"/>
  <c r="Z99" i="21" s="1"/>
  <c r="W93" i="22"/>
  <c r="Z93" i="21" s="1"/>
  <c r="W89" i="22"/>
  <c r="Z89" i="21" s="1"/>
  <c r="W85" i="22"/>
  <c r="Z85" i="21" s="1"/>
  <c r="W72" i="22"/>
  <c r="Z72" i="21" s="1"/>
  <c r="W68" i="22"/>
  <c r="Z68" i="21" s="1"/>
  <c r="W53" i="22"/>
  <c r="Z53" i="21" s="1"/>
  <c r="W49" i="22"/>
  <c r="Z49" i="21" s="1"/>
  <c r="W45" i="22"/>
  <c r="Z45" i="21" s="1"/>
  <c r="W28" i="22"/>
  <c r="Z28" i="21" s="1"/>
  <c r="W20" i="22"/>
  <c r="Z20" i="21" s="1"/>
  <c r="W18" i="22"/>
  <c r="Z18" i="21" s="1"/>
  <c r="W16" i="22"/>
  <c r="Z16" i="21" s="1"/>
  <c r="W14" i="22"/>
  <c r="Z14" i="21" s="1"/>
  <c r="W6" i="22"/>
  <c r="Z6" i="21" s="1"/>
  <c r="W4" i="22"/>
  <c r="Z4" i="21" s="1"/>
  <c r="AA136" i="22"/>
  <c r="AD136" i="21" s="1"/>
  <c r="AA132" i="22"/>
  <c r="AD132" i="21" s="1"/>
  <c r="AA128" i="22"/>
  <c r="AD128" i="21" s="1"/>
  <c r="AA113" i="22"/>
  <c r="AD113" i="21" s="1"/>
  <c r="AA111" i="22"/>
  <c r="AD111" i="21" s="1"/>
  <c r="AA109" i="22"/>
  <c r="AD109" i="21" s="1"/>
  <c r="AA107" i="22"/>
  <c r="AD107" i="21" s="1"/>
  <c r="AA105" i="22"/>
  <c r="AD105" i="21" s="1"/>
  <c r="AA131" i="22"/>
  <c r="AD131" i="21" s="1"/>
  <c r="AA125" i="22"/>
  <c r="AD125" i="21" s="1"/>
  <c r="AA121" i="22"/>
  <c r="AD121" i="21" s="1"/>
  <c r="AA117" i="22"/>
  <c r="AD117" i="21" s="1"/>
  <c r="AA104" i="22"/>
  <c r="AD104" i="21" s="1"/>
  <c r="AA100" i="22"/>
  <c r="AD100" i="21" s="1"/>
  <c r="AA96" i="22"/>
  <c r="AD96" i="21" s="1"/>
  <c r="AA83" i="22"/>
  <c r="AD83" i="21" s="1"/>
  <c r="AA81" i="22"/>
  <c r="AD81" i="21" s="1"/>
  <c r="AA79" i="22"/>
  <c r="AD79" i="21" s="1"/>
  <c r="AA77" i="22"/>
  <c r="AD77" i="21" s="1"/>
  <c r="AA75" i="22"/>
  <c r="AD75" i="21" s="1"/>
  <c r="AA63" i="22"/>
  <c r="AD63" i="21" s="1"/>
  <c r="AA61" i="22"/>
  <c r="AD61" i="21" s="1"/>
  <c r="AA59" i="22"/>
  <c r="AD59" i="21" s="1"/>
  <c r="AA57" i="22"/>
  <c r="AD57" i="21" s="1"/>
  <c r="AA55" i="22"/>
  <c r="AD55" i="21" s="1"/>
  <c r="AA41" i="22"/>
  <c r="AD41" i="21" s="1"/>
  <c r="AA39" i="22"/>
  <c r="AD39" i="21" s="1"/>
  <c r="AA37" i="22"/>
  <c r="AD37" i="21" s="1"/>
  <c r="AA35" i="22"/>
  <c r="AD35" i="21" s="1"/>
  <c r="AA33" i="22"/>
  <c r="AD33" i="21" s="1"/>
  <c r="AA126" i="22"/>
  <c r="AD126" i="21" s="1"/>
  <c r="AA118" i="22"/>
  <c r="AD118" i="21" s="1"/>
  <c r="AA99" i="22"/>
  <c r="AD99" i="21" s="1"/>
  <c r="AA94" i="22"/>
  <c r="AD94" i="21" s="1"/>
  <c r="AA90" i="22"/>
  <c r="AD90" i="21" s="1"/>
  <c r="AA86" i="22"/>
  <c r="AD86" i="21" s="1"/>
  <c r="AA71" i="22"/>
  <c r="AD71" i="21" s="1"/>
  <c r="AA67" i="22"/>
  <c r="AD67" i="21" s="1"/>
  <c r="AA54" i="22"/>
  <c r="AD54" i="21" s="1"/>
  <c r="AA50" i="22"/>
  <c r="AD50" i="21" s="1"/>
  <c r="AA46" i="22"/>
  <c r="AD46" i="21" s="1"/>
  <c r="AA42" i="22"/>
  <c r="AD42" i="21" s="1"/>
  <c r="AA30" i="22"/>
  <c r="AD30" i="21" s="1"/>
  <c r="AA27" i="22"/>
  <c r="AD27" i="21" s="1"/>
  <c r="AA25" i="22"/>
  <c r="AD25" i="21" s="1"/>
  <c r="AA23" i="22"/>
  <c r="AD23" i="21" s="1"/>
  <c r="AA13" i="22"/>
  <c r="AD13" i="21" s="1"/>
  <c r="AA11" i="22"/>
  <c r="AD11" i="21" s="1"/>
  <c r="AA9" i="22"/>
  <c r="AD9" i="21" s="1"/>
  <c r="AA3" i="22"/>
  <c r="AD3" i="21" s="1"/>
  <c r="AA133" i="22"/>
  <c r="AD133" i="21" s="1"/>
  <c r="AA120" i="22"/>
  <c r="AD120" i="21" s="1"/>
  <c r="AA101" i="22"/>
  <c r="AD101" i="21" s="1"/>
  <c r="AA93" i="22"/>
  <c r="AD93" i="21" s="1"/>
  <c r="AA89" i="22"/>
  <c r="AD89" i="21" s="1"/>
  <c r="AA85" i="22"/>
  <c r="AD85" i="21" s="1"/>
  <c r="AA72" i="22"/>
  <c r="AD72" i="21" s="1"/>
  <c r="AA68" i="22"/>
  <c r="AD68" i="21" s="1"/>
  <c r="AA53" i="22"/>
  <c r="AD53" i="21" s="1"/>
  <c r="AA49" i="22"/>
  <c r="AD49" i="21" s="1"/>
  <c r="AA45" i="22"/>
  <c r="AD45" i="21" s="1"/>
  <c r="AA28" i="22"/>
  <c r="AD28" i="21" s="1"/>
  <c r="AA20" i="22"/>
  <c r="AD20" i="21" s="1"/>
  <c r="AA18" i="22"/>
  <c r="AD18" i="21" s="1"/>
  <c r="AA16" i="22"/>
  <c r="AD16" i="21" s="1"/>
  <c r="AA14" i="22"/>
  <c r="AD14" i="21" s="1"/>
  <c r="AA6" i="22"/>
  <c r="AD6" i="21" s="1"/>
  <c r="AA4" i="22"/>
  <c r="AD4" i="21" s="1"/>
  <c r="AA134" i="22"/>
  <c r="AD134" i="21" s="1"/>
  <c r="AA130" i="22"/>
  <c r="AD130" i="21" s="1"/>
  <c r="AA114" i="22"/>
  <c r="AD114" i="21" s="1"/>
  <c r="AA112" i="22"/>
  <c r="AD112" i="21" s="1"/>
  <c r="AA110" i="22"/>
  <c r="AD110" i="21" s="1"/>
  <c r="AA108" i="22"/>
  <c r="AD108" i="21" s="1"/>
  <c r="AA106" i="22"/>
  <c r="AD106" i="21" s="1"/>
  <c r="AA135" i="22"/>
  <c r="AD135" i="21" s="1"/>
  <c r="AA127" i="22"/>
  <c r="AD127" i="21" s="1"/>
  <c r="AA123" i="22"/>
  <c r="AD123" i="21" s="1"/>
  <c r="AA119" i="22"/>
  <c r="AD119" i="21" s="1"/>
  <c r="AA115" i="22"/>
  <c r="AD115" i="21" s="1"/>
  <c r="AA102" i="22"/>
  <c r="AD102" i="21" s="1"/>
  <c r="AA98" i="22"/>
  <c r="AD98" i="21" s="1"/>
  <c r="AA84" i="22"/>
  <c r="AD84" i="21" s="1"/>
  <c r="AA82" i="22"/>
  <c r="AD82" i="21" s="1"/>
  <c r="AA80" i="22"/>
  <c r="AD80" i="21" s="1"/>
  <c r="AA78" i="22"/>
  <c r="AD78" i="21" s="1"/>
  <c r="AA76" i="22"/>
  <c r="AD76" i="21" s="1"/>
  <c r="AA64" i="22"/>
  <c r="AD64" i="21" s="1"/>
  <c r="AA62" i="22"/>
  <c r="AD62" i="21" s="1"/>
  <c r="AA60" i="22"/>
  <c r="AD60" i="21" s="1"/>
  <c r="AA58" i="22"/>
  <c r="AD58" i="21" s="1"/>
  <c r="AA56" i="22"/>
  <c r="AD56" i="21" s="1"/>
  <c r="AA44" i="22"/>
  <c r="AD44" i="21" s="1"/>
  <c r="AA40" i="22"/>
  <c r="AD40" i="21" s="1"/>
  <c r="AA38" i="22"/>
  <c r="AD38" i="21" s="1"/>
  <c r="AA36" i="22"/>
  <c r="AD36" i="21" s="1"/>
  <c r="AA34" i="22"/>
  <c r="AD34" i="21" s="1"/>
  <c r="AA129" i="22"/>
  <c r="AD129" i="21" s="1"/>
  <c r="AA122" i="22"/>
  <c r="AD122" i="21" s="1"/>
  <c r="AA103" i="22"/>
  <c r="AD103" i="21" s="1"/>
  <c r="AA95" i="22"/>
  <c r="AD95" i="21" s="1"/>
  <c r="AA92" i="22"/>
  <c r="AD92" i="21" s="1"/>
  <c r="AA88" i="22"/>
  <c r="AD88" i="21" s="1"/>
  <c r="AA73" i="22"/>
  <c r="AD73" i="21" s="1"/>
  <c r="AA69" i="22"/>
  <c r="AD69" i="21" s="1"/>
  <c r="AA65" i="22"/>
  <c r="AD65" i="21" s="1"/>
  <c r="AA52" i="22"/>
  <c r="AD52" i="21" s="1"/>
  <c r="AA48" i="22"/>
  <c r="AD48" i="21" s="1"/>
  <c r="AA43" i="22"/>
  <c r="AD43" i="21" s="1"/>
  <c r="AA31" i="22"/>
  <c r="AD31" i="21" s="1"/>
  <c r="AA29" i="22"/>
  <c r="AD29" i="21" s="1"/>
  <c r="AA26" i="22"/>
  <c r="AD26" i="21" s="1"/>
  <c r="AA24" i="22"/>
  <c r="AD24" i="21" s="1"/>
  <c r="AA22" i="22"/>
  <c r="AD22" i="21" s="1"/>
  <c r="AA12" i="22"/>
  <c r="AD12" i="21" s="1"/>
  <c r="AA10" i="22"/>
  <c r="AD10" i="21" s="1"/>
  <c r="AA7" i="22"/>
  <c r="AD7" i="21" s="1"/>
  <c r="AA2" i="22"/>
  <c r="AD2" i="21" s="1"/>
  <c r="AA124" i="22"/>
  <c r="AD124" i="21" s="1"/>
  <c r="AA116" i="22"/>
  <c r="AD116" i="21" s="1"/>
  <c r="AA97" i="22"/>
  <c r="AD97" i="21" s="1"/>
  <c r="AA91" i="22"/>
  <c r="AD91" i="21" s="1"/>
  <c r="AA87" i="22"/>
  <c r="AD87" i="21" s="1"/>
  <c r="AA74" i="22"/>
  <c r="AD74" i="21" s="1"/>
  <c r="AA70" i="22"/>
  <c r="AD70" i="21" s="1"/>
  <c r="AA66" i="22"/>
  <c r="AD66" i="21" s="1"/>
  <c r="AA51" i="22"/>
  <c r="AD51" i="21" s="1"/>
  <c r="AA47" i="22"/>
  <c r="AD47" i="21" s="1"/>
  <c r="AA32" i="22"/>
  <c r="AD32" i="21" s="1"/>
  <c r="AA21" i="22"/>
  <c r="AD21" i="21" s="1"/>
  <c r="AA19" i="22"/>
  <c r="AD19" i="21" s="1"/>
  <c r="AA17" i="22"/>
  <c r="AD17" i="21" s="1"/>
  <c r="AA15" i="22"/>
  <c r="AD15" i="21" s="1"/>
  <c r="AA8" i="22"/>
  <c r="AD8" i="21" s="1"/>
  <c r="AA5" i="22"/>
  <c r="AD5" i="21" s="1"/>
  <c r="V135" i="22"/>
  <c r="Y135" i="21" s="1"/>
  <c r="V133" i="22"/>
  <c r="Y133" i="21" s="1"/>
  <c r="V131" i="22"/>
  <c r="Y131" i="21" s="1"/>
  <c r="V129" i="22"/>
  <c r="Y129" i="21" s="1"/>
  <c r="V136" i="22"/>
  <c r="Y136" i="21" s="1"/>
  <c r="V126" i="22"/>
  <c r="Y126" i="21" s="1"/>
  <c r="V124" i="22"/>
  <c r="Y124" i="21" s="1"/>
  <c r="V122" i="22"/>
  <c r="Y122" i="21" s="1"/>
  <c r="V120" i="22"/>
  <c r="Y120" i="21" s="1"/>
  <c r="V118" i="22"/>
  <c r="Y118" i="21" s="1"/>
  <c r="V116" i="22"/>
  <c r="Y116" i="21" s="1"/>
  <c r="V104" i="22"/>
  <c r="Y104" i="21" s="1"/>
  <c r="V102" i="22"/>
  <c r="Y102" i="21" s="1"/>
  <c r="V100" i="22"/>
  <c r="Y100" i="21" s="1"/>
  <c r="V98" i="22"/>
  <c r="Y98" i="21" s="1"/>
  <c r="V96" i="22"/>
  <c r="Y96" i="21" s="1"/>
  <c r="V114" i="22"/>
  <c r="Y114" i="21" s="1"/>
  <c r="V132" i="22"/>
  <c r="Y132" i="21" s="1"/>
  <c r="V128" i="22"/>
  <c r="Y128" i="21" s="1"/>
  <c r="V125" i="22"/>
  <c r="Y125" i="21" s="1"/>
  <c r="V121" i="22"/>
  <c r="Y121" i="21" s="1"/>
  <c r="V117" i="22"/>
  <c r="Y117" i="21" s="1"/>
  <c r="V103" i="22"/>
  <c r="Y103" i="21" s="1"/>
  <c r="V99" i="22"/>
  <c r="Y99" i="21" s="1"/>
  <c r="V95" i="22"/>
  <c r="Y95" i="21" s="1"/>
  <c r="V110" i="22"/>
  <c r="Y110" i="21" s="1"/>
  <c r="V106" i="22"/>
  <c r="Y106" i="21" s="1"/>
  <c r="V93" i="22"/>
  <c r="Y93" i="21" s="1"/>
  <c r="V91" i="22"/>
  <c r="Y91" i="21" s="1"/>
  <c r="V89" i="22"/>
  <c r="Y89" i="21" s="1"/>
  <c r="V87" i="22"/>
  <c r="Y87" i="21" s="1"/>
  <c r="V85" i="22"/>
  <c r="Y85" i="21" s="1"/>
  <c r="V73" i="22"/>
  <c r="Y73" i="21" s="1"/>
  <c r="V71" i="22"/>
  <c r="Y71" i="21" s="1"/>
  <c r="V69" i="22"/>
  <c r="Y69" i="21" s="1"/>
  <c r="V67" i="22"/>
  <c r="Y67" i="21" s="1"/>
  <c r="V65" i="22"/>
  <c r="Y65" i="21" s="1"/>
  <c r="V53" i="22"/>
  <c r="Y53" i="21" s="1"/>
  <c r="V51" i="22"/>
  <c r="Y51" i="21" s="1"/>
  <c r="V49" i="22"/>
  <c r="Y49" i="21" s="1"/>
  <c r="V47" i="22"/>
  <c r="Y47" i="21" s="1"/>
  <c r="V45" i="22"/>
  <c r="Y45" i="21" s="1"/>
  <c r="V42" i="22"/>
  <c r="Y42" i="21" s="1"/>
  <c r="V109" i="22"/>
  <c r="Y109" i="21" s="1"/>
  <c r="V83" i="22"/>
  <c r="Y83" i="21" s="1"/>
  <c r="V79" i="22"/>
  <c r="Y79" i="21" s="1"/>
  <c r="V75" i="22"/>
  <c r="Y75" i="21" s="1"/>
  <c r="V62" i="22"/>
  <c r="Y62" i="21" s="1"/>
  <c r="V58" i="22"/>
  <c r="Y58" i="21" s="1"/>
  <c r="V41" i="22"/>
  <c r="Y41" i="21" s="1"/>
  <c r="V37" i="22"/>
  <c r="Y37" i="21" s="1"/>
  <c r="V33" i="22"/>
  <c r="Y33" i="21" s="1"/>
  <c r="V28" i="22"/>
  <c r="Y28" i="21" s="1"/>
  <c r="V20" i="22"/>
  <c r="Y20" i="21" s="1"/>
  <c r="V18" i="22"/>
  <c r="Y18" i="21" s="1"/>
  <c r="V16" i="22"/>
  <c r="Y16" i="21" s="1"/>
  <c r="V14" i="22"/>
  <c r="Y14" i="21" s="1"/>
  <c r="V6" i="22"/>
  <c r="Y6" i="21" s="1"/>
  <c r="V4" i="22"/>
  <c r="Y4" i="21" s="1"/>
  <c r="V107" i="22"/>
  <c r="Y107" i="21" s="1"/>
  <c r="V82" i="22"/>
  <c r="Y82" i="21" s="1"/>
  <c r="V78" i="22"/>
  <c r="Y78" i="21" s="1"/>
  <c r="V63" i="22"/>
  <c r="Y63" i="21" s="1"/>
  <c r="V59" i="22"/>
  <c r="Y59" i="21" s="1"/>
  <c r="V55" i="22"/>
  <c r="Y55" i="21" s="1"/>
  <c r="V40" i="22"/>
  <c r="Y40" i="21" s="1"/>
  <c r="V36" i="22"/>
  <c r="Y36" i="21" s="1"/>
  <c r="V31" i="22"/>
  <c r="Y31" i="21" s="1"/>
  <c r="V29" i="22"/>
  <c r="Y29" i="21" s="1"/>
  <c r="V26" i="22"/>
  <c r="Y26" i="21" s="1"/>
  <c r="V24" i="22"/>
  <c r="Y24" i="21" s="1"/>
  <c r="V22" i="22"/>
  <c r="Y22" i="21" s="1"/>
  <c r="V12" i="22"/>
  <c r="Y12" i="21" s="1"/>
  <c r="V10" i="22"/>
  <c r="Y10" i="21" s="1"/>
  <c r="V7" i="22"/>
  <c r="Y7" i="21" s="1"/>
  <c r="V2" i="22"/>
  <c r="Y2" i="21" s="1"/>
  <c r="V134" i="22"/>
  <c r="Y134" i="21" s="1"/>
  <c r="V130" i="22"/>
  <c r="Y130" i="21" s="1"/>
  <c r="V127" i="22"/>
  <c r="Y127" i="21" s="1"/>
  <c r="V123" i="22"/>
  <c r="Y123" i="21" s="1"/>
  <c r="V119" i="22"/>
  <c r="Y119" i="21" s="1"/>
  <c r="V115" i="22"/>
  <c r="Y115" i="21" s="1"/>
  <c r="V101" i="22"/>
  <c r="Y101" i="21" s="1"/>
  <c r="V97" i="22"/>
  <c r="Y97" i="21" s="1"/>
  <c r="V112" i="22"/>
  <c r="Y112" i="21" s="1"/>
  <c r="V108" i="22"/>
  <c r="Y108" i="21" s="1"/>
  <c r="V94" i="22"/>
  <c r="Y94" i="21" s="1"/>
  <c r="V92" i="22"/>
  <c r="Y92" i="21" s="1"/>
  <c r="V90" i="22"/>
  <c r="Y90" i="21" s="1"/>
  <c r="V88" i="22"/>
  <c r="Y88" i="21" s="1"/>
  <c r="V86" i="22"/>
  <c r="Y86" i="21" s="1"/>
  <c r="V74" i="22"/>
  <c r="Y74" i="21" s="1"/>
  <c r="V72" i="22"/>
  <c r="Y72" i="21" s="1"/>
  <c r="V70" i="22"/>
  <c r="Y70" i="21" s="1"/>
  <c r="V68" i="22"/>
  <c r="Y68" i="21" s="1"/>
  <c r="V66" i="22"/>
  <c r="Y66" i="21" s="1"/>
  <c r="V54" i="22"/>
  <c r="Y54" i="21" s="1"/>
  <c r="V52" i="22"/>
  <c r="Y52" i="21" s="1"/>
  <c r="V50" i="22"/>
  <c r="Y50" i="21" s="1"/>
  <c r="V48" i="22"/>
  <c r="Y48" i="21" s="1"/>
  <c r="V46" i="22"/>
  <c r="Y46" i="21" s="1"/>
  <c r="V43" i="22"/>
  <c r="Y43" i="21" s="1"/>
  <c r="V113" i="22"/>
  <c r="Y113" i="21" s="1"/>
  <c r="V105" i="22"/>
  <c r="Y105" i="21" s="1"/>
  <c r="V81" i="22"/>
  <c r="Y81" i="21" s="1"/>
  <c r="V77" i="22"/>
  <c r="Y77" i="21" s="1"/>
  <c r="V64" i="22"/>
  <c r="Y64" i="21" s="1"/>
  <c r="V60" i="22"/>
  <c r="Y60" i="21" s="1"/>
  <c r="V56" i="22"/>
  <c r="Y56" i="21" s="1"/>
  <c r="V39" i="22"/>
  <c r="Y39" i="21" s="1"/>
  <c r="V35" i="22"/>
  <c r="Y35" i="21" s="1"/>
  <c r="V32" i="22"/>
  <c r="Y32" i="21" s="1"/>
  <c r="V21" i="22"/>
  <c r="Y21" i="21" s="1"/>
  <c r="V19" i="22"/>
  <c r="Y19" i="21" s="1"/>
  <c r="V17" i="22"/>
  <c r="Y17" i="21" s="1"/>
  <c r="V15" i="22"/>
  <c r="Y15" i="21" s="1"/>
  <c r="V8" i="22"/>
  <c r="Y8" i="21" s="1"/>
  <c r="V5" i="22"/>
  <c r="Y5" i="21" s="1"/>
  <c r="V111" i="22"/>
  <c r="Y111" i="21" s="1"/>
  <c r="V84" i="22"/>
  <c r="Y84" i="21" s="1"/>
  <c r="V80" i="22"/>
  <c r="Y80" i="21" s="1"/>
  <c r="V76" i="22"/>
  <c r="Y76" i="21" s="1"/>
  <c r="V61" i="22"/>
  <c r="Y61" i="21" s="1"/>
  <c r="V57" i="22"/>
  <c r="Y57" i="21" s="1"/>
  <c r="V44" i="22"/>
  <c r="Y44" i="21" s="1"/>
  <c r="V38" i="22"/>
  <c r="Y38" i="21" s="1"/>
  <c r="V34" i="22"/>
  <c r="Y34" i="21" s="1"/>
  <c r="V30" i="22"/>
  <c r="Y30" i="21" s="1"/>
  <c r="V27" i="22"/>
  <c r="Y27" i="21" s="1"/>
  <c r="V25" i="22"/>
  <c r="Y25" i="21" s="1"/>
  <c r="V23" i="22"/>
  <c r="Y23" i="21" s="1"/>
  <c r="V13" i="22"/>
  <c r="Y13" i="21" s="1"/>
  <c r="V11" i="22"/>
  <c r="Y11" i="21" s="1"/>
  <c r="V9" i="22"/>
  <c r="Y9" i="21" s="1"/>
  <c r="V3" i="22"/>
  <c r="Y3" i="21" s="1"/>
  <c r="Z135" i="22"/>
  <c r="AC135" i="21" s="1"/>
  <c r="Z133" i="22"/>
  <c r="AC133" i="21" s="1"/>
  <c r="Z131" i="22"/>
  <c r="AC131" i="21" s="1"/>
  <c r="Z129" i="22"/>
  <c r="AC129" i="21" s="1"/>
  <c r="Z136" i="22"/>
  <c r="AC136" i="21" s="1"/>
  <c r="Z126" i="22"/>
  <c r="AC126" i="21" s="1"/>
  <c r="Z124" i="22"/>
  <c r="AC124" i="21" s="1"/>
  <c r="Z122" i="22"/>
  <c r="AC122" i="21" s="1"/>
  <c r="Z120" i="22"/>
  <c r="AC120" i="21" s="1"/>
  <c r="Z118" i="22"/>
  <c r="AC118" i="21" s="1"/>
  <c r="Z116" i="22"/>
  <c r="AC116" i="21" s="1"/>
  <c r="Z104" i="22"/>
  <c r="AC104" i="21" s="1"/>
  <c r="Z102" i="22"/>
  <c r="AC102" i="21" s="1"/>
  <c r="Z100" i="22"/>
  <c r="AC100" i="21" s="1"/>
  <c r="Z98" i="22"/>
  <c r="AC98" i="21" s="1"/>
  <c r="Z96" i="22"/>
  <c r="AC96" i="21" s="1"/>
  <c r="Z114" i="22"/>
  <c r="AC114" i="21" s="1"/>
  <c r="Z110" i="22"/>
  <c r="AC110" i="21" s="1"/>
  <c r="Z106" i="22"/>
  <c r="AC106" i="21" s="1"/>
  <c r="Z93" i="22"/>
  <c r="AC93" i="21" s="1"/>
  <c r="Z91" i="22"/>
  <c r="AC91" i="21" s="1"/>
  <c r="Z89" i="22"/>
  <c r="AC89" i="21" s="1"/>
  <c r="Z87" i="22"/>
  <c r="AC87" i="21" s="1"/>
  <c r="Z73" i="22"/>
  <c r="AC73" i="21" s="1"/>
  <c r="Z71" i="22"/>
  <c r="AC71" i="21" s="1"/>
  <c r="Z67" i="22"/>
  <c r="AC67" i="21" s="1"/>
  <c r="Z53" i="22"/>
  <c r="AC53" i="21" s="1"/>
  <c r="Z47" i="22"/>
  <c r="AC47" i="21" s="1"/>
  <c r="Z107" i="22"/>
  <c r="AC107" i="21" s="1"/>
  <c r="Z81" i="22"/>
  <c r="AC81" i="21" s="1"/>
  <c r="Z64" i="22"/>
  <c r="AC64" i="21" s="1"/>
  <c r="Z56" i="22"/>
  <c r="AC56" i="21" s="1"/>
  <c r="Z32" i="22"/>
  <c r="AC32" i="21" s="1"/>
  <c r="Z19" i="22"/>
  <c r="AC19" i="21" s="1"/>
  <c r="Z8" i="22"/>
  <c r="AC8" i="21" s="1"/>
  <c r="Z113" i="22"/>
  <c r="AC113" i="21" s="1"/>
  <c r="Z78" i="22"/>
  <c r="AC78" i="21" s="1"/>
  <c r="Z59" i="22"/>
  <c r="AC59" i="21" s="1"/>
  <c r="Z40" i="22"/>
  <c r="AC40" i="21" s="1"/>
  <c r="Z29" i="22"/>
  <c r="AC29" i="21" s="1"/>
  <c r="Z24" i="22"/>
  <c r="AC24" i="21" s="1"/>
  <c r="Z10" i="22"/>
  <c r="AC10" i="21" s="1"/>
  <c r="Z2" i="22"/>
  <c r="AC2" i="21" s="1"/>
  <c r="Z134" i="22"/>
  <c r="AC134" i="21" s="1"/>
  <c r="Z132" i="22"/>
  <c r="AC132" i="21" s="1"/>
  <c r="Z130" i="22"/>
  <c r="AC130" i="21" s="1"/>
  <c r="Z128" i="22"/>
  <c r="AC128" i="21" s="1"/>
  <c r="Z127" i="22"/>
  <c r="AC127" i="21" s="1"/>
  <c r="Z125" i="22"/>
  <c r="AC125" i="21" s="1"/>
  <c r="Z123" i="22"/>
  <c r="AC123" i="21" s="1"/>
  <c r="Z121" i="22"/>
  <c r="AC121" i="21" s="1"/>
  <c r="Z119" i="22"/>
  <c r="AC119" i="21" s="1"/>
  <c r="Z117" i="22"/>
  <c r="AC117" i="21" s="1"/>
  <c r="Z115" i="22"/>
  <c r="AC115" i="21" s="1"/>
  <c r="Z103" i="22"/>
  <c r="AC103" i="21" s="1"/>
  <c r="Z101" i="22"/>
  <c r="AC101" i="21" s="1"/>
  <c r="Z99" i="22"/>
  <c r="AC99" i="21" s="1"/>
  <c r="Z97" i="22"/>
  <c r="AC97" i="21" s="1"/>
  <c r="Z95" i="22"/>
  <c r="AC95" i="21" s="1"/>
  <c r="Z112" i="22"/>
  <c r="AC112" i="21" s="1"/>
  <c r="Z108" i="22"/>
  <c r="AC108" i="21" s="1"/>
  <c r="Z94" i="22"/>
  <c r="AC94" i="21" s="1"/>
  <c r="Z92" i="22"/>
  <c r="AC92" i="21" s="1"/>
  <c r="Z90" i="22"/>
  <c r="AC90" i="21" s="1"/>
  <c r="Z88" i="22"/>
  <c r="AC88" i="21" s="1"/>
  <c r="Z86" i="22"/>
  <c r="AC86" i="21" s="1"/>
  <c r="Z74" i="22"/>
  <c r="AC74" i="21" s="1"/>
  <c r="Z72" i="22"/>
  <c r="AC72" i="21" s="1"/>
  <c r="Z70" i="22"/>
  <c r="AC70" i="21" s="1"/>
  <c r="Z68" i="22"/>
  <c r="AC68" i="21" s="1"/>
  <c r="Z66" i="22"/>
  <c r="AC66" i="21" s="1"/>
  <c r="Z54" i="22"/>
  <c r="AC54" i="21" s="1"/>
  <c r="Z52" i="22"/>
  <c r="AC52" i="21" s="1"/>
  <c r="Z50" i="22"/>
  <c r="AC50" i="21" s="1"/>
  <c r="Z48" i="22"/>
  <c r="AC48" i="21" s="1"/>
  <c r="Z46" i="22"/>
  <c r="AC46" i="21" s="1"/>
  <c r="Z43" i="22"/>
  <c r="AC43" i="21" s="1"/>
  <c r="Z111" i="22"/>
  <c r="AC111" i="21" s="1"/>
  <c r="Z83" i="22"/>
  <c r="AC83" i="21" s="1"/>
  <c r="Z79" i="22"/>
  <c r="AC79" i="21" s="1"/>
  <c r="Z75" i="22"/>
  <c r="AC75" i="21" s="1"/>
  <c r="Z62" i="22"/>
  <c r="AC62" i="21" s="1"/>
  <c r="Z58" i="22"/>
  <c r="AC58" i="21" s="1"/>
  <c r="Z41" i="22"/>
  <c r="AC41" i="21" s="1"/>
  <c r="Z37" i="22"/>
  <c r="AC37" i="21" s="1"/>
  <c r="Z33" i="22"/>
  <c r="AC33" i="21" s="1"/>
  <c r="Z28" i="22"/>
  <c r="AC28" i="21" s="1"/>
  <c r="Z20" i="22"/>
  <c r="AC20" i="21" s="1"/>
  <c r="Z18" i="22"/>
  <c r="AC18" i="21" s="1"/>
  <c r="Z16" i="22"/>
  <c r="AC16" i="21" s="1"/>
  <c r="Z14" i="22"/>
  <c r="AC14" i="21" s="1"/>
  <c r="Z6" i="22"/>
  <c r="AC6" i="21" s="1"/>
  <c r="Z4" i="22"/>
  <c r="AC4" i="21" s="1"/>
  <c r="Z109" i="22"/>
  <c r="AC109" i="21" s="1"/>
  <c r="Z84" i="22"/>
  <c r="AC84" i="21" s="1"/>
  <c r="Z80" i="22"/>
  <c r="AC80" i="21" s="1"/>
  <c r="Z76" i="22"/>
  <c r="AC76" i="21" s="1"/>
  <c r="Z61" i="22"/>
  <c r="AC61" i="21" s="1"/>
  <c r="Z57" i="22"/>
  <c r="AC57" i="21" s="1"/>
  <c r="Z44" i="22"/>
  <c r="AC44" i="21" s="1"/>
  <c r="Z38" i="22"/>
  <c r="AC38" i="21" s="1"/>
  <c r="Z34" i="22"/>
  <c r="AC34" i="21" s="1"/>
  <c r="Z30" i="22"/>
  <c r="AC30" i="21" s="1"/>
  <c r="Z27" i="22"/>
  <c r="AC27" i="21" s="1"/>
  <c r="Z25" i="22"/>
  <c r="AC25" i="21" s="1"/>
  <c r="Z23" i="22"/>
  <c r="AC23" i="21" s="1"/>
  <c r="Z13" i="22"/>
  <c r="AC13" i="21" s="1"/>
  <c r="Z11" i="22"/>
  <c r="AC11" i="21" s="1"/>
  <c r="Z9" i="22"/>
  <c r="AC9" i="21" s="1"/>
  <c r="Z3" i="22"/>
  <c r="AC3" i="21" s="1"/>
  <c r="Z85" i="22"/>
  <c r="AC85" i="21" s="1"/>
  <c r="Z69" i="22"/>
  <c r="AC69" i="21" s="1"/>
  <c r="Z65" i="22"/>
  <c r="AC65" i="21" s="1"/>
  <c r="Z51" i="22"/>
  <c r="AC51" i="21" s="1"/>
  <c r="Z49" i="22"/>
  <c r="AC49" i="21" s="1"/>
  <c r="Z45" i="22"/>
  <c r="AC45" i="21" s="1"/>
  <c r="Z42" i="22"/>
  <c r="AC42" i="21" s="1"/>
  <c r="Z77" i="22"/>
  <c r="AC77" i="21" s="1"/>
  <c r="Z60" i="22"/>
  <c r="AC60" i="21" s="1"/>
  <c r="Z39" i="22"/>
  <c r="AC39" i="21" s="1"/>
  <c r="Z35" i="22"/>
  <c r="AC35" i="21" s="1"/>
  <c r="Z21" i="22"/>
  <c r="AC21" i="21" s="1"/>
  <c r="Z17" i="22"/>
  <c r="AC17" i="21" s="1"/>
  <c r="Z15" i="22"/>
  <c r="AC15" i="21" s="1"/>
  <c r="Z5" i="22"/>
  <c r="AC5" i="21" s="1"/>
  <c r="Z105" i="22"/>
  <c r="AC105" i="21" s="1"/>
  <c r="Z82" i="22"/>
  <c r="AC82" i="21" s="1"/>
  <c r="Z63" i="22"/>
  <c r="AC63" i="21" s="1"/>
  <c r="Z55" i="22"/>
  <c r="AC55" i="21" s="1"/>
  <c r="Z36" i="22"/>
  <c r="AC36" i="21" s="1"/>
  <c r="Z31" i="22"/>
  <c r="AC31" i="21" s="1"/>
  <c r="Z26" i="22"/>
  <c r="AC26" i="21" s="1"/>
  <c r="Z22" i="22"/>
  <c r="AC22" i="21" s="1"/>
  <c r="Z12" i="22"/>
  <c r="AC12" i="21" s="1"/>
  <c r="Z7" i="22"/>
  <c r="AC7" i="21" s="1"/>
  <c r="O171" i="22" a="1"/>
  <c r="O180" i="22" a="1"/>
  <c r="U135" i="22"/>
  <c r="X135" i="21" s="1"/>
  <c r="U131" i="22"/>
  <c r="X131" i="21" s="1"/>
  <c r="U114" i="22"/>
  <c r="X114" i="21" s="1"/>
  <c r="U112" i="22"/>
  <c r="X112" i="21" s="1"/>
  <c r="U110" i="22"/>
  <c r="X110" i="21" s="1"/>
  <c r="U108" i="22"/>
  <c r="X108" i="21" s="1"/>
  <c r="U106" i="22"/>
  <c r="X106" i="21" s="1"/>
  <c r="F169" i="22"/>
  <c r="U130" i="22"/>
  <c r="X130" i="21" s="1"/>
  <c r="U124" i="22"/>
  <c r="X124" i="21" s="1"/>
  <c r="U120" i="22"/>
  <c r="X120" i="21" s="1"/>
  <c r="U116" i="22"/>
  <c r="X116" i="21" s="1"/>
  <c r="U101" i="22"/>
  <c r="X101" i="21" s="1"/>
  <c r="U97" i="22"/>
  <c r="X97" i="21" s="1"/>
  <c r="U84" i="22"/>
  <c r="X84" i="21" s="1"/>
  <c r="U82" i="22"/>
  <c r="X82" i="21" s="1"/>
  <c r="U80" i="22"/>
  <c r="X80" i="21" s="1"/>
  <c r="U78" i="22"/>
  <c r="X78" i="21" s="1"/>
  <c r="U76" i="22"/>
  <c r="X76" i="21" s="1"/>
  <c r="U64" i="22"/>
  <c r="X64" i="21" s="1"/>
  <c r="U62" i="22"/>
  <c r="X62" i="21" s="1"/>
  <c r="U60" i="22"/>
  <c r="X60" i="21" s="1"/>
  <c r="U58" i="22"/>
  <c r="X58" i="21" s="1"/>
  <c r="U56" i="22"/>
  <c r="X56" i="21" s="1"/>
  <c r="U44" i="22"/>
  <c r="X44" i="21" s="1"/>
  <c r="U40" i="22"/>
  <c r="X40" i="21" s="1"/>
  <c r="U38" i="22"/>
  <c r="X38" i="21" s="1"/>
  <c r="U36" i="22"/>
  <c r="X36" i="21" s="1"/>
  <c r="U34" i="22"/>
  <c r="X34" i="21" s="1"/>
  <c r="U125" i="22"/>
  <c r="X125" i="21" s="1"/>
  <c r="U117" i="22"/>
  <c r="X117" i="21" s="1"/>
  <c r="U98" i="22"/>
  <c r="X98" i="21" s="1"/>
  <c r="U91" i="22"/>
  <c r="X91" i="21" s="1"/>
  <c r="U87" i="22"/>
  <c r="X87" i="21" s="1"/>
  <c r="U74" i="22"/>
  <c r="X74" i="21" s="1"/>
  <c r="U70" i="22"/>
  <c r="X70" i="21" s="1"/>
  <c r="U66" i="22"/>
  <c r="X66" i="21" s="1"/>
  <c r="U51" i="22"/>
  <c r="X51" i="21" s="1"/>
  <c r="U47" i="22"/>
  <c r="X47" i="21" s="1"/>
  <c r="U31" i="22"/>
  <c r="X31" i="21" s="1"/>
  <c r="U29" i="22"/>
  <c r="X29" i="21" s="1"/>
  <c r="U26" i="22"/>
  <c r="X26" i="21" s="1"/>
  <c r="U24" i="22"/>
  <c r="X24" i="21" s="1"/>
  <c r="U22" i="22"/>
  <c r="X22" i="21" s="1"/>
  <c r="U12" i="22"/>
  <c r="X12" i="21" s="1"/>
  <c r="U10" i="22"/>
  <c r="X10" i="21" s="1"/>
  <c r="U7" i="22"/>
  <c r="X7" i="21" s="1"/>
  <c r="U2" i="22"/>
  <c r="X2" i="21" s="1"/>
  <c r="U127" i="22"/>
  <c r="X127" i="21" s="1"/>
  <c r="U119" i="22"/>
  <c r="X119" i="21" s="1"/>
  <c r="U104" i="22"/>
  <c r="X104" i="21" s="1"/>
  <c r="U96" i="22"/>
  <c r="X96" i="21" s="1"/>
  <c r="U92" i="22"/>
  <c r="X92" i="21" s="1"/>
  <c r="U88" i="22"/>
  <c r="X88" i="21" s="1"/>
  <c r="U73" i="22"/>
  <c r="X73" i="21" s="1"/>
  <c r="U69" i="22"/>
  <c r="X69" i="21" s="1"/>
  <c r="U65" i="22"/>
  <c r="X65" i="21" s="1"/>
  <c r="U52" i="22"/>
  <c r="X52" i="21" s="1"/>
  <c r="U48" i="22"/>
  <c r="X48" i="21" s="1"/>
  <c r="U43" i="22"/>
  <c r="X43" i="21" s="1"/>
  <c r="U33" i="22"/>
  <c r="X33" i="21" s="1"/>
  <c r="U28" i="22"/>
  <c r="X28" i="21" s="1"/>
  <c r="U20" i="22"/>
  <c r="X20" i="21" s="1"/>
  <c r="U18" i="22"/>
  <c r="X18" i="21" s="1"/>
  <c r="U16" i="22"/>
  <c r="X16" i="21" s="1"/>
  <c r="U14" i="22"/>
  <c r="X14" i="21" s="1"/>
  <c r="U6" i="22"/>
  <c r="X6" i="21" s="1"/>
  <c r="U4" i="22"/>
  <c r="X4" i="21" s="1"/>
  <c r="U136" i="22"/>
  <c r="X136" i="21" s="1"/>
  <c r="U133" i="22"/>
  <c r="X133" i="21" s="1"/>
  <c r="U129" i="22"/>
  <c r="X129" i="21" s="1"/>
  <c r="U113" i="22"/>
  <c r="X113" i="21" s="1"/>
  <c r="U111" i="22"/>
  <c r="X111" i="21" s="1"/>
  <c r="U109" i="22"/>
  <c r="X109" i="21" s="1"/>
  <c r="U107" i="22"/>
  <c r="X107" i="21" s="1"/>
  <c r="U105" i="22"/>
  <c r="X105" i="21" s="1"/>
  <c r="U134" i="22"/>
  <c r="X134" i="21" s="1"/>
  <c r="U126" i="22"/>
  <c r="X126" i="21" s="1"/>
  <c r="U122" i="22"/>
  <c r="X122" i="21" s="1"/>
  <c r="U118" i="22"/>
  <c r="X118" i="21" s="1"/>
  <c r="U103" i="22"/>
  <c r="X103" i="21" s="1"/>
  <c r="U99" i="22"/>
  <c r="X99" i="21" s="1"/>
  <c r="U95" i="22"/>
  <c r="X95" i="21" s="1"/>
  <c r="U83" i="22"/>
  <c r="X83" i="21" s="1"/>
  <c r="U81" i="22"/>
  <c r="X81" i="21" s="1"/>
  <c r="U79" i="22"/>
  <c r="X79" i="21" s="1"/>
  <c r="U77" i="22"/>
  <c r="X77" i="21" s="1"/>
  <c r="U75" i="22"/>
  <c r="X75" i="21" s="1"/>
  <c r="U63" i="22"/>
  <c r="X63" i="21" s="1"/>
  <c r="U61" i="22"/>
  <c r="X61" i="21" s="1"/>
  <c r="U59" i="22"/>
  <c r="X59" i="21" s="1"/>
  <c r="U57" i="22"/>
  <c r="X57" i="21" s="1"/>
  <c r="U55" i="22"/>
  <c r="X55" i="21" s="1"/>
  <c r="U41" i="22"/>
  <c r="X41" i="21" s="1"/>
  <c r="U39" i="22"/>
  <c r="X39" i="21" s="1"/>
  <c r="U37" i="22"/>
  <c r="X37" i="21" s="1"/>
  <c r="U35" i="22"/>
  <c r="X35" i="21" s="1"/>
  <c r="U132" i="22"/>
  <c r="X132" i="21" s="1"/>
  <c r="U121" i="22"/>
  <c r="X121" i="21" s="1"/>
  <c r="U102" i="22"/>
  <c r="X102" i="21" s="1"/>
  <c r="U93" i="22"/>
  <c r="X93" i="21" s="1"/>
  <c r="U89" i="22"/>
  <c r="X89" i="21" s="1"/>
  <c r="U85" i="22"/>
  <c r="X85" i="21" s="1"/>
  <c r="U72" i="22"/>
  <c r="X72" i="21" s="1"/>
  <c r="U68" i="22"/>
  <c r="X68" i="21" s="1"/>
  <c r="U53" i="22"/>
  <c r="X53" i="21" s="1"/>
  <c r="U49" i="22"/>
  <c r="X49" i="21" s="1"/>
  <c r="U45" i="22"/>
  <c r="X45" i="21" s="1"/>
  <c r="U30" i="22"/>
  <c r="X30" i="21" s="1"/>
  <c r="U27" i="22"/>
  <c r="X27" i="21" s="1"/>
  <c r="U25" i="22"/>
  <c r="X25" i="21" s="1"/>
  <c r="U23" i="22"/>
  <c r="X23" i="21" s="1"/>
  <c r="U13" i="22"/>
  <c r="X13" i="21" s="1"/>
  <c r="U11" i="22"/>
  <c r="X11" i="21" s="1"/>
  <c r="U9" i="22"/>
  <c r="X9" i="21" s="1"/>
  <c r="U3" i="22"/>
  <c r="X3" i="21" s="1"/>
  <c r="U128" i="22"/>
  <c r="X128" i="21" s="1"/>
  <c r="U123" i="22"/>
  <c r="X123" i="21" s="1"/>
  <c r="U115" i="22"/>
  <c r="X115" i="21" s="1"/>
  <c r="U100" i="22"/>
  <c r="X100" i="21" s="1"/>
  <c r="U94" i="22"/>
  <c r="X94" i="21" s="1"/>
  <c r="U90" i="22"/>
  <c r="X90" i="21" s="1"/>
  <c r="U86" i="22"/>
  <c r="X86" i="21" s="1"/>
  <c r="U71" i="22"/>
  <c r="X71" i="21" s="1"/>
  <c r="U67" i="22"/>
  <c r="X67" i="21" s="1"/>
  <c r="U54" i="22"/>
  <c r="X54" i="21" s="1"/>
  <c r="U50" i="22"/>
  <c r="X50" i="21" s="1"/>
  <c r="U46" i="22"/>
  <c r="X46" i="21" s="1"/>
  <c r="U42" i="22"/>
  <c r="X42" i="21" s="1"/>
  <c r="U32" i="22"/>
  <c r="X32" i="21" s="1"/>
  <c r="U21" i="22"/>
  <c r="X21" i="21" s="1"/>
  <c r="U19" i="22"/>
  <c r="X19" i="21" s="1"/>
  <c r="U17" i="22"/>
  <c r="X17" i="21" s="1"/>
  <c r="U15" i="22"/>
  <c r="X15" i="21" s="1"/>
  <c r="U8" i="22"/>
  <c r="X8" i="21" s="1"/>
  <c r="U5" i="22"/>
  <c r="X5" i="21" s="1"/>
  <c r="Y136" i="22"/>
  <c r="AB136" i="21" s="1"/>
  <c r="Y133" i="22"/>
  <c r="AB133" i="21" s="1"/>
  <c r="Y129" i="22"/>
  <c r="AB129" i="21" s="1"/>
  <c r="Y113" i="22"/>
  <c r="AB113" i="21" s="1"/>
  <c r="Y111" i="22"/>
  <c r="AB111" i="21" s="1"/>
  <c r="Y109" i="22"/>
  <c r="AB109" i="21" s="1"/>
  <c r="Y107" i="22"/>
  <c r="AB107" i="21" s="1"/>
  <c r="Y105" i="22"/>
  <c r="AB105" i="21" s="1"/>
  <c r="Y128" i="22"/>
  <c r="AB128" i="21" s="1"/>
  <c r="Y124" i="22"/>
  <c r="AB124" i="21" s="1"/>
  <c r="Y120" i="22"/>
  <c r="AB120" i="21" s="1"/>
  <c r="Y116" i="22"/>
  <c r="AB116" i="21" s="1"/>
  <c r="Y101" i="22"/>
  <c r="AB101" i="21" s="1"/>
  <c r="Y97" i="22"/>
  <c r="AB97" i="21" s="1"/>
  <c r="Y84" i="22"/>
  <c r="AB84" i="21" s="1"/>
  <c r="Y82" i="22"/>
  <c r="AB82" i="21" s="1"/>
  <c r="Y80" i="22"/>
  <c r="AB80" i="21" s="1"/>
  <c r="Y78" i="22"/>
  <c r="AB78" i="21" s="1"/>
  <c r="Y76" i="22"/>
  <c r="AB76" i="21" s="1"/>
  <c r="Y64" i="22"/>
  <c r="AB64" i="21" s="1"/>
  <c r="Y62" i="22"/>
  <c r="AB62" i="21" s="1"/>
  <c r="Y60" i="22"/>
  <c r="AB60" i="21" s="1"/>
  <c r="Y58" i="22"/>
  <c r="AB58" i="21" s="1"/>
  <c r="Y56" i="22"/>
  <c r="AB56" i="21" s="1"/>
  <c r="Y44" i="22"/>
  <c r="AB44" i="21" s="1"/>
  <c r="Y40" i="22"/>
  <c r="AB40" i="21" s="1"/>
  <c r="Y38" i="22"/>
  <c r="AB38" i="21" s="1"/>
  <c r="Y36" i="22"/>
  <c r="AB36" i="21" s="1"/>
  <c r="Y34" i="22"/>
  <c r="AB34" i="21" s="1"/>
  <c r="Y134" i="22"/>
  <c r="AB134" i="21" s="1"/>
  <c r="Y127" i="22"/>
  <c r="AB127" i="21" s="1"/>
  <c r="Y135" i="22"/>
  <c r="AB135" i="21" s="1"/>
  <c r="Y131" i="22"/>
  <c r="AB131" i="21" s="1"/>
  <c r="Y114" i="22"/>
  <c r="AB114" i="21" s="1"/>
  <c r="Y112" i="22"/>
  <c r="AB112" i="21" s="1"/>
  <c r="Y110" i="22"/>
  <c r="AB110" i="21" s="1"/>
  <c r="Y108" i="22"/>
  <c r="AB108" i="21" s="1"/>
  <c r="Y106" i="22"/>
  <c r="AB106" i="21" s="1"/>
  <c r="Y132" i="22"/>
  <c r="AB132" i="21" s="1"/>
  <c r="Y126" i="22"/>
  <c r="AB126" i="21" s="1"/>
  <c r="Y122" i="22"/>
  <c r="AB122" i="21" s="1"/>
  <c r="Y118" i="22"/>
  <c r="AB118" i="21" s="1"/>
  <c r="Y103" i="22"/>
  <c r="AB103" i="21" s="1"/>
  <c r="Y99" i="22"/>
  <c r="AB99" i="21" s="1"/>
  <c r="Y95" i="22"/>
  <c r="AB95" i="21" s="1"/>
  <c r="Y83" i="22"/>
  <c r="AB83" i="21" s="1"/>
  <c r="Y81" i="22"/>
  <c r="AB81" i="21" s="1"/>
  <c r="Y79" i="22"/>
  <c r="AB79" i="21" s="1"/>
  <c r="Y77" i="22"/>
  <c r="AB77" i="21" s="1"/>
  <c r="Y75" i="22"/>
  <c r="AB75" i="21" s="1"/>
  <c r="Y63" i="22"/>
  <c r="AB63" i="21" s="1"/>
  <c r="Y61" i="22"/>
  <c r="AB61" i="21" s="1"/>
  <c r="Y59" i="22"/>
  <c r="AB59" i="21" s="1"/>
  <c r="Y57" i="22"/>
  <c r="AB57" i="21" s="1"/>
  <c r="Y55" i="22"/>
  <c r="AB55" i="21" s="1"/>
  <c r="Y41" i="22"/>
  <c r="AB41" i="21" s="1"/>
  <c r="Y39" i="22"/>
  <c r="AB39" i="21" s="1"/>
  <c r="Y37" i="22"/>
  <c r="AB37" i="21" s="1"/>
  <c r="Y35" i="22"/>
  <c r="AB35" i="21" s="1"/>
  <c r="Y33" i="22"/>
  <c r="AB33" i="21" s="1"/>
  <c r="Y130" i="22"/>
  <c r="AB130" i="21" s="1"/>
  <c r="Y123" i="22"/>
  <c r="AB123" i="21" s="1"/>
  <c r="Y115" i="22"/>
  <c r="AB115" i="21" s="1"/>
  <c r="Y100" i="22"/>
  <c r="AB100" i="21" s="1"/>
  <c r="Y93" i="22"/>
  <c r="AB93" i="21" s="1"/>
  <c r="Y119" i="22"/>
  <c r="AB119" i="21" s="1"/>
  <c r="Y96" i="22"/>
  <c r="AB96" i="21" s="1"/>
  <c r="Y89" i="22"/>
  <c r="AB89" i="21" s="1"/>
  <c r="Y85" i="22"/>
  <c r="AB85" i="21" s="1"/>
  <c r="Y72" i="22"/>
  <c r="AB72" i="21" s="1"/>
  <c r="Y68" i="22"/>
  <c r="AB68" i="21" s="1"/>
  <c r="Y53" i="22"/>
  <c r="AB53" i="21" s="1"/>
  <c r="Y49" i="22"/>
  <c r="AB49" i="21" s="1"/>
  <c r="Y45" i="22"/>
  <c r="AB45" i="21" s="1"/>
  <c r="Y30" i="22"/>
  <c r="AB30" i="21" s="1"/>
  <c r="Y27" i="22"/>
  <c r="AB27" i="21" s="1"/>
  <c r="Y25" i="22"/>
  <c r="AB25" i="21" s="1"/>
  <c r="Y23" i="22"/>
  <c r="AB23" i="21" s="1"/>
  <c r="Y13" i="22"/>
  <c r="AB13" i="21" s="1"/>
  <c r="Y11" i="22"/>
  <c r="AB11" i="21" s="1"/>
  <c r="Y9" i="22"/>
  <c r="AB9" i="21" s="1"/>
  <c r="Y3" i="22"/>
  <c r="AB3" i="21" s="1"/>
  <c r="Y125" i="22"/>
  <c r="AB125" i="21" s="1"/>
  <c r="Y117" i="22"/>
  <c r="AB117" i="21" s="1"/>
  <c r="Y98" i="22"/>
  <c r="AB98" i="21" s="1"/>
  <c r="Y92" i="22"/>
  <c r="AB92" i="21" s="1"/>
  <c r="Y88" i="22"/>
  <c r="AB88" i="21" s="1"/>
  <c r="Y73" i="22"/>
  <c r="AB73" i="21" s="1"/>
  <c r="Y69" i="22"/>
  <c r="AB69" i="21" s="1"/>
  <c r="Y65" i="22"/>
  <c r="AB65" i="21" s="1"/>
  <c r="Y52" i="22"/>
  <c r="AB52" i="21" s="1"/>
  <c r="Y48" i="22"/>
  <c r="AB48" i="21" s="1"/>
  <c r="Y43" i="22"/>
  <c r="AB43" i="21" s="1"/>
  <c r="Y32" i="22"/>
  <c r="AB32" i="21" s="1"/>
  <c r="Y21" i="22"/>
  <c r="AB21" i="21" s="1"/>
  <c r="Y19" i="22"/>
  <c r="AB19" i="21" s="1"/>
  <c r="Y17" i="22"/>
  <c r="AB17" i="21" s="1"/>
  <c r="Y15" i="22"/>
  <c r="AB15" i="21" s="1"/>
  <c r="Y8" i="22"/>
  <c r="AB8" i="21" s="1"/>
  <c r="Y5" i="22"/>
  <c r="AB5" i="21" s="1"/>
  <c r="Y104" i="22"/>
  <c r="AB104" i="21" s="1"/>
  <c r="Y91" i="22"/>
  <c r="AB91" i="21" s="1"/>
  <c r="Y87" i="22"/>
  <c r="AB87" i="21" s="1"/>
  <c r="Y74" i="22"/>
  <c r="AB74" i="21" s="1"/>
  <c r="Y70" i="22"/>
  <c r="AB70" i="21" s="1"/>
  <c r="Y66" i="22"/>
  <c r="AB66" i="21" s="1"/>
  <c r="Y51" i="22"/>
  <c r="AB51" i="21" s="1"/>
  <c r="Y47" i="22"/>
  <c r="AB47" i="21" s="1"/>
  <c r="Y31" i="22"/>
  <c r="AB31" i="21" s="1"/>
  <c r="Y29" i="22"/>
  <c r="AB29" i="21" s="1"/>
  <c r="Y26" i="22"/>
  <c r="AB26" i="21" s="1"/>
  <c r="Y24" i="22"/>
  <c r="AB24" i="21" s="1"/>
  <c r="Y22" i="22"/>
  <c r="AB22" i="21" s="1"/>
  <c r="Y12" i="22"/>
  <c r="AB12" i="21" s="1"/>
  <c r="Y10" i="22"/>
  <c r="AB10" i="21" s="1"/>
  <c r="Y7" i="22"/>
  <c r="AB7" i="21" s="1"/>
  <c r="Y2" i="22"/>
  <c r="AB2" i="21" s="1"/>
  <c r="Y121" i="22"/>
  <c r="AB121" i="21" s="1"/>
  <c r="Y102" i="22"/>
  <c r="AB102" i="21" s="1"/>
  <c r="Y94" i="22"/>
  <c r="AB94" i="21" s="1"/>
  <c r="Y90" i="22"/>
  <c r="AB90" i="21" s="1"/>
  <c r="Y86" i="22"/>
  <c r="AB86" i="21" s="1"/>
  <c r="Y71" i="22"/>
  <c r="AB71" i="21" s="1"/>
  <c r="Y67" i="22"/>
  <c r="AB67" i="21" s="1"/>
  <c r="Y54" i="22"/>
  <c r="AB54" i="21" s="1"/>
  <c r="Y50" i="22"/>
  <c r="AB50" i="21" s="1"/>
  <c r="Y46" i="22"/>
  <c r="AB46" i="21" s="1"/>
  <c r="Y42" i="22"/>
  <c r="AB42" i="21" s="1"/>
  <c r="Y28" i="22"/>
  <c r="AB28" i="21" s="1"/>
  <c r="Y20" i="22"/>
  <c r="AB20" i="21" s="1"/>
  <c r="Y18" i="22"/>
  <c r="AB18" i="21" s="1"/>
  <c r="Y16" i="22"/>
  <c r="AB16" i="21" s="1"/>
  <c r="Y14" i="22"/>
  <c r="AB14" i="21" s="1"/>
  <c r="Y6" i="22"/>
  <c r="AB6" i="21" s="1"/>
  <c r="Y4" i="22"/>
  <c r="AB4" i="21" s="1"/>
  <c r="T2" i="22"/>
  <c r="W2" i="21" s="1"/>
  <c r="T134" i="22"/>
  <c r="W134" i="21" s="1"/>
  <c r="T132" i="22"/>
  <c r="W132" i="21" s="1"/>
  <c r="T130" i="22"/>
  <c r="W130" i="21" s="1"/>
  <c r="T128" i="22"/>
  <c r="W128" i="21" s="1"/>
  <c r="T126" i="22"/>
  <c r="W126" i="21" s="1"/>
  <c r="T124" i="22"/>
  <c r="W124" i="21" s="1"/>
  <c r="T122" i="22"/>
  <c r="W122" i="21" s="1"/>
  <c r="T120" i="22"/>
  <c r="W120" i="21" s="1"/>
  <c r="T118" i="22"/>
  <c r="W118" i="21" s="1"/>
  <c r="T116" i="22"/>
  <c r="W116" i="21" s="1"/>
  <c r="T104" i="22"/>
  <c r="W104" i="21" s="1"/>
  <c r="T102" i="22"/>
  <c r="W102" i="21" s="1"/>
  <c r="T100" i="22"/>
  <c r="W100" i="21" s="1"/>
  <c r="T98" i="22"/>
  <c r="W98" i="21" s="1"/>
  <c r="T96" i="22"/>
  <c r="W96" i="21" s="1"/>
  <c r="T113" i="22"/>
  <c r="W113" i="21" s="1"/>
  <c r="T109" i="22"/>
  <c r="W109" i="21" s="1"/>
  <c r="T105" i="22"/>
  <c r="W105" i="21" s="1"/>
  <c r="T93" i="22"/>
  <c r="W93" i="21" s="1"/>
  <c r="T91" i="22"/>
  <c r="W91" i="21" s="1"/>
  <c r="T89" i="22"/>
  <c r="W89" i="21" s="1"/>
  <c r="T87" i="22"/>
  <c r="W87" i="21" s="1"/>
  <c r="T85" i="22"/>
  <c r="W85" i="21" s="1"/>
  <c r="T73" i="22"/>
  <c r="W73" i="21" s="1"/>
  <c r="T71" i="22"/>
  <c r="W71" i="21" s="1"/>
  <c r="T69" i="22"/>
  <c r="W69" i="21" s="1"/>
  <c r="T67" i="22"/>
  <c r="W67" i="21" s="1"/>
  <c r="T65" i="22"/>
  <c r="W65" i="21" s="1"/>
  <c r="T53" i="22"/>
  <c r="W53" i="21" s="1"/>
  <c r="T51" i="22"/>
  <c r="W51" i="21" s="1"/>
  <c r="T49" i="22"/>
  <c r="W49" i="21" s="1"/>
  <c r="T47" i="22"/>
  <c r="W47" i="21" s="1"/>
  <c r="T45" i="22"/>
  <c r="W45" i="21" s="1"/>
  <c r="T42" i="22"/>
  <c r="W42" i="21" s="1"/>
  <c r="T114" i="22"/>
  <c r="W114" i="21" s="1"/>
  <c r="T106" i="22"/>
  <c r="W106" i="21" s="1"/>
  <c r="T82" i="22"/>
  <c r="W82" i="21" s="1"/>
  <c r="T78" i="22"/>
  <c r="W78" i="21" s="1"/>
  <c r="T63" i="22"/>
  <c r="W63" i="21" s="1"/>
  <c r="T59" i="22"/>
  <c r="W59" i="21" s="1"/>
  <c r="T55" i="22"/>
  <c r="W55" i="21" s="1"/>
  <c r="T40" i="22"/>
  <c r="W40" i="21" s="1"/>
  <c r="T36" i="22"/>
  <c r="W36" i="21" s="1"/>
  <c r="T33" i="22"/>
  <c r="W33" i="21" s="1"/>
  <c r="T28" i="22"/>
  <c r="W28" i="21" s="1"/>
  <c r="T20" i="22"/>
  <c r="W20" i="21" s="1"/>
  <c r="T18" i="22"/>
  <c r="W18" i="21" s="1"/>
  <c r="T16" i="22"/>
  <c r="W16" i="21" s="1"/>
  <c r="T14" i="22"/>
  <c r="W14" i="21" s="1"/>
  <c r="T6" i="22"/>
  <c r="W6" i="21" s="1"/>
  <c r="T4" i="22"/>
  <c r="W4" i="21" s="1"/>
  <c r="T108" i="22"/>
  <c r="W108" i="21" s="1"/>
  <c r="T81" i="22"/>
  <c r="W81" i="21" s="1"/>
  <c r="T77" i="22"/>
  <c r="W77" i="21" s="1"/>
  <c r="T64" i="22"/>
  <c r="W64" i="21" s="1"/>
  <c r="T60" i="22"/>
  <c r="W60" i="21" s="1"/>
  <c r="T56" i="22"/>
  <c r="W56" i="21" s="1"/>
  <c r="T39" i="22"/>
  <c r="W39" i="21" s="1"/>
  <c r="T35" i="22"/>
  <c r="W35" i="21" s="1"/>
  <c r="T30" i="22"/>
  <c r="W30" i="21" s="1"/>
  <c r="T27" i="22"/>
  <c r="W27" i="21" s="1"/>
  <c r="T25" i="22"/>
  <c r="W25" i="21" s="1"/>
  <c r="T23" i="22"/>
  <c r="W23" i="21" s="1"/>
  <c r="T13" i="22"/>
  <c r="W13" i="21" s="1"/>
  <c r="T11" i="22"/>
  <c r="W11" i="21" s="1"/>
  <c r="T9" i="22"/>
  <c r="W9" i="21" s="1"/>
  <c r="T135" i="22"/>
  <c r="W135" i="21" s="1"/>
  <c r="T133" i="22"/>
  <c r="W133" i="21" s="1"/>
  <c r="T131" i="22"/>
  <c r="W131" i="21" s="1"/>
  <c r="T129" i="22"/>
  <c r="W129" i="21" s="1"/>
  <c r="T127" i="22"/>
  <c r="W127" i="21" s="1"/>
  <c r="T125" i="22"/>
  <c r="W125" i="21" s="1"/>
  <c r="T123" i="22"/>
  <c r="W123" i="21" s="1"/>
  <c r="T121" i="22"/>
  <c r="W121" i="21" s="1"/>
  <c r="T119" i="22"/>
  <c r="W119" i="21" s="1"/>
  <c r="T117" i="22"/>
  <c r="W117" i="21" s="1"/>
  <c r="T115" i="22"/>
  <c r="W115" i="21" s="1"/>
  <c r="T103" i="22"/>
  <c r="W103" i="21" s="1"/>
  <c r="T101" i="22"/>
  <c r="W101" i="21" s="1"/>
  <c r="T99" i="22"/>
  <c r="W99" i="21" s="1"/>
  <c r="T97" i="22"/>
  <c r="W97" i="21" s="1"/>
  <c r="T95" i="22"/>
  <c r="W95" i="21" s="1"/>
  <c r="T111" i="22"/>
  <c r="W111" i="21" s="1"/>
  <c r="T107" i="22"/>
  <c r="W107" i="21" s="1"/>
  <c r="T94" i="22"/>
  <c r="W94" i="21" s="1"/>
  <c r="T92" i="22"/>
  <c r="W92" i="21" s="1"/>
  <c r="T90" i="22"/>
  <c r="W90" i="21" s="1"/>
  <c r="T88" i="22"/>
  <c r="W88" i="21" s="1"/>
  <c r="T86" i="22"/>
  <c r="W86" i="21" s="1"/>
  <c r="T74" i="22"/>
  <c r="W74" i="21" s="1"/>
  <c r="T72" i="22"/>
  <c r="W72" i="21" s="1"/>
  <c r="T70" i="22"/>
  <c r="W70" i="21" s="1"/>
  <c r="T68" i="22"/>
  <c r="W68" i="21" s="1"/>
  <c r="T66" i="22"/>
  <c r="W66" i="21" s="1"/>
  <c r="T54" i="22"/>
  <c r="W54" i="21" s="1"/>
  <c r="T52" i="22"/>
  <c r="W52" i="21" s="1"/>
  <c r="T50" i="22"/>
  <c r="W50" i="21" s="1"/>
  <c r="T48" i="22"/>
  <c r="W48" i="21" s="1"/>
  <c r="T46" i="22"/>
  <c r="W46" i="21" s="1"/>
  <c r="T43" i="22"/>
  <c r="W43" i="21" s="1"/>
  <c r="T136" i="22"/>
  <c r="W136" i="21" s="1"/>
  <c r="T110" i="22"/>
  <c r="W110" i="21" s="1"/>
  <c r="T84" i="22"/>
  <c r="W84" i="21" s="1"/>
  <c r="T80" i="22"/>
  <c r="W80" i="21" s="1"/>
  <c r="T76" i="22"/>
  <c r="W76" i="21" s="1"/>
  <c r="T61" i="22"/>
  <c r="W61" i="21" s="1"/>
  <c r="T57" i="22"/>
  <c r="W57" i="21" s="1"/>
  <c r="T44" i="22"/>
  <c r="W44" i="21" s="1"/>
  <c r="T38" i="22"/>
  <c r="W38" i="21" s="1"/>
  <c r="T34" i="22"/>
  <c r="W34" i="21" s="1"/>
  <c r="T32" i="22"/>
  <c r="W32" i="21" s="1"/>
  <c r="T21" i="22"/>
  <c r="W21" i="21" s="1"/>
  <c r="T19" i="22"/>
  <c r="W19" i="21" s="1"/>
  <c r="T17" i="22"/>
  <c r="W17" i="21" s="1"/>
  <c r="T15" i="22"/>
  <c r="W15" i="21" s="1"/>
  <c r="T8" i="22"/>
  <c r="W8" i="21" s="1"/>
  <c r="T5" i="22"/>
  <c r="W5" i="21" s="1"/>
  <c r="T112" i="22"/>
  <c r="W112" i="21" s="1"/>
  <c r="T83" i="22"/>
  <c r="W83" i="21" s="1"/>
  <c r="T79" i="22"/>
  <c r="W79" i="21" s="1"/>
  <c r="T75" i="22"/>
  <c r="W75" i="21" s="1"/>
  <c r="T62" i="22"/>
  <c r="W62" i="21" s="1"/>
  <c r="T58" i="22"/>
  <c r="W58" i="21" s="1"/>
  <c r="T41" i="22"/>
  <c r="W41" i="21" s="1"/>
  <c r="T37" i="22"/>
  <c r="W37" i="21" s="1"/>
  <c r="T31" i="22"/>
  <c r="W31" i="21" s="1"/>
  <c r="T29" i="22"/>
  <c r="W29" i="21" s="1"/>
  <c r="T26" i="22"/>
  <c r="W26" i="21" s="1"/>
  <c r="T24" i="22"/>
  <c r="W24" i="21" s="1"/>
  <c r="T22" i="22"/>
  <c r="W22" i="21" s="1"/>
  <c r="T12" i="22"/>
  <c r="W12" i="21" s="1"/>
  <c r="T10" i="22"/>
  <c r="W10" i="21" s="1"/>
  <c r="T7" i="22"/>
  <c r="W7" i="21" s="1"/>
  <c r="T3" i="22"/>
  <c r="W3" i="21" s="1"/>
  <c r="X134" i="22"/>
  <c r="AA134" i="21" s="1"/>
  <c r="X132" i="22"/>
  <c r="AA132" i="21" s="1"/>
  <c r="X130" i="22"/>
  <c r="AA130" i="21" s="1"/>
  <c r="X128" i="22"/>
  <c r="AA128" i="21" s="1"/>
  <c r="X126" i="22"/>
  <c r="AA126" i="21" s="1"/>
  <c r="X124" i="22"/>
  <c r="AA124" i="21" s="1"/>
  <c r="X122" i="22"/>
  <c r="AA122" i="21" s="1"/>
  <c r="X120" i="22"/>
  <c r="AA120" i="21" s="1"/>
  <c r="X118" i="22"/>
  <c r="AA118" i="21" s="1"/>
  <c r="X116" i="22"/>
  <c r="AA116" i="21" s="1"/>
  <c r="X104" i="22"/>
  <c r="AA104" i="21" s="1"/>
  <c r="X102" i="22"/>
  <c r="AA102" i="21" s="1"/>
  <c r="X100" i="22"/>
  <c r="AA100" i="21" s="1"/>
  <c r="X98" i="22"/>
  <c r="AA98" i="21" s="1"/>
  <c r="X96" i="22"/>
  <c r="AA96" i="21" s="1"/>
  <c r="X136" i="22"/>
  <c r="AA136" i="21" s="1"/>
  <c r="X111" i="22"/>
  <c r="AA111" i="21" s="1"/>
  <c r="X107" i="22"/>
  <c r="AA107" i="21" s="1"/>
  <c r="X94" i="22"/>
  <c r="AA94" i="21" s="1"/>
  <c r="X92" i="22"/>
  <c r="AA92" i="21" s="1"/>
  <c r="X90" i="22"/>
  <c r="AA90" i="21" s="1"/>
  <c r="X88" i="22"/>
  <c r="AA88" i="21" s="1"/>
  <c r="X86" i="22"/>
  <c r="AA86" i="21" s="1"/>
  <c r="X74" i="22"/>
  <c r="AA74" i="21" s="1"/>
  <c r="X72" i="22"/>
  <c r="AA72" i="21" s="1"/>
  <c r="X70" i="22"/>
  <c r="AA70" i="21" s="1"/>
  <c r="X68" i="22"/>
  <c r="AA68" i="21" s="1"/>
  <c r="X66" i="22"/>
  <c r="AA66" i="21" s="1"/>
  <c r="X54" i="22"/>
  <c r="AA54" i="21" s="1"/>
  <c r="X52" i="22"/>
  <c r="AA52" i="21" s="1"/>
  <c r="X50" i="22"/>
  <c r="AA50" i="21" s="1"/>
  <c r="X48" i="22"/>
  <c r="AA48" i="21" s="1"/>
  <c r="X46" i="22"/>
  <c r="AA46" i="21" s="1"/>
  <c r="X43" i="22"/>
  <c r="AA43" i="21" s="1"/>
  <c r="X112" i="22"/>
  <c r="AA112" i="21" s="1"/>
  <c r="X84" i="22"/>
  <c r="AA84" i="21" s="1"/>
  <c r="X80" i="22"/>
  <c r="AA80" i="21" s="1"/>
  <c r="X76" i="22"/>
  <c r="AA76" i="21" s="1"/>
  <c r="X61" i="22"/>
  <c r="AA61" i="21" s="1"/>
  <c r="X57" i="22"/>
  <c r="AA57" i="21" s="1"/>
  <c r="X44" i="22"/>
  <c r="AA44" i="21" s="1"/>
  <c r="X38" i="22"/>
  <c r="AA38" i="21" s="1"/>
  <c r="X34" i="22"/>
  <c r="AA34" i="21" s="1"/>
  <c r="X28" i="22"/>
  <c r="AA28" i="21" s="1"/>
  <c r="X20" i="22"/>
  <c r="AA20" i="21" s="1"/>
  <c r="X18" i="22"/>
  <c r="AA18" i="21" s="1"/>
  <c r="X16" i="22"/>
  <c r="AA16" i="21" s="1"/>
  <c r="X14" i="22"/>
  <c r="AA14" i="21" s="1"/>
  <c r="X6" i="22"/>
  <c r="AA6" i="21" s="1"/>
  <c r="X4" i="22"/>
  <c r="AA4" i="21" s="1"/>
  <c r="X110" i="22"/>
  <c r="AA110" i="21" s="1"/>
  <c r="X83" i="22"/>
  <c r="AA83" i="21" s="1"/>
  <c r="X79" i="22"/>
  <c r="AA79" i="21" s="1"/>
  <c r="X75" i="22"/>
  <c r="AA75" i="21" s="1"/>
  <c r="X62" i="22"/>
  <c r="AA62" i="21" s="1"/>
  <c r="X58" i="22"/>
  <c r="AA58" i="21" s="1"/>
  <c r="X41" i="22"/>
  <c r="AA41" i="21" s="1"/>
  <c r="X37" i="22"/>
  <c r="AA37" i="21" s="1"/>
  <c r="X33" i="22"/>
  <c r="AA33" i="21" s="1"/>
  <c r="X30" i="22"/>
  <c r="AA30" i="21" s="1"/>
  <c r="X27" i="22"/>
  <c r="AA27" i="21" s="1"/>
  <c r="X25" i="22"/>
  <c r="AA25" i="21" s="1"/>
  <c r="X23" i="22"/>
  <c r="AA23" i="21" s="1"/>
  <c r="X13" i="22"/>
  <c r="AA13" i="21" s="1"/>
  <c r="X11" i="22"/>
  <c r="AA11" i="21" s="1"/>
  <c r="X9" i="22"/>
  <c r="AA9" i="21" s="1"/>
  <c r="X3" i="22"/>
  <c r="AA3" i="21" s="1"/>
  <c r="X135" i="22"/>
  <c r="AA135" i="21" s="1"/>
  <c r="X133" i="22"/>
  <c r="AA133" i="21" s="1"/>
  <c r="X131" i="22"/>
  <c r="AA131" i="21" s="1"/>
  <c r="X129" i="22"/>
  <c r="AA129" i="21" s="1"/>
  <c r="X127" i="22"/>
  <c r="AA127" i="21" s="1"/>
  <c r="X125" i="22"/>
  <c r="AA125" i="21" s="1"/>
  <c r="X123" i="22"/>
  <c r="AA123" i="21" s="1"/>
  <c r="X121" i="22"/>
  <c r="AA121" i="21" s="1"/>
  <c r="X119" i="22"/>
  <c r="AA119" i="21" s="1"/>
  <c r="X117" i="22"/>
  <c r="AA117" i="21" s="1"/>
  <c r="X115" i="22"/>
  <c r="AA115" i="21" s="1"/>
  <c r="X103" i="22"/>
  <c r="AA103" i="21" s="1"/>
  <c r="X101" i="22"/>
  <c r="AA101" i="21" s="1"/>
  <c r="X99" i="22"/>
  <c r="AA99" i="21" s="1"/>
  <c r="X97" i="22"/>
  <c r="AA97" i="21" s="1"/>
  <c r="X95" i="22"/>
  <c r="AA95" i="21" s="1"/>
  <c r="X113" i="22"/>
  <c r="AA113" i="21" s="1"/>
  <c r="X109" i="22"/>
  <c r="AA109" i="21" s="1"/>
  <c r="X105" i="22"/>
  <c r="AA105" i="21" s="1"/>
  <c r="X93" i="22"/>
  <c r="AA93" i="21" s="1"/>
  <c r="X91" i="22"/>
  <c r="AA91" i="21" s="1"/>
  <c r="X89" i="22"/>
  <c r="AA89" i="21" s="1"/>
  <c r="X87" i="22"/>
  <c r="AA87" i="21" s="1"/>
  <c r="X85" i="22"/>
  <c r="AA85" i="21" s="1"/>
  <c r="X73" i="22"/>
  <c r="AA73" i="21" s="1"/>
  <c r="X71" i="22"/>
  <c r="AA71" i="21" s="1"/>
  <c r="X69" i="22"/>
  <c r="AA69" i="21" s="1"/>
  <c r="X67" i="22"/>
  <c r="AA67" i="21" s="1"/>
  <c r="X65" i="22"/>
  <c r="AA65" i="21" s="1"/>
  <c r="X53" i="22"/>
  <c r="AA53" i="21" s="1"/>
  <c r="X51" i="22"/>
  <c r="AA51" i="21" s="1"/>
  <c r="X49" i="22"/>
  <c r="AA49" i="21" s="1"/>
  <c r="X47" i="22"/>
  <c r="AA47" i="21" s="1"/>
  <c r="X45" i="22"/>
  <c r="AA45" i="21" s="1"/>
  <c r="X42" i="22"/>
  <c r="AA42" i="21" s="1"/>
  <c r="X108" i="22"/>
  <c r="AA108" i="21" s="1"/>
  <c r="X82" i="22"/>
  <c r="AA82" i="21" s="1"/>
  <c r="X78" i="22"/>
  <c r="AA78" i="21" s="1"/>
  <c r="X63" i="22"/>
  <c r="AA63" i="21" s="1"/>
  <c r="X59" i="22"/>
  <c r="AA59" i="21" s="1"/>
  <c r="X55" i="22"/>
  <c r="AA55" i="21" s="1"/>
  <c r="X40" i="22"/>
  <c r="AA40" i="21" s="1"/>
  <c r="X36" i="22"/>
  <c r="AA36" i="21" s="1"/>
  <c r="X32" i="22"/>
  <c r="AA32" i="21" s="1"/>
  <c r="X21" i="22"/>
  <c r="AA21" i="21" s="1"/>
  <c r="X19" i="22"/>
  <c r="AA19" i="21" s="1"/>
  <c r="X17" i="22"/>
  <c r="AA17" i="21" s="1"/>
  <c r="X15" i="22"/>
  <c r="AA15" i="21" s="1"/>
  <c r="X8" i="22"/>
  <c r="AA8" i="21" s="1"/>
  <c r="X5" i="22"/>
  <c r="AA5" i="21" s="1"/>
  <c r="X114" i="22"/>
  <c r="AA114" i="21" s="1"/>
  <c r="X106" i="22"/>
  <c r="AA106" i="21" s="1"/>
  <c r="X81" i="22"/>
  <c r="AA81" i="21" s="1"/>
  <c r="X77" i="22"/>
  <c r="AA77" i="21" s="1"/>
  <c r="X64" i="22"/>
  <c r="AA64" i="21" s="1"/>
  <c r="X60" i="22"/>
  <c r="AA60" i="21" s="1"/>
  <c r="X56" i="22"/>
  <c r="AA56" i="21" s="1"/>
  <c r="X39" i="22"/>
  <c r="AA39" i="21" s="1"/>
  <c r="X35" i="22"/>
  <c r="AA35" i="21" s="1"/>
  <c r="X31" i="22"/>
  <c r="AA31" i="21" s="1"/>
  <c r="X29" i="22"/>
  <c r="AA29" i="21" s="1"/>
  <c r="X26" i="22"/>
  <c r="AA26" i="21" s="1"/>
  <c r="X24" i="22"/>
  <c r="AA24" i="21" s="1"/>
  <c r="X22" i="22"/>
  <c r="AA22" i="21" s="1"/>
  <c r="X12" i="22"/>
  <c r="AA12" i="21" s="1"/>
  <c r="X10" i="22"/>
  <c r="AA10" i="21" s="1"/>
  <c r="X7" i="22"/>
  <c r="AA7" i="21" s="1"/>
  <c r="X2" i="22"/>
  <c r="AA2" i="21" s="1"/>
  <c r="J10" i="2"/>
  <c r="I11" i="2" s="1"/>
  <c r="R10" i="2"/>
  <c r="Q11" i="2" s="1"/>
  <c r="E10" i="21"/>
  <c r="S10" i="23" s="1"/>
  <c r="H10" i="21"/>
  <c r="V10" i="23" s="1"/>
  <c r="I10" i="21"/>
  <c r="W10" i="23" s="1"/>
  <c r="D10" i="21"/>
  <c r="R10" i="23" s="1"/>
  <c r="C10" i="21"/>
  <c r="Q10" i="23" s="1"/>
  <c r="G10" i="21"/>
  <c r="U10" i="23" s="1"/>
  <c r="F10" i="21"/>
  <c r="T10" i="23" s="1"/>
  <c r="B10" i="21"/>
  <c r="P10" i="23" s="1"/>
  <c r="Z10" i="2"/>
  <c r="Y11" i="2" s="1"/>
  <c r="T10" i="2"/>
  <c r="S11" i="2" s="1"/>
  <c r="L10" i="2"/>
  <c r="K11" i="2" s="1"/>
  <c r="X10" i="2"/>
  <c r="W11" i="2" s="1"/>
  <c r="N10" i="2"/>
  <c r="M11" i="2" s="1"/>
  <c r="AA10" i="2"/>
  <c r="P10" i="2"/>
  <c r="O11" i="2" s="1"/>
  <c r="U10" i="2"/>
  <c r="O3" i="25"/>
  <c r="O129" i="25"/>
  <c r="O121" i="25"/>
  <c r="O103" i="25"/>
  <c r="O114" i="25"/>
  <c r="O92" i="25"/>
  <c r="O74" i="25"/>
  <c r="O66" i="25"/>
  <c r="O48" i="25"/>
  <c r="O107" i="25"/>
  <c r="O60" i="25"/>
  <c r="O34" i="25"/>
  <c r="O17" i="25"/>
  <c r="O109" i="25"/>
  <c r="O61" i="25"/>
  <c r="O31" i="25"/>
  <c r="O14" i="25"/>
  <c r="O134" i="25"/>
  <c r="O126" i="25"/>
  <c r="O118" i="25"/>
  <c r="O100" i="25"/>
  <c r="O108" i="25"/>
  <c r="O89" i="25"/>
  <c r="O71" i="25"/>
  <c r="O53" i="25"/>
  <c r="O44" i="25"/>
  <c r="O81" i="25"/>
  <c r="O45" i="25"/>
  <c r="O22" i="25"/>
  <c r="O9" i="25"/>
  <c r="O80" i="25"/>
  <c r="O42" i="25"/>
  <c r="O27" i="25"/>
  <c r="O11" i="25"/>
  <c r="O135" i="25"/>
  <c r="O127" i="25"/>
  <c r="O119" i="25"/>
  <c r="O101" i="25"/>
  <c r="O110" i="25"/>
  <c r="O90" i="25"/>
  <c r="O72" i="25"/>
  <c r="O54" i="25"/>
  <c r="O46" i="25"/>
  <c r="O83" i="25"/>
  <c r="O56" i="25"/>
  <c r="O29" i="25"/>
  <c r="O15" i="25"/>
  <c r="O82" i="25"/>
  <c r="O57" i="25"/>
  <c r="O28" i="25"/>
  <c r="O12" i="25"/>
  <c r="O132" i="25"/>
  <c r="O124" i="25"/>
  <c r="O116" i="25"/>
  <c r="O98" i="25"/>
  <c r="O95" i="25"/>
  <c r="O87" i="25"/>
  <c r="O69" i="25"/>
  <c r="O51" i="25"/>
  <c r="O137" i="25"/>
  <c r="O77" i="25"/>
  <c r="O39" i="25"/>
  <c r="O20" i="25"/>
  <c r="O6" i="25"/>
  <c r="O76" i="25"/>
  <c r="O25" i="25"/>
  <c r="O133" i="25"/>
  <c r="O125" i="25"/>
  <c r="O117" i="25"/>
  <c r="O99" i="25"/>
  <c r="O106" i="25"/>
  <c r="O88" i="25"/>
  <c r="O70" i="25"/>
  <c r="O52" i="25"/>
  <c r="O43" i="25"/>
  <c r="O79" i="25"/>
  <c r="O41" i="25"/>
  <c r="O21" i="25"/>
  <c r="O7" i="25"/>
  <c r="O78" i="25"/>
  <c r="O40" i="25"/>
  <c r="O26" i="25"/>
  <c r="O10" i="25"/>
  <c r="O130" i="25"/>
  <c r="O122" i="25"/>
  <c r="O104" i="25"/>
  <c r="O96" i="25"/>
  <c r="O93" i="25"/>
  <c r="O75" i="25"/>
  <c r="O67" i="25"/>
  <c r="O49" i="25"/>
  <c r="O111" i="25"/>
  <c r="O62" i="25"/>
  <c r="O35" i="25"/>
  <c r="O18" i="25"/>
  <c r="O113" i="25"/>
  <c r="O63" i="25"/>
  <c r="O32" i="25"/>
  <c r="O23" i="25"/>
  <c r="O4" i="25"/>
  <c r="O131" i="25"/>
  <c r="O123" i="25"/>
  <c r="O105" i="25"/>
  <c r="O97" i="25"/>
  <c r="O94" i="25"/>
  <c r="O86" i="25"/>
  <c r="O68" i="25"/>
  <c r="O50" i="25"/>
  <c r="O115" i="25"/>
  <c r="O64" i="25"/>
  <c r="O37" i="25"/>
  <c r="O19" i="25"/>
  <c r="O5" i="25"/>
  <c r="O65" i="25"/>
  <c r="O36" i="25"/>
  <c r="O24" i="25"/>
  <c r="O136" i="25"/>
  <c r="O128" i="25"/>
  <c r="O120" i="25"/>
  <c r="O102" i="25"/>
  <c r="O112" i="25"/>
  <c r="O91" i="25"/>
  <c r="O73" i="25"/>
  <c r="O55" i="25"/>
  <c r="O47" i="25"/>
  <c r="O85" i="25"/>
  <c r="O58" i="25"/>
  <c r="O33" i="25"/>
  <c r="O16" i="25"/>
  <c r="O84" i="25"/>
  <c r="O59" i="25"/>
  <c r="O30" i="25"/>
  <c r="O13" i="25"/>
  <c r="O38" i="25"/>
  <c r="O8" i="25"/>
  <c r="AX10" i="23" l="1"/>
  <c r="BB10" i="23" s="1"/>
  <c r="BD10" i="23"/>
  <c r="BC10" i="23"/>
  <c r="BA9" i="23"/>
  <c r="AZ9" i="23"/>
  <c r="BD9" i="23"/>
  <c r="BC9" i="23"/>
  <c r="O175" i="22"/>
  <c r="O171" i="22"/>
  <c r="O172" i="22"/>
  <c r="O178" i="22"/>
  <c r="O177" i="22"/>
  <c r="O173" i="22"/>
  <c r="O176" i="22"/>
  <c r="O174" i="22"/>
  <c r="J11" i="2"/>
  <c r="I12" i="2" s="1"/>
  <c r="O185" i="22"/>
  <c r="O181" i="22"/>
  <c r="O180" i="22"/>
  <c r="O186" i="22"/>
  <c r="O187" i="22"/>
  <c r="O183" i="22"/>
  <c r="O184" i="22"/>
  <c r="O182" i="22"/>
  <c r="B11" i="21"/>
  <c r="P11" i="23" s="1"/>
  <c r="R11" i="2"/>
  <c r="Q12" i="2" s="1"/>
  <c r="D11" i="21"/>
  <c r="R11" i="23" s="1"/>
  <c r="C11" i="21"/>
  <c r="Q11" i="23" s="1"/>
  <c r="H11" i="21"/>
  <c r="V11" i="23" s="1"/>
  <c r="AI6" i="23" s="1"/>
  <c r="G11" i="21"/>
  <c r="U11" i="23" s="1"/>
  <c r="F11" i="21"/>
  <c r="T11" i="23" s="1"/>
  <c r="E11" i="21"/>
  <c r="S11" i="23" s="1"/>
  <c r="AF6" i="23" s="1"/>
  <c r="I11" i="21"/>
  <c r="W11" i="23" s="1"/>
  <c r="AJ6" i="23" s="1"/>
  <c r="Z11" i="2"/>
  <c r="Y12" i="2" s="1"/>
  <c r="L11" i="2"/>
  <c r="K12" i="2" s="1"/>
  <c r="X11" i="2"/>
  <c r="W12" i="2" s="1"/>
  <c r="N11" i="2"/>
  <c r="M12" i="2" s="1"/>
  <c r="AA11" i="2"/>
  <c r="P11" i="2"/>
  <c r="O12" i="2" s="1"/>
  <c r="T11" i="2"/>
  <c r="S12" i="2" s="1"/>
  <c r="U11" i="2"/>
  <c r="AG6" i="23" l="1"/>
  <c r="AE6" i="23"/>
  <c r="AX11" i="23"/>
  <c r="BB11" i="23" s="1"/>
  <c r="AC6" i="23"/>
  <c r="AZ10" i="23"/>
  <c r="BA10" i="23"/>
  <c r="AY10" i="23"/>
  <c r="BD11" i="23"/>
  <c r="AH6" i="23"/>
  <c r="AZ11" i="23"/>
  <c r="AD6" i="23"/>
  <c r="J12" i="2"/>
  <c r="I13" i="2" s="1"/>
  <c r="R12" i="2"/>
  <c r="Q13" i="2" s="1"/>
  <c r="E12" i="21"/>
  <c r="S12" i="23" s="1"/>
  <c r="D12" i="21"/>
  <c r="R12" i="23" s="1"/>
  <c r="C12" i="21"/>
  <c r="Q12" i="23" s="1"/>
  <c r="B12" i="21"/>
  <c r="P12" i="23" s="1"/>
  <c r="G12" i="21"/>
  <c r="U12" i="23" s="1"/>
  <c r="H12" i="21"/>
  <c r="V12" i="23" s="1"/>
  <c r="I12" i="21"/>
  <c r="W12" i="23" s="1"/>
  <c r="F12" i="21"/>
  <c r="T12" i="23" s="1"/>
  <c r="Z12" i="2"/>
  <c r="Y13" i="2" s="1"/>
  <c r="L12" i="2"/>
  <c r="K13" i="2" s="1"/>
  <c r="N12" i="2"/>
  <c r="M13" i="2" s="1"/>
  <c r="X12" i="2"/>
  <c r="W13" i="2" s="1"/>
  <c r="P12" i="2"/>
  <c r="O13" i="2" s="1"/>
  <c r="AA12" i="2"/>
  <c r="T12" i="2"/>
  <c r="S13" i="2" s="1"/>
  <c r="U12" i="2"/>
  <c r="BC12" i="23" l="1"/>
  <c r="AX12" i="23"/>
  <c r="BB12" i="23" s="1"/>
  <c r="AY12" i="23"/>
  <c r="BA12" i="23"/>
  <c r="AY11" i="23"/>
  <c r="BD12" i="23"/>
  <c r="AZ12" i="23"/>
  <c r="BA11" i="23"/>
  <c r="BC11" i="23"/>
  <c r="J13" i="2"/>
  <c r="R13" i="2"/>
  <c r="H13" i="21"/>
  <c r="V13" i="23" s="1"/>
  <c r="C13" i="21"/>
  <c r="Q13" i="23" s="1"/>
  <c r="B13" i="21"/>
  <c r="P13" i="23" s="1"/>
  <c r="G13" i="21"/>
  <c r="U13" i="23" s="1"/>
  <c r="E13" i="21"/>
  <c r="S13" i="23" s="1"/>
  <c r="D13" i="21"/>
  <c r="R13" i="23" s="1"/>
  <c r="I13" i="21"/>
  <c r="W13" i="23" s="1"/>
  <c r="F13" i="21"/>
  <c r="T13" i="23" s="1"/>
  <c r="I14" i="2"/>
  <c r="Q14" i="2"/>
  <c r="Z13" i="2"/>
  <c r="Y14" i="2" s="1"/>
  <c r="X13" i="2"/>
  <c r="W14" i="2" s="1"/>
  <c r="N13" i="2"/>
  <c r="M14" i="2" s="1"/>
  <c r="L13" i="2"/>
  <c r="K14" i="2" s="1"/>
  <c r="AA13" i="2"/>
  <c r="P13" i="2"/>
  <c r="O14" i="2" s="1"/>
  <c r="T13" i="2"/>
  <c r="S14" i="2" s="1"/>
  <c r="U13" i="2"/>
  <c r="BC13" i="23" l="1"/>
  <c r="AZ13" i="23"/>
  <c r="AX13" i="23"/>
  <c r="BB13" i="23" s="1"/>
  <c r="AY13" i="23"/>
  <c r="BD13" i="23"/>
  <c r="J14" i="2"/>
  <c r="I15" i="2" s="1"/>
  <c r="R14" i="2"/>
  <c r="Q15" i="2" s="1"/>
  <c r="D14" i="21"/>
  <c r="R14" i="23" s="1"/>
  <c r="B14" i="21"/>
  <c r="P14" i="23" s="1"/>
  <c r="E14" i="21"/>
  <c r="S14" i="23" s="1"/>
  <c r="AF7" i="23" s="1"/>
  <c r="C14" i="21"/>
  <c r="Q14" i="23" s="1"/>
  <c r="H14" i="21"/>
  <c r="V14" i="23" s="1"/>
  <c r="AI7" i="23" s="1"/>
  <c r="F14" i="21"/>
  <c r="T14" i="23" s="1"/>
  <c r="G14" i="21"/>
  <c r="U14" i="23" s="1"/>
  <c r="I14" i="21"/>
  <c r="W14" i="23" s="1"/>
  <c r="AJ7" i="23" s="1"/>
  <c r="Z14" i="2"/>
  <c r="Y15" i="2" s="1"/>
  <c r="N14" i="2"/>
  <c r="M15" i="2" s="1"/>
  <c r="X14" i="2"/>
  <c r="W15" i="2" s="1"/>
  <c r="P14" i="2"/>
  <c r="O15" i="2" s="1"/>
  <c r="T14" i="2"/>
  <c r="S15" i="2" s="1"/>
  <c r="AA14" i="2"/>
  <c r="L14" i="2"/>
  <c r="K15" i="2" s="1"/>
  <c r="AH7" i="23" l="1"/>
  <c r="AG7" i="23"/>
  <c r="AD7" i="23"/>
  <c r="AX14" i="23"/>
  <c r="BB14" i="23" s="1"/>
  <c r="AY14" i="23"/>
  <c r="AC7" i="23"/>
  <c r="BA13" i="23"/>
  <c r="BA14" i="23"/>
  <c r="AE7" i="23"/>
  <c r="J15" i="2"/>
  <c r="I16" i="2" s="1"/>
  <c r="B15" i="21"/>
  <c r="P15" i="23" s="1"/>
  <c r="R15" i="2"/>
  <c r="Q16" i="2" s="1"/>
  <c r="C15" i="21"/>
  <c r="Q15" i="23" s="1"/>
  <c r="G15" i="21"/>
  <c r="U15" i="23" s="1"/>
  <c r="H15" i="21"/>
  <c r="V15" i="23" s="1"/>
  <c r="I15" i="21"/>
  <c r="W15" i="23" s="1"/>
  <c r="E15" i="21"/>
  <c r="S15" i="23" s="1"/>
  <c r="D15" i="21"/>
  <c r="R15" i="23" s="1"/>
  <c r="F15" i="21"/>
  <c r="T15" i="23" s="1"/>
  <c r="Z15" i="2"/>
  <c r="Y16" i="2" s="1"/>
  <c r="P15" i="2"/>
  <c r="O16" i="2" s="1"/>
  <c r="N15" i="2"/>
  <c r="M16" i="2" s="1"/>
  <c r="T15" i="2"/>
  <c r="S16" i="2" s="1"/>
  <c r="AA15" i="2"/>
  <c r="L15" i="2"/>
  <c r="K16" i="2" s="1"/>
  <c r="X15" i="2"/>
  <c r="W16" i="2" s="1"/>
  <c r="U14" i="2"/>
  <c r="AX15" i="23" l="1"/>
  <c r="BB15" i="23" s="1"/>
  <c r="BA15" i="23"/>
  <c r="AZ14" i="23"/>
  <c r="BC14" i="23"/>
  <c r="BD14" i="23"/>
  <c r="J16" i="2"/>
  <c r="I17" i="2" s="1"/>
  <c r="R16" i="2"/>
  <c r="Q17" i="2" s="1"/>
  <c r="H16" i="21"/>
  <c r="V16" i="23" s="1"/>
  <c r="AI8" i="23" s="1"/>
  <c r="D16" i="21"/>
  <c r="R16" i="23" s="1"/>
  <c r="I16" i="21"/>
  <c r="W16" i="23" s="1"/>
  <c r="AJ8" i="23" s="1"/>
  <c r="C16" i="21"/>
  <c r="Q16" i="23" s="1"/>
  <c r="G16" i="21"/>
  <c r="U16" i="23" s="1"/>
  <c r="E16" i="21"/>
  <c r="S16" i="23" s="1"/>
  <c r="AF8" i="23" s="1"/>
  <c r="F16" i="21"/>
  <c r="T16" i="23" s="1"/>
  <c r="B16" i="21"/>
  <c r="P16" i="23" s="1"/>
  <c r="Z16" i="2"/>
  <c r="Y17" i="2" s="1"/>
  <c r="T16" i="2"/>
  <c r="S17" i="2" s="1"/>
  <c r="P16" i="2"/>
  <c r="O17" i="2" s="1"/>
  <c r="AA16" i="2"/>
  <c r="X16" i="2"/>
  <c r="W17" i="2" s="1"/>
  <c r="L16" i="2"/>
  <c r="K17" i="2" s="1"/>
  <c r="N16" i="2"/>
  <c r="M17" i="2" s="1"/>
  <c r="U15" i="2"/>
  <c r="BD16" i="23" l="1"/>
  <c r="AH8" i="23"/>
  <c r="BD15" i="23"/>
  <c r="AY15" i="23"/>
  <c r="BC15" i="23"/>
  <c r="AG8" i="23"/>
  <c r="AX16" i="23"/>
  <c r="BB16" i="23" s="1"/>
  <c r="AY16" i="23"/>
  <c r="AC8" i="23"/>
  <c r="AZ16" i="23"/>
  <c r="AD8" i="23"/>
  <c r="BA16" i="23"/>
  <c r="AE8" i="23"/>
  <c r="AZ15" i="23"/>
  <c r="J17" i="2"/>
  <c r="R17" i="2"/>
  <c r="Q18" i="2" s="1"/>
  <c r="B17" i="21"/>
  <c r="P17" i="23" s="1"/>
  <c r="C17" i="21"/>
  <c r="Q17" i="23" s="1"/>
  <c r="G17" i="21"/>
  <c r="U17" i="23" s="1"/>
  <c r="D17" i="21"/>
  <c r="R17" i="23" s="1"/>
  <c r="H17" i="21"/>
  <c r="V17" i="23" s="1"/>
  <c r="E17" i="21"/>
  <c r="S17" i="23" s="1"/>
  <c r="I17" i="21"/>
  <c r="W17" i="23" s="1"/>
  <c r="F17" i="21"/>
  <c r="T17" i="23" s="1"/>
  <c r="I18" i="2"/>
  <c r="Z17" i="2"/>
  <c r="Y18" i="2" s="1"/>
  <c r="P17" i="2"/>
  <c r="O18" i="2" s="1"/>
  <c r="T17" i="2"/>
  <c r="S18" i="2" s="1"/>
  <c r="AA17" i="2"/>
  <c r="L17" i="2"/>
  <c r="K18" i="2" s="1"/>
  <c r="X17" i="2"/>
  <c r="W18" i="2" s="1"/>
  <c r="N17" i="2"/>
  <c r="M18" i="2" s="1"/>
  <c r="U16" i="2"/>
  <c r="BC17" i="23" l="1"/>
  <c r="BD17" i="23"/>
  <c r="AX17" i="23"/>
  <c r="AZ17" i="23" s="1"/>
  <c r="AY17" i="23"/>
  <c r="BC16" i="23"/>
  <c r="BA17" i="23"/>
  <c r="J18" i="2"/>
  <c r="I19" i="2" s="1"/>
  <c r="R18" i="2"/>
  <c r="Q19" i="2" s="1"/>
  <c r="H18" i="21"/>
  <c r="V18" i="23" s="1"/>
  <c r="AI9" i="23" s="1"/>
  <c r="E18" i="21"/>
  <c r="S18" i="23" s="1"/>
  <c r="AF9" i="23" s="1"/>
  <c r="B18" i="21"/>
  <c r="P18" i="23" s="1"/>
  <c r="D18" i="21"/>
  <c r="R18" i="23" s="1"/>
  <c r="C18" i="21"/>
  <c r="Q18" i="23" s="1"/>
  <c r="G18" i="21"/>
  <c r="U18" i="23" s="1"/>
  <c r="I18" i="21"/>
  <c r="W18" i="23" s="1"/>
  <c r="AJ9" i="23" s="1"/>
  <c r="F18" i="21"/>
  <c r="T18" i="23" s="1"/>
  <c r="Z18" i="2"/>
  <c r="Y19" i="2" s="1"/>
  <c r="T18" i="2"/>
  <c r="S19" i="2" s="1"/>
  <c r="L18" i="2"/>
  <c r="K19" i="2" s="1"/>
  <c r="N18" i="2"/>
  <c r="M19" i="2" s="1"/>
  <c r="X18" i="2"/>
  <c r="W19" i="2" s="1"/>
  <c r="P18" i="2"/>
  <c r="O19" i="2" s="1"/>
  <c r="AA18" i="2"/>
  <c r="AG9" i="23" l="1"/>
  <c r="AH9" i="23"/>
  <c r="AE9" i="23"/>
  <c r="AD9" i="23"/>
  <c r="AX18" i="23"/>
  <c r="BB18" i="23" s="1"/>
  <c r="AY18" i="23"/>
  <c r="AC9" i="23"/>
  <c r="BB17" i="23"/>
  <c r="J19" i="2"/>
  <c r="R19" i="2"/>
  <c r="E19" i="21"/>
  <c r="S19" i="23" s="1"/>
  <c r="D19" i="21"/>
  <c r="R19" i="23" s="1"/>
  <c r="G19" i="21"/>
  <c r="U19" i="23" s="1"/>
  <c r="B19" i="21"/>
  <c r="P19" i="23" s="1"/>
  <c r="H19" i="21"/>
  <c r="V19" i="23" s="1"/>
  <c r="C19" i="21"/>
  <c r="Q19" i="23" s="1"/>
  <c r="I19" i="21"/>
  <c r="W19" i="23" s="1"/>
  <c r="F19" i="21"/>
  <c r="T19" i="23" s="1"/>
  <c r="I20" i="2"/>
  <c r="Q20" i="2"/>
  <c r="Z19" i="2"/>
  <c r="Y20" i="2" s="1"/>
  <c r="T19" i="2"/>
  <c r="S20" i="2" s="1"/>
  <c r="N19" i="2"/>
  <c r="M20" i="2" s="1"/>
  <c r="X19" i="2"/>
  <c r="W20" i="2" s="1"/>
  <c r="L19" i="2"/>
  <c r="K20" i="2" s="1"/>
  <c r="U19" i="2"/>
  <c r="P19" i="2"/>
  <c r="O20" i="2" s="1"/>
  <c r="AA19" i="2"/>
  <c r="U17" i="2"/>
  <c r="BC19" i="23" l="1"/>
  <c r="AX19" i="23"/>
  <c r="AZ19" i="23" s="1"/>
  <c r="AY19" i="23"/>
  <c r="BA19" i="23"/>
  <c r="BD19" i="23"/>
  <c r="BB19" i="23"/>
  <c r="AZ18" i="23"/>
  <c r="BA18" i="23"/>
  <c r="BD18" i="23"/>
  <c r="BC18" i="23"/>
  <c r="J20" i="2"/>
  <c r="I21" i="2" s="1"/>
  <c r="R20" i="2"/>
  <c r="H20" i="21"/>
  <c r="V20" i="23" s="1"/>
  <c r="G20" i="21"/>
  <c r="U20" i="23" s="1"/>
  <c r="B20" i="21"/>
  <c r="P20" i="23" s="1"/>
  <c r="E20" i="21"/>
  <c r="S20" i="23" s="1"/>
  <c r="C20" i="21"/>
  <c r="Q20" i="23" s="1"/>
  <c r="D20" i="21"/>
  <c r="R20" i="23" s="1"/>
  <c r="I20" i="21"/>
  <c r="W20" i="23" s="1"/>
  <c r="F20" i="21"/>
  <c r="T20" i="23" s="1"/>
  <c r="Q21" i="2"/>
  <c r="Z20" i="2"/>
  <c r="Y21" i="2" s="1"/>
  <c r="T20" i="2"/>
  <c r="S21" i="2" s="1"/>
  <c r="L20" i="2"/>
  <c r="K21" i="2" s="1"/>
  <c r="X20" i="2"/>
  <c r="W21" i="2" s="1"/>
  <c r="N20" i="2"/>
  <c r="M21" i="2" s="1"/>
  <c r="P20" i="2"/>
  <c r="O21" i="2" s="1"/>
  <c r="U20" i="2"/>
  <c r="AA20" i="2"/>
  <c r="U18" i="2"/>
  <c r="AX20" i="23" l="1"/>
  <c r="AZ20" i="23" s="1"/>
  <c r="J21" i="2"/>
  <c r="R21" i="2"/>
  <c r="E21" i="21"/>
  <c r="S21" i="23" s="1"/>
  <c r="H21" i="21"/>
  <c r="V21" i="23" s="1"/>
  <c r="AI10" i="23" s="1"/>
  <c r="G21" i="21"/>
  <c r="U21" i="23" s="1"/>
  <c r="D21" i="21"/>
  <c r="R21" i="23" s="1"/>
  <c r="C21" i="21"/>
  <c r="Q21" i="23" s="1"/>
  <c r="AD10" i="23" s="1"/>
  <c r="I21" i="21"/>
  <c r="W21" i="23" s="1"/>
  <c r="AJ10" i="23" s="1"/>
  <c r="F21" i="21"/>
  <c r="T21" i="23" s="1"/>
  <c r="B21" i="21"/>
  <c r="P21" i="23" s="1"/>
  <c r="I22" i="2"/>
  <c r="Z21" i="2"/>
  <c r="Y22" i="2" s="1"/>
  <c r="T21" i="2"/>
  <c r="S22" i="2" s="1"/>
  <c r="L21" i="2"/>
  <c r="K22" i="2" s="1"/>
  <c r="N21" i="2"/>
  <c r="M22" i="2" s="1"/>
  <c r="X21" i="2"/>
  <c r="W22" i="2" s="1"/>
  <c r="P21" i="2"/>
  <c r="O22" i="2" s="1"/>
  <c r="Q22" i="2"/>
  <c r="U21" i="2"/>
  <c r="AA21" i="2"/>
  <c r="AG10" i="23" l="1"/>
  <c r="AH10" i="23"/>
  <c r="AX21" i="23"/>
  <c r="AZ21" i="23" s="1"/>
  <c r="AC10" i="23"/>
  <c r="AE10" i="23"/>
  <c r="AY20" i="23"/>
  <c r="BD20" i="23"/>
  <c r="BA20" i="23"/>
  <c r="BB21" i="23"/>
  <c r="AF10" i="23"/>
  <c r="BB20" i="23"/>
  <c r="BC20" i="23"/>
  <c r="J22" i="2"/>
  <c r="I23" i="2" s="1"/>
  <c r="J23" i="2" s="1"/>
  <c r="R22" i="2"/>
  <c r="Q23" i="2" s="1"/>
  <c r="H22" i="21"/>
  <c r="V22" i="23" s="1"/>
  <c r="C22" i="21"/>
  <c r="Q22" i="23" s="1"/>
  <c r="B22" i="21"/>
  <c r="P22" i="23" s="1"/>
  <c r="E22" i="21"/>
  <c r="S22" i="23" s="1"/>
  <c r="D22" i="21"/>
  <c r="R22" i="23" s="1"/>
  <c r="G22" i="21"/>
  <c r="U22" i="23" s="1"/>
  <c r="F22" i="21"/>
  <c r="T22" i="23" s="1"/>
  <c r="I22" i="21"/>
  <c r="W22" i="23" s="1"/>
  <c r="Z22" i="2"/>
  <c r="Y23" i="2" s="1"/>
  <c r="N22" i="2"/>
  <c r="M23" i="2" s="1"/>
  <c r="P22" i="2"/>
  <c r="O23" i="2" s="1"/>
  <c r="X22" i="2"/>
  <c r="W23" i="2" s="1"/>
  <c r="L22" i="2"/>
  <c r="K23" i="2" s="1"/>
  <c r="T22" i="2"/>
  <c r="S23" i="2" s="1"/>
  <c r="U22" i="2"/>
  <c r="AA22" i="2"/>
  <c r="BA22" i="23" l="1"/>
  <c r="AX22" i="23"/>
  <c r="AZ22" i="23" s="1"/>
  <c r="AY22" i="23"/>
  <c r="BD22" i="23"/>
  <c r="BB22" i="23"/>
  <c r="BA21" i="23"/>
  <c r="AY21" i="23"/>
  <c r="BC22" i="23"/>
  <c r="BD21" i="23"/>
  <c r="BC21" i="23"/>
  <c r="R23" i="2"/>
  <c r="G23" i="21"/>
  <c r="U23" i="23" s="1"/>
  <c r="D23" i="21"/>
  <c r="R23" i="23" s="1"/>
  <c r="B23" i="21"/>
  <c r="P23" i="23" s="1"/>
  <c r="C23" i="21"/>
  <c r="Q23" i="23" s="1"/>
  <c r="AD11" i="23" s="1"/>
  <c r="E23" i="21"/>
  <c r="S23" i="23" s="1"/>
  <c r="I23" i="21"/>
  <c r="W23" i="23" s="1"/>
  <c r="AJ11" i="23" s="1"/>
  <c r="F23" i="21"/>
  <c r="T23" i="23" s="1"/>
  <c r="H23" i="21"/>
  <c r="V23" i="23" s="1"/>
  <c r="AI11" i="23" s="1"/>
  <c r="I24" i="2"/>
  <c r="Q24" i="2"/>
  <c r="Z23" i="2"/>
  <c r="Y24" i="2" s="1"/>
  <c r="N23" i="2"/>
  <c r="M24" i="2" s="1"/>
  <c r="P23" i="2"/>
  <c r="O24" i="2" s="1"/>
  <c r="T23" i="2"/>
  <c r="S24" i="2" s="1"/>
  <c r="X23" i="2"/>
  <c r="W24" i="2" s="1"/>
  <c r="L23" i="2"/>
  <c r="K24" i="2" s="1"/>
  <c r="U23" i="2"/>
  <c r="AA23" i="2"/>
  <c r="AE11" i="23" l="1"/>
  <c r="AG11" i="23"/>
  <c r="AF11" i="23"/>
  <c r="AX23" i="23"/>
  <c r="AZ23" i="23" s="1"/>
  <c r="AY23" i="23"/>
  <c r="AC11" i="23"/>
  <c r="BD23" i="23"/>
  <c r="AH11" i="23"/>
  <c r="J24" i="2"/>
  <c r="I25" i="2" s="1"/>
  <c r="R24" i="2"/>
  <c r="Q25" i="2" s="1"/>
  <c r="H24" i="21"/>
  <c r="V24" i="23" s="1"/>
  <c r="E24" i="21"/>
  <c r="S24" i="23" s="1"/>
  <c r="B24" i="21"/>
  <c r="P24" i="23" s="1"/>
  <c r="C24" i="21"/>
  <c r="Q24" i="23" s="1"/>
  <c r="G24" i="21"/>
  <c r="U24" i="23" s="1"/>
  <c r="D24" i="21"/>
  <c r="R24" i="23" s="1"/>
  <c r="F24" i="21"/>
  <c r="T24" i="23" s="1"/>
  <c r="I24" i="21"/>
  <c r="W24" i="23" s="1"/>
  <c r="Z24" i="2"/>
  <c r="Y25" i="2" s="1"/>
  <c r="N24" i="2"/>
  <c r="M25" i="2" s="1"/>
  <c r="P24" i="2"/>
  <c r="O25" i="2" s="1"/>
  <c r="T24" i="2"/>
  <c r="S25" i="2" s="1"/>
  <c r="X24" i="2"/>
  <c r="W25" i="2" s="1"/>
  <c r="L24" i="2"/>
  <c r="K25" i="2" s="1"/>
  <c r="U24" i="2"/>
  <c r="AA24" i="2"/>
  <c r="AX24" i="23" l="1"/>
  <c r="AZ24" i="23" s="1"/>
  <c r="BA24" i="23"/>
  <c r="BB23" i="23"/>
  <c r="BC23" i="23"/>
  <c r="BA23" i="23"/>
  <c r="J25" i="2"/>
  <c r="I26" i="2" s="1"/>
  <c r="R25" i="2"/>
  <c r="Q26" i="2" s="1"/>
  <c r="B25" i="21"/>
  <c r="P25" i="23" s="1"/>
  <c r="C25" i="21"/>
  <c r="Q25" i="23" s="1"/>
  <c r="D25" i="21"/>
  <c r="R25" i="23" s="1"/>
  <c r="H25" i="21"/>
  <c r="V25" i="23" s="1"/>
  <c r="E25" i="21"/>
  <c r="S25" i="23" s="1"/>
  <c r="I25" i="21"/>
  <c r="W25" i="23" s="1"/>
  <c r="F25" i="21"/>
  <c r="T25" i="23" s="1"/>
  <c r="G25" i="21"/>
  <c r="U25" i="23" s="1"/>
  <c r="Z25" i="2"/>
  <c r="Y26" i="2" s="1"/>
  <c r="N25" i="2"/>
  <c r="M26" i="2" s="1"/>
  <c r="P25" i="2"/>
  <c r="O26" i="2" s="1"/>
  <c r="T25" i="2"/>
  <c r="S26" i="2" s="1"/>
  <c r="X25" i="2"/>
  <c r="W26" i="2" s="1"/>
  <c r="L25" i="2"/>
  <c r="K26" i="2" s="1"/>
  <c r="U25" i="2"/>
  <c r="AA25" i="2"/>
  <c r="H10" i="1"/>
  <c r="BC24" i="23" l="1"/>
  <c r="AX25" i="23"/>
  <c r="AZ25" i="23" s="1"/>
  <c r="BB24" i="23"/>
  <c r="AY24" i="23"/>
  <c r="BD24" i="23"/>
  <c r="J26" i="2"/>
  <c r="I27" i="2" s="1"/>
  <c r="R26" i="2"/>
  <c r="H26" i="21"/>
  <c r="V26" i="23" s="1"/>
  <c r="AI12" i="23" s="1"/>
  <c r="I26" i="21"/>
  <c r="W26" i="23" s="1"/>
  <c r="AJ12" i="23" s="1"/>
  <c r="B26" i="21"/>
  <c r="P26" i="23" s="1"/>
  <c r="C26" i="21"/>
  <c r="Q26" i="23" s="1"/>
  <c r="AD12" i="23" s="1"/>
  <c r="G26" i="21"/>
  <c r="U26" i="23" s="1"/>
  <c r="D26" i="21"/>
  <c r="R26" i="23" s="1"/>
  <c r="F26" i="21"/>
  <c r="T26" i="23" s="1"/>
  <c r="E26" i="21"/>
  <c r="S26" i="23" s="1"/>
  <c r="Q27" i="2"/>
  <c r="Z26" i="2"/>
  <c r="Y27" i="2" s="1"/>
  <c r="I10" i="1"/>
  <c r="P26" i="2"/>
  <c r="O27" i="2" s="1"/>
  <c r="T26" i="2"/>
  <c r="S27" i="2" s="1"/>
  <c r="U26" i="2"/>
  <c r="X26" i="2"/>
  <c r="W27" i="2" s="1"/>
  <c r="N26" i="2"/>
  <c r="M27" i="2" s="1"/>
  <c r="L26" i="2"/>
  <c r="K27" i="2" s="1"/>
  <c r="AA26" i="2"/>
  <c r="BB25" i="23" l="1"/>
  <c r="AF12" i="23"/>
  <c r="AE12" i="23"/>
  <c r="AG12" i="23"/>
  <c r="AH12" i="23"/>
  <c r="AX26" i="23"/>
  <c r="AZ26" i="23" s="1"/>
  <c r="AY26" i="23"/>
  <c r="AC12" i="23"/>
  <c r="AY25" i="23"/>
  <c r="BA25" i="23"/>
  <c r="BC25" i="23"/>
  <c r="BD25" i="23"/>
  <c r="J27" i="2"/>
  <c r="I28" i="2" s="1"/>
  <c r="R27" i="2"/>
  <c r="Q28" i="2" s="1"/>
  <c r="D27" i="21"/>
  <c r="R27" i="23" s="1"/>
  <c r="E27" i="21"/>
  <c r="S27" i="23" s="1"/>
  <c r="I27" i="21"/>
  <c r="W27" i="23" s="1"/>
  <c r="C27" i="21"/>
  <c r="Q27" i="23" s="1"/>
  <c r="H27" i="21"/>
  <c r="V27" i="23" s="1"/>
  <c r="G27" i="21"/>
  <c r="U27" i="23" s="1"/>
  <c r="F27" i="21"/>
  <c r="T27" i="23" s="1"/>
  <c r="B27" i="21"/>
  <c r="P27" i="23" s="1"/>
  <c r="Z27" i="2"/>
  <c r="Y28" i="2" s="1"/>
  <c r="P27" i="2"/>
  <c r="O28" i="2" s="1"/>
  <c r="T27" i="2"/>
  <c r="S28" i="2" s="1"/>
  <c r="N27" i="2"/>
  <c r="M28" i="2" s="1"/>
  <c r="L27" i="2"/>
  <c r="K28" i="2" s="1"/>
  <c r="X27" i="2"/>
  <c r="W28" i="2" s="1"/>
  <c r="U27" i="2"/>
  <c r="AA27" i="2"/>
  <c r="H12" i="1"/>
  <c r="H16" i="1"/>
  <c r="H17" i="1"/>
  <c r="H11" i="1"/>
  <c r="H13" i="1"/>
  <c r="H14" i="1"/>
  <c r="H15" i="1"/>
  <c r="AX27" i="23" l="1"/>
  <c r="AZ27" i="23" s="1"/>
  <c r="BD27" i="23"/>
  <c r="BD26" i="23"/>
  <c r="BC26" i="23"/>
  <c r="BA26" i="23"/>
  <c r="BB26" i="23"/>
  <c r="BA27" i="23"/>
  <c r="J28" i="2"/>
  <c r="R28" i="2"/>
  <c r="H28" i="21"/>
  <c r="V28" i="23" s="1"/>
  <c r="AI13" i="23" s="1"/>
  <c r="E28" i="21"/>
  <c r="S28" i="23" s="1"/>
  <c r="C28" i="21"/>
  <c r="Q28" i="23" s="1"/>
  <c r="AD13" i="23" s="1"/>
  <c r="G28" i="21"/>
  <c r="U28" i="23" s="1"/>
  <c r="I28" i="21"/>
  <c r="W28" i="23" s="1"/>
  <c r="AJ13" i="23" s="1"/>
  <c r="F28" i="21"/>
  <c r="T28" i="23" s="1"/>
  <c r="D28" i="21"/>
  <c r="R28" i="23" s="1"/>
  <c r="B28" i="21"/>
  <c r="P28" i="23" s="1"/>
  <c r="I29" i="2"/>
  <c r="Q29" i="2"/>
  <c r="Z28" i="2"/>
  <c r="Y29" i="2" s="1"/>
  <c r="I11" i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P28" i="2"/>
  <c r="O29" i="2" s="1"/>
  <c r="T28" i="2"/>
  <c r="S29" i="2" s="1"/>
  <c r="U28" i="2"/>
  <c r="L28" i="2"/>
  <c r="K29" i="2" s="1"/>
  <c r="N28" i="2"/>
  <c r="M29" i="2" s="1"/>
  <c r="X28" i="2"/>
  <c r="W29" i="2" s="1"/>
  <c r="AA28" i="2"/>
  <c r="AE13" i="23" l="1"/>
  <c r="AX28" i="23"/>
  <c r="AZ28" i="23" s="1"/>
  <c r="AY28" i="23"/>
  <c r="AC13" i="23"/>
  <c r="BC28" i="23"/>
  <c r="AG13" i="23"/>
  <c r="BD28" i="23"/>
  <c r="AH13" i="23"/>
  <c r="BB28" i="23"/>
  <c r="AF13" i="23"/>
  <c r="BB27" i="23"/>
  <c r="AY27" i="23"/>
  <c r="BC27" i="23"/>
  <c r="J29" i="2"/>
  <c r="I30" i="2" s="1"/>
  <c r="B29" i="21"/>
  <c r="P29" i="23" s="1"/>
  <c r="R29" i="2"/>
  <c r="Q30" i="2" s="1"/>
  <c r="C29" i="21"/>
  <c r="Q29" i="23" s="1"/>
  <c r="D29" i="21"/>
  <c r="R29" i="23" s="1"/>
  <c r="E29" i="21"/>
  <c r="S29" i="23" s="1"/>
  <c r="F29" i="21"/>
  <c r="T29" i="23" s="1"/>
  <c r="H29" i="21"/>
  <c r="V29" i="23" s="1"/>
  <c r="G29" i="21"/>
  <c r="U29" i="23" s="1"/>
  <c r="I29" i="21"/>
  <c r="W29" i="23" s="1"/>
  <c r="Z29" i="2"/>
  <c r="Y30" i="2" s="1"/>
  <c r="H21" i="1"/>
  <c r="G21" i="1" s="1"/>
  <c r="H18" i="1"/>
  <c r="G18" i="1" s="1"/>
  <c r="H19" i="1"/>
  <c r="L29" i="2"/>
  <c r="K30" i="2" s="1"/>
  <c r="T29" i="2"/>
  <c r="S30" i="2" s="1"/>
  <c r="X29" i="2"/>
  <c r="W30" i="2" s="1"/>
  <c r="N29" i="2"/>
  <c r="M30" i="2" s="1"/>
  <c r="P29" i="2"/>
  <c r="O30" i="2" s="1"/>
  <c r="U29" i="2"/>
  <c r="AA29" i="2"/>
  <c r="AX29" i="23" l="1"/>
  <c r="AZ29" i="23" s="1"/>
  <c r="BD29" i="23"/>
  <c r="BA29" i="23"/>
  <c r="BA28" i="23"/>
  <c r="J30" i="2"/>
  <c r="I31" i="2" s="1"/>
  <c r="R30" i="2"/>
  <c r="Q31" i="2" s="1"/>
  <c r="E30" i="21"/>
  <c r="S30" i="23" s="1"/>
  <c r="H30" i="21"/>
  <c r="V30" i="23" s="1"/>
  <c r="AI14" i="23" s="1"/>
  <c r="C30" i="21"/>
  <c r="Q30" i="23" s="1"/>
  <c r="AD14" i="23" s="1"/>
  <c r="I30" i="21"/>
  <c r="W30" i="23" s="1"/>
  <c r="AJ14" i="23" s="1"/>
  <c r="D30" i="21"/>
  <c r="R30" i="23" s="1"/>
  <c r="G30" i="21"/>
  <c r="U30" i="23" s="1"/>
  <c r="F30" i="21"/>
  <c r="T30" i="23" s="1"/>
  <c r="B30" i="21"/>
  <c r="P30" i="23" s="1"/>
  <c r="Z30" i="2"/>
  <c r="Y31" i="2" s="1"/>
  <c r="G19" i="1"/>
  <c r="H20" i="1"/>
  <c r="G20" i="1" s="1"/>
  <c r="H22" i="1"/>
  <c r="N30" i="2"/>
  <c r="M31" i="2" s="1"/>
  <c r="L30" i="2"/>
  <c r="K31" i="2" s="1"/>
  <c r="X30" i="2"/>
  <c r="W31" i="2" s="1"/>
  <c r="U30" i="2"/>
  <c r="P30" i="2"/>
  <c r="O31" i="2" s="1"/>
  <c r="T30" i="2"/>
  <c r="S31" i="2" s="1"/>
  <c r="AA30" i="2"/>
  <c r="AH14" i="23" l="1"/>
  <c r="AG14" i="23"/>
  <c r="AE14" i="23"/>
  <c r="AF14" i="23"/>
  <c r="AX30" i="23"/>
  <c r="AZ30" i="23" s="1"/>
  <c r="AY30" i="23"/>
  <c r="AC14" i="23"/>
  <c r="BC29" i="23"/>
  <c r="AY29" i="23"/>
  <c r="BB29" i="23"/>
  <c r="J31" i="2"/>
  <c r="I32" i="2" s="1"/>
  <c r="R31" i="2"/>
  <c r="Q32" i="2" s="1"/>
  <c r="H31" i="21"/>
  <c r="V31" i="23" s="1"/>
  <c r="I31" i="21"/>
  <c r="W31" i="23" s="1"/>
  <c r="G31" i="21"/>
  <c r="U31" i="23" s="1"/>
  <c r="C31" i="21"/>
  <c r="Q31" i="23" s="1"/>
  <c r="F31" i="21"/>
  <c r="T31" i="23" s="1"/>
  <c r="E31" i="21"/>
  <c r="S31" i="23" s="1"/>
  <c r="D31" i="21"/>
  <c r="R31" i="23" s="1"/>
  <c r="B31" i="21"/>
  <c r="P31" i="23" s="1"/>
  <c r="Z31" i="2"/>
  <c r="Y32" i="2" s="1"/>
  <c r="I22" i="1"/>
  <c r="P31" i="2"/>
  <c r="O32" i="2" s="1"/>
  <c r="N31" i="2"/>
  <c r="M32" i="2" s="1"/>
  <c r="X31" i="2"/>
  <c r="W32" i="2" s="1"/>
  <c r="L31" i="2"/>
  <c r="K32" i="2" s="1"/>
  <c r="U31" i="2"/>
  <c r="T31" i="2"/>
  <c r="S32" i="2" s="1"/>
  <c r="AA31" i="2"/>
  <c r="AX31" i="23" l="1"/>
  <c r="AZ31" i="23" s="1"/>
  <c r="BA31" i="23"/>
  <c r="BD31" i="23"/>
  <c r="BB30" i="23"/>
  <c r="BA30" i="23"/>
  <c r="BC30" i="23"/>
  <c r="BD30" i="23"/>
  <c r="J32" i="2"/>
  <c r="R32" i="2"/>
  <c r="H32" i="21"/>
  <c r="V32" i="23" s="1"/>
  <c r="I32" i="21"/>
  <c r="W32" i="23" s="1"/>
  <c r="G32" i="21"/>
  <c r="U32" i="23" s="1"/>
  <c r="C32" i="21"/>
  <c r="Q32" i="23" s="1"/>
  <c r="D32" i="21"/>
  <c r="R32" i="23" s="1"/>
  <c r="F32" i="21"/>
  <c r="T32" i="23" s="1"/>
  <c r="E32" i="21"/>
  <c r="S32" i="23" s="1"/>
  <c r="B32" i="21"/>
  <c r="P32" i="23" s="1"/>
  <c r="I33" i="2"/>
  <c r="Q33" i="2"/>
  <c r="Z32" i="2"/>
  <c r="Y33" i="2" s="1"/>
  <c r="T32" i="2"/>
  <c r="S33" i="2" s="1"/>
  <c r="P32" i="2"/>
  <c r="O33" i="2" s="1"/>
  <c r="N32" i="2"/>
  <c r="M33" i="2" s="1"/>
  <c r="L32" i="2"/>
  <c r="K33" i="2" s="1"/>
  <c r="X32" i="2"/>
  <c r="W33" i="2" s="1"/>
  <c r="U32" i="2"/>
  <c r="AA32" i="2"/>
  <c r="AX32" i="23" l="1"/>
  <c r="AZ32" i="23" s="1"/>
  <c r="AY32" i="23"/>
  <c r="BC32" i="23"/>
  <c r="BB32" i="23"/>
  <c r="BA32" i="23"/>
  <c r="BD32" i="23"/>
  <c r="BC31" i="23"/>
  <c r="AY31" i="23"/>
  <c r="BB31" i="23"/>
  <c r="J33" i="2"/>
  <c r="I34" i="2" s="1"/>
  <c r="R33" i="2"/>
  <c r="C33" i="21"/>
  <c r="Q33" i="23" s="1"/>
  <c r="AD15" i="23" s="1"/>
  <c r="E33" i="21"/>
  <c r="S33" i="23" s="1"/>
  <c r="I33" i="21"/>
  <c r="W33" i="23" s="1"/>
  <c r="AJ15" i="23" s="1"/>
  <c r="B33" i="21"/>
  <c r="P33" i="23" s="1"/>
  <c r="H33" i="21"/>
  <c r="V33" i="23" s="1"/>
  <c r="AI15" i="23" s="1"/>
  <c r="D33" i="21"/>
  <c r="R33" i="23" s="1"/>
  <c r="G33" i="21"/>
  <c r="U33" i="23" s="1"/>
  <c r="F33" i="21"/>
  <c r="T33" i="23" s="1"/>
  <c r="Q34" i="2"/>
  <c r="Z33" i="2"/>
  <c r="Y34" i="2" s="1"/>
  <c r="T33" i="2"/>
  <c r="S34" i="2" s="1"/>
  <c r="P33" i="2"/>
  <c r="O34" i="2" s="1"/>
  <c r="N33" i="2"/>
  <c r="M34" i="2" s="1"/>
  <c r="L33" i="2"/>
  <c r="K34" i="2" s="1"/>
  <c r="X33" i="2"/>
  <c r="W34" i="2" s="1"/>
  <c r="U33" i="2"/>
  <c r="AA33" i="2"/>
  <c r="AH15" i="23" l="1"/>
  <c r="AG15" i="23"/>
  <c r="AE15" i="23"/>
  <c r="AX33" i="23"/>
  <c r="AZ33" i="23" s="1"/>
  <c r="AY33" i="23"/>
  <c r="AC15" i="23"/>
  <c r="BB33" i="23"/>
  <c r="AF15" i="23"/>
  <c r="J34" i="2"/>
  <c r="R34" i="2"/>
  <c r="H34" i="21"/>
  <c r="V34" i="23" s="1"/>
  <c r="D34" i="21"/>
  <c r="R34" i="23" s="1"/>
  <c r="G34" i="21"/>
  <c r="U34" i="23" s="1"/>
  <c r="B34" i="21"/>
  <c r="P34" i="23" s="1"/>
  <c r="C34" i="21"/>
  <c r="Q34" i="23" s="1"/>
  <c r="E34" i="21"/>
  <c r="S34" i="23" s="1"/>
  <c r="I34" i="21"/>
  <c r="W34" i="23" s="1"/>
  <c r="F34" i="21"/>
  <c r="T34" i="23" s="1"/>
  <c r="I35" i="2"/>
  <c r="Q35" i="2"/>
  <c r="Z34" i="2"/>
  <c r="Y35" i="2" s="1"/>
  <c r="T34" i="2"/>
  <c r="S35" i="2" s="1"/>
  <c r="P34" i="2"/>
  <c r="O35" i="2" s="1"/>
  <c r="N34" i="2"/>
  <c r="M35" i="2" s="1"/>
  <c r="U34" i="2"/>
  <c r="X34" i="2"/>
  <c r="W35" i="2" s="1"/>
  <c r="L34" i="2"/>
  <c r="K35" i="2" s="1"/>
  <c r="AA34" i="2"/>
  <c r="AX34" i="23" l="1"/>
  <c r="AZ34" i="23" s="1"/>
  <c r="BA34" i="23"/>
  <c r="BA33" i="23"/>
  <c r="BC33" i="23"/>
  <c r="BD33" i="23"/>
  <c r="J35" i="2"/>
  <c r="I36" i="2" s="1"/>
  <c r="J36" i="2" s="1"/>
  <c r="R35" i="2"/>
  <c r="B35" i="21"/>
  <c r="P35" i="23" s="1"/>
  <c r="D35" i="21"/>
  <c r="R35" i="23" s="1"/>
  <c r="G35" i="21"/>
  <c r="U35" i="23" s="1"/>
  <c r="C35" i="21"/>
  <c r="Q35" i="23" s="1"/>
  <c r="AD16" i="23" s="1"/>
  <c r="E35" i="21"/>
  <c r="S35" i="23" s="1"/>
  <c r="I35" i="21"/>
  <c r="W35" i="23" s="1"/>
  <c r="AJ16" i="23" s="1"/>
  <c r="F35" i="21"/>
  <c r="T35" i="23" s="1"/>
  <c r="H35" i="21"/>
  <c r="V35" i="23" s="1"/>
  <c r="AI16" i="23" s="1"/>
  <c r="Q36" i="2"/>
  <c r="Z35" i="2"/>
  <c r="Y36" i="2" s="1"/>
  <c r="T35" i="2"/>
  <c r="S36" i="2" s="1"/>
  <c r="P35" i="2"/>
  <c r="O36" i="2" s="1"/>
  <c r="L35" i="2"/>
  <c r="K36" i="2" s="1"/>
  <c r="X35" i="2"/>
  <c r="W36" i="2" s="1"/>
  <c r="N35" i="2"/>
  <c r="M36" i="2" s="1"/>
  <c r="U35" i="2"/>
  <c r="AA35" i="2"/>
  <c r="AG16" i="23" l="1"/>
  <c r="AF16" i="23"/>
  <c r="AH16" i="23"/>
  <c r="AX35" i="23"/>
  <c r="AZ35" i="23" s="1"/>
  <c r="AY35" i="23"/>
  <c r="AC16" i="23"/>
  <c r="BC34" i="23"/>
  <c r="BA35" i="23"/>
  <c r="AE16" i="23"/>
  <c r="AY34" i="23"/>
  <c r="BB34" i="23"/>
  <c r="BD34" i="23"/>
  <c r="R36" i="2"/>
  <c r="D36" i="21"/>
  <c r="R36" i="23" s="1"/>
  <c r="G36" i="21"/>
  <c r="U36" i="23" s="1"/>
  <c r="C36" i="21"/>
  <c r="Q36" i="23" s="1"/>
  <c r="F36" i="21"/>
  <c r="T36" i="23" s="1"/>
  <c r="H36" i="21"/>
  <c r="V36" i="23" s="1"/>
  <c r="E36" i="21"/>
  <c r="S36" i="23" s="1"/>
  <c r="I36" i="21"/>
  <c r="W36" i="23" s="1"/>
  <c r="B36" i="21"/>
  <c r="P36" i="23" s="1"/>
  <c r="I37" i="2"/>
  <c r="Q37" i="2"/>
  <c r="Z36" i="2"/>
  <c r="Y37" i="2" s="1"/>
  <c r="L36" i="2"/>
  <c r="K37" i="2" s="1"/>
  <c r="T36" i="2"/>
  <c r="S37" i="2" s="1"/>
  <c r="P36" i="2"/>
  <c r="O37" i="2" s="1"/>
  <c r="X36" i="2"/>
  <c r="W37" i="2" s="1"/>
  <c r="U36" i="2"/>
  <c r="N36" i="2"/>
  <c r="M37" i="2" s="1"/>
  <c r="AA36" i="2"/>
  <c r="AX36" i="23" l="1"/>
  <c r="AZ36" i="23" s="1"/>
  <c r="BD36" i="23"/>
  <c r="BD35" i="23"/>
  <c r="BB35" i="23"/>
  <c r="BC35" i="23"/>
  <c r="J37" i="2"/>
  <c r="I38" i="2" s="1"/>
  <c r="B37" i="21"/>
  <c r="P37" i="23" s="1"/>
  <c r="R37" i="2"/>
  <c r="Q38" i="2" s="1"/>
  <c r="C37" i="21"/>
  <c r="Q37" i="23" s="1"/>
  <c r="D37" i="21"/>
  <c r="R37" i="23" s="1"/>
  <c r="H37" i="21"/>
  <c r="V37" i="23" s="1"/>
  <c r="G37" i="21"/>
  <c r="U37" i="23" s="1"/>
  <c r="I37" i="21"/>
  <c r="W37" i="23" s="1"/>
  <c r="F37" i="21"/>
  <c r="T37" i="23" s="1"/>
  <c r="E37" i="21"/>
  <c r="S37" i="23" s="1"/>
  <c r="Z37" i="2"/>
  <c r="Y38" i="2" s="1"/>
  <c r="X37" i="2"/>
  <c r="W38" i="2" s="1"/>
  <c r="N37" i="2"/>
  <c r="M38" i="2" s="1"/>
  <c r="L37" i="2"/>
  <c r="K38" i="2" s="1"/>
  <c r="T37" i="2"/>
  <c r="S38" i="2" s="1"/>
  <c r="P37" i="2"/>
  <c r="O38" i="2" s="1"/>
  <c r="U37" i="2"/>
  <c r="AA37" i="2"/>
  <c r="BB36" i="23" l="1"/>
  <c r="BA36" i="23"/>
  <c r="BC36" i="23"/>
  <c r="AY36" i="23"/>
  <c r="AX37" i="23"/>
  <c r="AZ37" i="23" s="1"/>
  <c r="J38" i="2"/>
  <c r="I39" i="2" s="1"/>
  <c r="R38" i="2"/>
  <c r="Q39" i="2" s="1"/>
  <c r="C38" i="21"/>
  <c r="Q38" i="23" s="1"/>
  <c r="AD17" i="23" s="1"/>
  <c r="H38" i="21"/>
  <c r="V38" i="23" s="1"/>
  <c r="AI17" i="23" s="1"/>
  <c r="F38" i="21"/>
  <c r="T38" i="23" s="1"/>
  <c r="B38" i="21"/>
  <c r="P38" i="23" s="1"/>
  <c r="G38" i="21"/>
  <c r="U38" i="23" s="1"/>
  <c r="D38" i="21"/>
  <c r="R38" i="23" s="1"/>
  <c r="I38" i="21"/>
  <c r="W38" i="23" s="1"/>
  <c r="AJ17" i="23" s="1"/>
  <c r="E38" i="21"/>
  <c r="S38" i="23" s="1"/>
  <c r="Z38" i="2"/>
  <c r="Y39" i="2" s="1"/>
  <c r="N38" i="2"/>
  <c r="M39" i="2" s="1"/>
  <c r="P38" i="2"/>
  <c r="O39" i="2" s="1"/>
  <c r="L38" i="2"/>
  <c r="K39" i="2" s="1"/>
  <c r="X38" i="2"/>
  <c r="W39" i="2" s="1"/>
  <c r="T38" i="2"/>
  <c r="S39" i="2" s="1"/>
  <c r="U38" i="2"/>
  <c r="AA38" i="2"/>
  <c r="AF17" i="23" l="1"/>
  <c r="AE17" i="23"/>
  <c r="AX38" i="23"/>
  <c r="AZ38" i="23" s="1"/>
  <c r="AC17" i="23"/>
  <c r="AY37" i="23"/>
  <c r="BD37" i="23"/>
  <c r="AH17" i="23"/>
  <c r="AG17" i="23"/>
  <c r="BA37" i="23"/>
  <c r="BC37" i="23"/>
  <c r="BB37" i="23"/>
  <c r="J39" i="2"/>
  <c r="I40" i="2" s="1"/>
  <c r="R39" i="2"/>
  <c r="Q40" i="2" s="1"/>
  <c r="B39" i="21"/>
  <c r="P39" i="23" s="1"/>
  <c r="C39" i="21"/>
  <c r="Q39" i="23" s="1"/>
  <c r="D39" i="21"/>
  <c r="R39" i="23" s="1"/>
  <c r="H39" i="21"/>
  <c r="V39" i="23" s="1"/>
  <c r="E39" i="21"/>
  <c r="S39" i="23" s="1"/>
  <c r="I39" i="21"/>
  <c r="W39" i="23" s="1"/>
  <c r="F39" i="21"/>
  <c r="T39" i="23" s="1"/>
  <c r="G39" i="21"/>
  <c r="U39" i="23" s="1"/>
  <c r="Z39" i="2"/>
  <c r="Y40" i="2" s="1"/>
  <c r="T39" i="2"/>
  <c r="S40" i="2" s="1"/>
  <c r="X39" i="2"/>
  <c r="W40" i="2" s="1"/>
  <c r="L39" i="2"/>
  <c r="K40" i="2" s="1"/>
  <c r="P39" i="2"/>
  <c r="O40" i="2" s="1"/>
  <c r="N39" i="2"/>
  <c r="M40" i="2" s="1"/>
  <c r="U39" i="2"/>
  <c r="AA39" i="2"/>
  <c r="AX39" i="23" l="1"/>
  <c r="AZ39" i="23" s="1"/>
  <c r="BD39" i="23"/>
  <c r="BC38" i="23"/>
  <c r="BD38" i="23"/>
  <c r="AY38" i="23"/>
  <c r="BA39" i="23"/>
  <c r="BA38" i="23"/>
  <c r="BB38" i="23"/>
  <c r="J40" i="2"/>
  <c r="B40" i="21"/>
  <c r="P40" i="23" s="1"/>
  <c r="R40" i="2"/>
  <c r="Q41" i="2" s="1"/>
  <c r="E40" i="21"/>
  <c r="S40" i="23" s="1"/>
  <c r="I40" i="21"/>
  <c r="W40" i="23" s="1"/>
  <c r="AJ18" i="23" s="1"/>
  <c r="D40" i="21"/>
  <c r="R40" i="23" s="1"/>
  <c r="C40" i="21"/>
  <c r="Q40" i="23" s="1"/>
  <c r="AD18" i="23" s="1"/>
  <c r="G40" i="21"/>
  <c r="U40" i="23" s="1"/>
  <c r="F40" i="21"/>
  <c r="T40" i="23" s="1"/>
  <c r="H40" i="21"/>
  <c r="V40" i="23" s="1"/>
  <c r="AI18" i="23" s="1"/>
  <c r="I41" i="2"/>
  <c r="Z40" i="2"/>
  <c r="Y41" i="2" s="1"/>
  <c r="T40" i="2"/>
  <c r="S41" i="2" s="1"/>
  <c r="L40" i="2"/>
  <c r="K41" i="2" s="1"/>
  <c r="X40" i="2"/>
  <c r="W41" i="2" s="1"/>
  <c r="P40" i="2"/>
  <c r="O41" i="2" s="1"/>
  <c r="N40" i="2"/>
  <c r="M41" i="2" s="1"/>
  <c r="U40" i="2"/>
  <c r="AA40" i="2"/>
  <c r="AE18" i="23" l="1"/>
  <c r="AG18" i="23"/>
  <c r="AY39" i="23"/>
  <c r="BB39" i="23"/>
  <c r="AH18" i="23"/>
  <c r="AF18" i="23"/>
  <c r="AX40" i="23"/>
  <c r="AZ40" i="23" s="1"/>
  <c r="AY40" i="23"/>
  <c r="AC18" i="23"/>
  <c r="BC39" i="23"/>
  <c r="J41" i="2"/>
  <c r="I42" i="2" s="1"/>
  <c r="R41" i="2"/>
  <c r="Q42" i="2" s="1"/>
  <c r="D41" i="21"/>
  <c r="R41" i="23" s="1"/>
  <c r="H41" i="21"/>
  <c r="V41" i="23" s="1"/>
  <c r="G41" i="21"/>
  <c r="U41" i="23" s="1"/>
  <c r="B41" i="21"/>
  <c r="P41" i="23" s="1"/>
  <c r="E41" i="21"/>
  <c r="S41" i="23" s="1"/>
  <c r="C41" i="21"/>
  <c r="Q41" i="23" s="1"/>
  <c r="I41" i="21"/>
  <c r="W41" i="23" s="1"/>
  <c r="F41" i="21"/>
  <c r="T41" i="23" s="1"/>
  <c r="Z41" i="2"/>
  <c r="Y42" i="2" s="1"/>
  <c r="T41" i="2"/>
  <c r="S42" i="2" s="1"/>
  <c r="P41" i="2"/>
  <c r="O42" i="2" s="1"/>
  <c r="L41" i="2"/>
  <c r="K42" i="2" s="1"/>
  <c r="X41" i="2"/>
  <c r="W42" i="2" s="1"/>
  <c r="N41" i="2"/>
  <c r="M42" i="2" s="1"/>
  <c r="U41" i="2"/>
  <c r="AA41" i="2"/>
  <c r="AX41" i="23" l="1"/>
  <c r="AZ41" i="23" s="1"/>
  <c r="BC41" i="23"/>
  <c r="BD41" i="23"/>
  <c r="BB40" i="23"/>
  <c r="BD40" i="23"/>
  <c r="BC40" i="23"/>
  <c r="BA40" i="23"/>
  <c r="J42" i="2"/>
  <c r="R42" i="2"/>
  <c r="B42" i="21"/>
  <c r="P42" i="23" s="1"/>
  <c r="D42" i="21"/>
  <c r="R42" i="23" s="1"/>
  <c r="G42" i="21"/>
  <c r="U42" i="23" s="1"/>
  <c r="H42" i="21"/>
  <c r="V42" i="23" s="1"/>
  <c r="AI19" i="23" s="1"/>
  <c r="E42" i="21"/>
  <c r="S42" i="23" s="1"/>
  <c r="I42" i="21"/>
  <c r="W42" i="23" s="1"/>
  <c r="AJ19" i="23" s="1"/>
  <c r="F42" i="21"/>
  <c r="T42" i="23" s="1"/>
  <c r="C42" i="21"/>
  <c r="Q42" i="23" s="1"/>
  <c r="I43" i="2"/>
  <c r="Q43" i="2"/>
  <c r="Z42" i="2"/>
  <c r="Y43" i="2" s="1"/>
  <c r="P42" i="2"/>
  <c r="O43" i="2" s="1"/>
  <c r="T42" i="2"/>
  <c r="S43" i="2" s="1"/>
  <c r="X42" i="2"/>
  <c r="W43" i="2" s="1"/>
  <c r="L42" i="2"/>
  <c r="K43" i="2" s="1"/>
  <c r="U42" i="2"/>
  <c r="N42" i="2"/>
  <c r="M43" i="2" s="1"/>
  <c r="AA42" i="2"/>
  <c r="AG19" i="23" l="1"/>
  <c r="AF19" i="23"/>
  <c r="AX42" i="23"/>
  <c r="AY42" i="23" s="1"/>
  <c r="AC19" i="23"/>
  <c r="AZ42" i="23"/>
  <c r="AD19" i="23"/>
  <c r="BA42" i="23"/>
  <c r="AE19" i="23"/>
  <c r="BA41" i="23"/>
  <c r="BB41" i="23"/>
  <c r="AY41" i="23"/>
  <c r="BD42" i="23"/>
  <c r="AH19" i="23"/>
  <c r="J43" i="2"/>
  <c r="I44" i="2" s="1"/>
  <c r="R43" i="2"/>
  <c r="Q44" i="2" s="1"/>
  <c r="D43" i="21"/>
  <c r="R43" i="23" s="1"/>
  <c r="G43" i="21"/>
  <c r="U43" i="23" s="1"/>
  <c r="I43" i="21"/>
  <c r="W43" i="23" s="1"/>
  <c r="B43" i="21"/>
  <c r="P43" i="23" s="1"/>
  <c r="H43" i="21"/>
  <c r="V43" i="23" s="1"/>
  <c r="E43" i="21"/>
  <c r="S43" i="23" s="1"/>
  <c r="F43" i="21"/>
  <c r="T43" i="23" s="1"/>
  <c r="C43" i="21"/>
  <c r="Q43" i="23" s="1"/>
  <c r="Z43" i="2"/>
  <c r="Y44" i="2" s="1"/>
  <c r="P43" i="2"/>
  <c r="O44" i="2" s="1"/>
  <c r="T43" i="2"/>
  <c r="S44" i="2" s="1"/>
  <c r="X43" i="2"/>
  <c r="W44" i="2" s="1"/>
  <c r="N43" i="2"/>
  <c r="M44" i="2" s="1"/>
  <c r="U43" i="2"/>
  <c r="L43" i="2"/>
  <c r="K44" i="2" s="1"/>
  <c r="AA43" i="2"/>
  <c r="AX43" i="23" l="1"/>
  <c r="AY43" i="23" s="1"/>
  <c r="BB42" i="23"/>
  <c r="BC42" i="23"/>
  <c r="J44" i="2"/>
  <c r="R44" i="2"/>
  <c r="C44" i="21"/>
  <c r="Q44" i="23" s="1"/>
  <c r="G44" i="21"/>
  <c r="U44" i="23" s="1"/>
  <c r="I44" i="21"/>
  <c r="W44" i="23" s="1"/>
  <c r="H44" i="21"/>
  <c r="V44" i="23" s="1"/>
  <c r="E44" i="21"/>
  <c r="S44" i="23" s="1"/>
  <c r="F44" i="21"/>
  <c r="T44" i="23" s="1"/>
  <c r="D44" i="21"/>
  <c r="R44" i="23" s="1"/>
  <c r="B44" i="21"/>
  <c r="P44" i="23" s="1"/>
  <c r="I45" i="2"/>
  <c r="Q45" i="2"/>
  <c r="Z44" i="2"/>
  <c r="Y45" i="2" s="1"/>
  <c r="P44" i="2"/>
  <c r="O45" i="2" s="1"/>
  <c r="T44" i="2"/>
  <c r="S45" i="2" s="1"/>
  <c r="N44" i="2"/>
  <c r="M45" i="2" s="1"/>
  <c r="L44" i="2"/>
  <c r="K45" i="2" s="1"/>
  <c r="U44" i="2"/>
  <c r="X44" i="2"/>
  <c r="W45" i="2" s="1"/>
  <c r="AA44" i="2"/>
  <c r="BB44" i="23" l="1"/>
  <c r="BA43" i="23"/>
  <c r="AX44" i="23"/>
  <c r="AY44" i="23" s="1"/>
  <c r="BC44" i="23"/>
  <c r="BD44" i="23"/>
  <c r="BD43" i="23"/>
  <c r="BB43" i="23"/>
  <c r="BC43" i="23"/>
  <c r="BA44" i="23"/>
  <c r="AZ43" i="23"/>
  <c r="J45" i="2"/>
  <c r="I46" i="2"/>
  <c r="R45" i="2"/>
  <c r="Q46" i="2" s="1"/>
  <c r="E45" i="21"/>
  <c r="S45" i="23" s="1"/>
  <c r="F45" i="21"/>
  <c r="T45" i="23" s="1"/>
  <c r="D45" i="21"/>
  <c r="R45" i="23" s="1"/>
  <c r="H45" i="21"/>
  <c r="V45" i="23" s="1"/>
  <c r="AI20" i="23" s="1"/>
  <c r="C45" i="21"/>
  <c r="Q45" i="23" s="1"/>
  <c r="G45" i="21"/>
  <c r="U45" i="23" s="1"/>
  <c r="I45" i="21"/>
  <c r="W45" i="23" s="1"/>
  <c r="AJ20" i="23" s="1"/>
  <c r="B45" i="21"/>
  <c r="P45" i="23" s="1"/>
  <c r="Z45" i="2"/>
  <c r="Y46" i="2" s="1"/>
  <c r="P45" i="2"/>
  <c r="O46" i="2" s="1"/>
  <c r="T45" i="2"/>
  <c r="S46" i="2" s="1"/>
  <c r="U45" i="2"/>
  <c r="L45" i="2"/>
  <c r="K46" i="2" s="1"/>
  <c r="N45" i="2"/>
  <c r="M46" i="2" s="1"/>
  <c r="X45" i="2"/>
  <c r="W46" i="2" s="1"/>
  <c r="AA45" i="2"/>
  <c r="AX45" i="23" l="1"/>
  <c r="AY45" i="23" s="1"/>
  <c r="AC20" i="23"/>
  <c r="BD45" i="23"/>
  <c r="AH20" i="23"/>
  <c r="BC45" i="23"/>
  <c r="AG20" i="23"/>
  <c r="AZ44" i="23"/>
  <c r="AZ45" i="23"/>
  <c r="AD20" i="23"/>
  <c r="BA45" i="23"/>
  <c r="AE20" i="23"/>
  <c r="BB45" i="23"/>
  <c r="AF20" i="23"/>
  <c r="J46" i="2"/>
  <c r="I47" i="2" s="1"/>
  <c r="J47" i="2" s="1"/>
  <c r="R46" i="2"/>
  <c r="E46" i="21"/>
  <c r="S46" i="23" s="1"/>
  <c r="F46" i="21"/>
  <c r="T46" i="23" s="1"/>
  <c r="D46" i="21"/>
  <c r="R46" i="23" s="1"/>
  <c r="H46" i="21"/>
  <c r="V46" i="23" s="1"/>
  <c r="C46" i="21"/>
  <c r="Q46" i="23" s="1"/>
  <c r="G46" i="21"/>
  <c r="U46" i="23" s="1"/>
  <c r="I46" i="21"/>
  <c r="W46" i="23" s="1"/>
  <c r="B46" i="21"/>
  <c r="P46" i="23" s="1"/>
  <c r="AX46" i="23" s="1"/>
  <c r="AY46" i="23" s="1"/>
  <c r="Q47" i="2"/>
  <c r="Z46" i="2"/>
  <c r="Y47" i="2" s="1"/>
  <c r="L46" i="2"/>
  <c r="K47" i="2" s="1"/>
  <c r="T46" i="2"/>
  <c r="S47" i="2" s="1"/>
  <c r="P46" i="2"/>
  <c r="O47" i="2" s="1"/>
  <c r="X46" i="2"/>
  <c r="W47" i="2" s="1"/>
  <c r="U46" i="2"/>
  <c r="N46" i="2"/>
  <c r="M47" i="2" s="1"/>
  <c r="AA46" i="2"/>
  <c r="AZ46" i="23" l="1"/>
  <c r="BA46" i="23"/>
  <c r="BB46" i="23"/>
  <c r="BD46" i="23"/>
  <c r="BC46" i="23"/>
  <c r="I48" i="2"/>
  <c r="B47" i="21"/>
  <c r="P47" i="23" s="1"/>
  <c r="R47" i="2"/>
  <c r="Q48" i="2" s="1"/>
  <c r="E47" i="21"/>
  <c r="S47" i="23" s="1"/>
  <c r="C47" i="21"/>
  <c r="Q47" i="23" s="1"/>
  <c r="F47" i="21"/>
  <c r="T47" i="23" s="1"/>
  <c r="D47" i="21"/>
  <c r="R47" i="23" s="1"/>
  <c r="H47" i="21"/>
  <c r="V47" i="23" s="1"/>
  <c r="AI21" i="23" s="1"/>
  <c r="G47" i="21"/>
  <c r="U47" i="23" s="1"/>
  <c r="I47" i="21"/>
  <c r="W47" i="23" s="1"/>
  <c r="AJ21" i="23" s="1"/>
  <c r="Z47" i="2"/>
  <c r="Y48" i="2" s="1"/>
  <c r="L47" i="2"/>
  <c r="K48" i="2" s="1"/>
  <c r="N47" i="2"/>
  <c r="M48" i="2" s="1"/>
  <c r="X47" i="2"/>
  <c r="W48" i="2" s="1"/>
  <c r="T47" i="2"/>
  <c r="S48" i="2" s="1"/>
  <c r="P47" i="2"/>
  <c r="O48" i="2" s="1"/>
  <c r="U47" i="2"/>
  <c r="AA47" i="2"/>
  <c r="AG21" i="23" l="1"/>
  <c r="AH21" i="23"/>
  <c r="AE21" i="23"/>
  <c r="AD21" i="23"/>
  <c r="AF21" i="23"/>
  <c r="AX47" i="23"/>
  <c r="AY47" i="23" s="1"/>
  <c r="AC21" i="23"/>
  <c r="J48" i="2"/>
  <c r="R48" i="2"/>
  <c r="Q49" i="2" s="1"/>
  <c r="E48" i="21"/>
  <c r="S48" i="23" s="1"/>
  <c r="H48" i="21"/>
  <c r="V48" i="23" s="1"/>
  <c r="C48" i="21"/>
  <c r="Q48" i="23" s="1"/>
  <c r="F48" i="21"/>
  <c r="T48" i="23" s="1"/>
  <c r="B48" i="21"/>
  <c r="P48" i="23" s="1"/>
  <c r="G48" i="21"/>
  <c r="U48" i="23" s="1"/>
  <c r="D48" i="21"/>
  <c r="R48" i="23" s="1"/>
  <c r="I48" i="21"/>
  <c r="W48" i="23" s="1"/>
  <c r="I49" i="2"/>
  <c r="J49" i="2" s="1"/>
  <c r="Z48" i="2"/>
  <c r="Y49" i="2" s="1"/>
  <c r="L48" i="2"/>
  <c r="K49" i="2" s="1"/>
  <c r="N48" i="2"/>
  <c r="M49" i="2" s="1"/>
  <c r="P48" i="2"/>
  <c r="O49" i="2" s="1"/>
  <c r="X48" i="2"/>
  <c r="W49" i="2" s="1"/>
  <c r="U48" i="2"/>
  <c r="T48" i="2"/>
  <c r="S49" i="2" s="1"/>
  <c r="AA48" i="2"/>
  <c r="BD48" i="23" l="1"/>
  <c r="BA48" i="23"/>
  <c r="AX48" i="23"/>
  <c r="AY48" i="23" s="1"/>
  <c r="AZ48" i="23"/>
  <c r="BB48" i="23"/>
  <c r="BB47" i="23"/>
  <c r="AZ47" i="23"/>
  <c r="BA47" i="23"/>
  <c r="BD47" i="23"/>
  <c r="BC47" i="23"/>
  <c r="I50" i="2"/>
  <c r="J50" i="2" s="1"/>
  <c r="B49" i="21"/>
  <c r="P49" i="23" s="1"/>
  <c r="R49" i="2"/>
  <c r="Q50" i="2" s="1"/>
  <c r="H49" i="21"/>
  <c r="V49" i="23" s="1"/>
  <c r="D49" i="21"/>
  <c r="R49" i="23" s="1"/>
  <c r="I49" i="21"/>
  <c r="W49" i="23" s="1"/>
  <c r="E49" i="21"/>
  <c r="S49" i="23" s="1"/>
  <c r="C49" i="21"/>
  <c r="Q49" i="23" s="1"/>
  <c r="F49" i="21"/>
  <c r="T49" i="23" s="1"/>
  <c r="G49" i="21"/>
  <c r="U49" i="23" s="1"/>
  <c r="Z49" i="2"/>
  <c r="Y50" i="2" s="1"/>
  <c r="L49" i="2"/>
  <c r="K50" i="2" s="1"/>
  <c r="P49" i="2"/>
  <c r="O50" i="2" s="1"/>
  <c r="X49" i="2"/>
  <c r="W50" i="2" s="1"/>
  <c r="N49" i="2"/>
  <c r="M50" i="2" s="1"/>
  <c r="T49" i="2"/>
  <c r="S50" i="2" s="1"/>
  <c r="U49" i="2"/>
  <c r="AA49" i="2"/>
  <c r="BC48" i="23" l="1"/>
  <c r="AX49" i="23"/>
  <c r="AY49" i="23" s="1"/>
  <c r="R50" i="2"/>
  <c r="H50" i="21"/>
  <c r="V50" i="23" s="1"/>
  <c r="AI22" i="23" s="1"/>
  <c r="C50" i="21"/>
  <c r="Q50" i="23" s="1"/>
  <c r="B50" i="21"/>
  <c r="P50" i="23" s="1"/>
  <c r="D50" i="21"/>
  <c r="R50" i="23" s="1"/>
  <c r="E50" i="21"/>
  <c r="S50" i="23" s="1"/>
  <c r="I50" i="21"/>
  <c r="W50" i="23" s="1"/>
  <c r="AJ22" i="23" s="1"/>
  <c r="G50" i="21"/>
  <c r="U50" i="23" s="1"/>
  <c r="F50" i="21"/>
  <c r="T50" i="23" s="1"/>
  <c r="I51" i="2"/>
  <c r="Q51" i="2"/>
  <c r="Z50" i="2"/>
  <c r="Y51" i="2" s="1"/>
  <c r="P50" i="2"/>
  <c r="O51" i="2" s="1"/>
  <c r="N50" i="2"/>
  <c r="M51" i="2" s="1"/>
  <c r="X50" i="2"/>
  <c r="W51" i="2" s="1"/>
  <c r="L50" i="2"/>
  <c r="K51" i="2" s="1"/>
  <c r="U50" i="2"/>
  <c r="T50" i="2"/>
  <c r="S51" i="2" s="1"/>
  <c r="AA50" i="2"/>
  <c r="AH22" i="23" l="1"/>
  <c r="AF22" i="23"/>
  <c r="AX50" i="23"/>
  <c r="AY50" i="23" s="1"/>
  <c r="AC22" i="23"/>
  <c r="BC50" i="23"/>
  <c r="AG22" i="23"/>
  <c r="BA50" i="23"/>
  <c r="AE22" i="23"/>
  <c r="AZ50" i="23"/>
  <c r="AD22" i="23"/>
  <c r="BD49" i="23"/>
  <c r="BA49" i="23"/>
  <c r="BC49" i="23"/>
  <c r="BB49" i="23"/>
  <c r="AZ49" i="23"/>
  <c r="J51" i="2"/>
  <c r="I52" i="2" s="1"/>
  <c r="B51" i="21"/>
  <c r="P51" i="23" s="1"/>
  <c r="R51" i="2"/>
  <c r="Q52" i="2" s="1"/>
  <c r="G51" i="21"/>
  <c r="U51" i="23" s="1"/>
  <c r="C51" i="21"/>
  <c r="Q51" i="23" s="1"/>
  <c r="D51" i="21"/>
  <c r="R51" i="23" s="1"/>
  <c r="H51" i="21"/>
  <c r="V51" i="23" s="1"/>
  <c r="E51" i="21"/>
  <c r="S51" i="23" s="1"/>
  <c r="F51" i="21"/>
  <c r="T51" i="23" s="1"/>
  <c r="I51" i="21"/>
  <c r="W51" i="23" s="1"/>
  <c r="Z51" i="2"/>
  <c r="Y52" i="2" s="1"/>
  <c r="I52" i="21" s="1"/>
  <c r="W52" i="23" s="1"/>
  <c r="AJ23" i="23" s="1"/>
  <c r="P51" i="2"/>
  <c r="O52" i="2" s="1"/>
  <c r="E52" i="21" s="1"/>
  <c r="S52" i="23" s="1"/>
  <c r="N51" i="2"/>
  <c r="M52" i="2" s="1"/>
  <c r="D52" i="21" s="1"/>
  <c r="R52" i="23" s="1"/>
  <c r="X51" i="2"/>
  <c r="W52" i="2" s="1"/>
  <c r="H52" i="21" s="1"/>
  <c r="V52" i="23" s="1"/>
  <c r="AI23" i="23" s="1"/>
  <c r="L51" i="2"/>
  <c r="K52" i="2" s="1"/>
  <c r="C52" i="21" s="1"/>
  <c r="Q52" i="23" s="1"/>
  <c r="U51" i="2"/>
  <c r="T51" i="2"/>
  <c r="S52" i="2" s="1"/>
  <c r="G52" i="21" s="1"/>
  <c r="U52" i="23" s="1"/>
  <c r="AA51" i="2"/>
  <c r="AH23" i="23" l="1"/>
  <c r="AE23" i="23"/>
  <c r="AD23" i="23"/>
  <c r="AF23" i="23"/>
  <c r="AX51" i="23"/>
  <c r="AY51" i="23" s="1"/>
  <c r="BB50" i="23"/>
  <c r="BD50" i="23"/>
  <c r="J52" i="2"/>
  <c r="B52" i="21"/>
  <c r="P52" i="23" s="1"/>
  <c r="F52" i="21"/>
  <c r="T52" i="23" s="1"/>
  <c r="R52" i="2"/>
  <c r="I53" i="2"/>
  <c r="Q53" i="2"/>
  <c r="Z52" i="2"/>
  <c r="Y53" i="2" s="1"/>
  <c r="I53" i="21" s="1"/>
  <c r="W53" i="23" s="1"/>
  <c r="N52" i="2"/>
  <c r="M53" i="2" s="1"/>
  <c r="D53" i="21" s="1"/>
  <c r="R53" i="23" s="1"/>
  <c r="T52" i="2"/>
  <c r="S53" i="2" s="1"/>
  <c r="G53" i="21" s="1"/>
  <c r="U53" i="23" s="1"/>
  <c r="P52" i="2"/>
  <c r="O53" i="2" s="1"/>
  <c r="E53" i="21" s="1"/>
  <c r="S53" i="23" s="1"/>
  <c r="X52" i="2"/>
  <c r="W53" i="2" s="1"/>
  <c r="H53" i="21" s="1"/>
  <c r="V53" i="23" s="1"/>
  <c r="U52" i="2"/>
  <c r="L52" i="2"/>
  <c r="K53" i="2" s="1"/>
  <c r="C53" i="21" s="1"/>
  <c r="Q53" i="23" s="1"/>
  <c r="AA52" i="2"/>
  <c r="AZ51" i="23" l="1"/>
  <c r="AX52" i="23"/>
  <c r="AC23" i="23"/>
  <c r="BA51" i="23"/>
  <c r="BC52" i="23"/>
  <c r="AG23" i="23"/>
  <c r="BD51" i="23"/>
  <c r="BB51" i="23"/>
  <c r="BC51" i="23"/>
  <c r="J53" i="2"/>
  <c r="I54" i="2" s="1"/>
  <c r="B53" i="21"/>
  <c r="P53" i="23" s="1"/>
  <c r="AX53" i="23" s="1"/>
  <c r="AY53" i="23" s="1"/>
  <c r="F53" i="21"/>
  <c r="T53" i="23" s="1"/>
  <c r="R53" i="2"/>
  <c r="Q54" i="2" s="1"/>
  <c r="Z53" i="2"/>
  <c r="Y54" i="2" s="1"/>
  <c r="I54" i="21" s="1"/>
  <c r="W54" i="23" s="1"/>
  <c r="AJ24" i="23" s="1"/>
  <c r="P53" i="2"/>
  <c r="O54" i="2" s="1"/>
  <c r="E54" i="21" s="1"/>
  <c r="S54" i="23" s="1"/>
  <c r="T53" i="2"/>
  <c r="S54" i="2" s="1"/>
  <c r="G54" i="21" s="1"/>
  <c r="U54" i="23" s="1"/>
  <c r="L53" i="2"/>
  <c r="K54" i="2" s="1"/>
  <c r="C54" i="21" s="1"/>
  <c r="Q54" i="23" s="1"/>
  <c r="U53" i="2"/>
  <c r="X53" i="2"/>
  <c r="W54" i="2" s="1"/>
  <c r="H54" i="21" s="1"/>
  <c r="V54" i="23" s="1"/>
  <c r="AI24" i="23" s="1"/>
  <c r="N53" i="2"/>
  <c r="M54" i="2" s="1"/>
  <c r="D54" i="21" s="1"/>
  <c r="R54" i="23" s="1"/>
  <c r="AA53" i="2"/>
  <c r="AD24" i="23" l="1"/>
  <c r="AZ53" i="23"/>
  <c r="AE24" i="23"/>
  <c r="AH24" i="23"/>
  <c r="BC53" i="23"/>
  <c r="BD53" i="23"/>
  <c r="AY52" i="23"/>
  <c r="BD52" i="23"/>
  <c r="BA52" i="23"/>
  <c r="AZ52" i="23"/>
  <c r="BB52" i="23"/>
  <c r="AF24" i="23"/>
  <c r="BA53" i="23"/>
  <c r="BB53" i="23"/>
  <c r="J54" i="2"/>
  <c r="B54" i="21"/>
  <c r="P54" i="23" s="1"/>
  <c r="F54" i="21"/>
  <c r="T54" i="23" s="1"/>
  <c r="R54" i="2"/>
  <c r="Q55" i="2" s="1"/>
  <c r="I55" i="2"/>
  <c r="Z54" i="2"/>
  <c r="Y55" i="2" s="1"/>
  <c r="I55" i="21" s="1"/>
  <c r="W55" i="23" s="1"/>
  <c r="L54" i="2"/>
  <c r="K55" i="2" s="1"/>
  <c r="C55" i="21" s="1"/>
  <c r="Q55" i="23" s="1"/>
  <c r="T54" i="2"/>
  <c r="S55" i="2" s="1"/>
  <c r="G55" i="21" s="1"/>
  <c r="U55" i="23" s="1"/>
  <c r="X54" i="2"/>
  <c r="W55" i="2" s="1"/>
  <c r="H55" i="21" s="1"/>
  <c r="V55" i="23" s="1"/>
  <c r="U54" i="2"/>
  <c r="P54" i="2"/>
  <c r="O55" i="2" s="1"/>
  <c r="E55" i="21" s="1"/>
  <c r="S55" i="23" s="1"/>
  <c r="N54" i="2"/>
  <c r="M55" i="2" s="1"/>
  <c r="D55" i="21" s="1"/>
  <c r="R55" i="23" s="1"/>
  <c r="AA54" i="2"/>
  <c r="AG24" i="23" l="1"/>
  <c r="AX54" i="23"/>
  <c r="AC24" i="23"/>
  <c r="J55" i="2"/>
  <c r="I56" i="2" s="1"/>
  <c r="B55" i="21"/>
  <c r="P55" i="23" s="1"/>
  <c r="F55" i="21"/>
  <c r="T55" i="23" s="1"/>
  <c r="R55" i="2"/>
  <c r="Q56" i="2" s="1"/>
  <c r="Z55" i="2"/>
  <c r="Y56" i="2" s="1"/>
  <c r="I56" i="21" s="1"/>
  <c r="W56" i="23" s="1"/>
  <c r="L55" i="2"/>
  <c r="K56" i="2" s="1"/>
  <c r="C56" i="21" s="1"/>
  <c r="Q56" i="23" s="1"/>
  <c r="X55" i="2"/>
  <c r="W56" i="2" s="1"/>
  <c r="H56" i="21" s="1"/>
  <c r="V56" i="23" s="1"/>
  <c r="T55" i="2"/>
  <c r="S56" i="2" s="1"/>
  <c r="G56" i="21" s="1"/>
  <c r="U56" i="23" s="1"/>
  <c r="N55" i="2"/>
  <c r="M56" i="2" s="1"/>
  <c r="D56" i="21" s="1"/>
  <c r="R56" i="23" s="1"/>
  <c r="U55" i="2"/>
  <c r="P55" i="2"/>
  <c r="O56" i="2" s="1"/>
  <c r="E56" i="21" s="1"/>
  <c r="S56" i="23" s="1"/>
  <c r="AA55" i="2"/>
  <c r="BC55" i="23" l="1"/>
  <c r="AX55" i="23"/>
  <c r="AY54" i="23"/>
  <c r="AZ54" i="23"/>
  <c r="BB54" i="23"/>
  <c r="BA54" i="23"/>
  <c r="BD54" i="23"/>
  <c r="BC54" i="23"/>
  <c r="J56" i="2"/>
  <c r="B56" i="21"/>
  <c r="P56" i="23" s="1"/>
  <c r="F56" i="21"/>
  <c r="T56" i="23" s="1"/>
  <c r="R56" i="2"/>
  <c r="Q57" i="2" s="1"/>
  <c r="I57" i="2"/>
  <c r="Z56" i="2"/>
  <c r="Y57" i="2" s="1"/>
  <c r="I57" i="21" s="1"/>
  <c r="W57" i="23" s="1"/>
  <c r="AJ25" i="23" s="1"/>
  <c r="L56" i="2"/>
  <c r="K57" i="2" s="1"/>
  <c r="C57" i="21" s="1"/>
  <c r="Q57" i="23" s="1"/>
  <c r="N56" i="2"/>
  <c r="M57" i="2" s="1"/>
  <c r="D57" i="21" s="1"/>
  <c r="R57" i="23" s="1"/>
  <c r="X56" i="2"/>
  <c r="W57" i="2" s="1"/>
  <c r="H57" i="21" s="1"/>
  <c r="V57" i="23" s="1"/>
  <c r="AI25" i="23" s="1"/>
  <c r="T56" i="2"/>
  <c r="S57" i="2" s="1"/>
  <c r="G57" i="21" s="1"/>
  <c r="U57" i="23" s="1"/>
  <c r="U56" i="2"/>
  <c r="P56" i="2"/>
  <c r="O57" i="2" s="1"/>
  <c r="E57" i="21" s="1"/>
  <c r="S57" i="23" s="1"/>
  <c r="AA56" i="2"/>
  <c r="AF25" i="23" l="1"/>
  <c r="AH25" i="23"/>
  <c r="AE25" i="23"/>
  <c r="AX56" i="23"/>
  <c r="AY55" i="23"/>
  <c r="BB55" i="23"/>
  <c r="BD55" i="23"/>
  <c r="BA55" i="23"/>
  <c r="AZ55" i="23"/>
  <c r="AD25" i="23"/>
  <c r="BC56" i="23"/>
  <c r="J57" i="2"/>
  <c r="I58" i="2" s="1"/>
  <c r="B57" i="21"/>
  <c r="P57" i="23" s="1"/>
  <c r="F57" i="21"/>
  <c r="T57" i="23" s="1"/>
  <c r="R57" i="2"/>
  <c r="Q58" i="2" s="1"/>
  <c r="Z57" i="2"/>
  <c r="Y58" i="2" s="1"/>
  <c r="I58" i="21" s="1"/>
  <c r="W58" i="23" s="1"/>
  <c r="L57" i="2"/>
  <c r="K58" i="2" s="1"/>
  <c r="C58" i="21" s="1"/>
  <c r="Q58" i="23" s="1"/>
  <c r="N57" i="2"/>
  <c r="M58" i="2" s="1"/>
  <c r="D58" i="21" s="1"/>
  <c r="R58" i="23" s="1"/>
  <c r="X57" i="2"/>
  <c r="W58" i="2" s="1"/>
  <c r="H58" i="21" s="1"/>
  <c r="V58" i="23" s="1"/>
  <c r="T57" i="2"/>
  <c r="S58" i="2" s="1"/>
  <c r="G58" i="21" s="1"/>
  <c r="U58" i="23" s="1"/>
  <c r="P57" i="2"/>
  <c r="O58" i="2" s="1"/>
  <c r="E58" i="21" s="1"/>
  <c r="S58" i="23" s="1"/>
  <c r="U57" i="2"/>
  <c r="AA57" i="2"/>
  <c r="AG25" i="23" l="1"/>
  <c r="AX57" i="23"/>
  <c r="BC57" i="23" s="1"/>
  <c r="AC25" i="23"/>
  <c r="AY56" i="23"/>
  <c r="BB56" i="23"/>
  <c r="AZ56" i="23"/>
  <c r="BA56" i="23"/>
  <c r="BD56" i="23"/>
  <c r="J58" i="2"/>
  <c r="B58" i="21"/>
  <c r="P58" i="23" s="1"/>
  <c r="AX58" i="23" s="1"/>
  <c r="AY58" i="23" s="1"/>
  <c r="F58" i="21"/>
  <c r="T58" i="23" s="1"/>
  <c r="R58" i="2"/>
  <c r="Q59" i="2" s="1"/>
  <c r="I59" i="2"/>
  <c r="Z58" i="2"/>
  <c r="Y59" i="2" s="1"/>
  <c r="I59" i="21" s="1"/>
  <c r="W59" i="23" s="1"/>
  <c r="AJ26" i="23" s="1"/>
  <c r="L58" i="2"/>
  <c r="K59" i="2" s="1"/>
  <c r="C59" i="21" s="1"/>
  <c r="Q59" i="23" s="1"/>
  <c r="N58" i="2"/>
  <c r="M59" i="2" s="1"/>
  <c r="D59" i="21" s="1"/>
  <c r="R59" i="23" s="1"/>
  <c r="X58" i="2"/>
  <c r="W59" i="2" s="1"/>
  <c r="H59" i="21" s="1"/>
  <c r="V59" i="23" s="1"/>
  <c r="AI26" i="23" s="1"/>
  <c r="P58" i="2"/>
  <c r="O59" i="2" s="1"/>
  <c r="E59" i="21" s="1"/>
  <c r="S59" i="23" s="1"/>
  <c r="T58" i="2"/>
  <c r="S59" i="2" s="1"/>
  <c r="G59" i="21" s="1"/>
  <c r="U59" i="23" s="1"/>
  <c r="U58" i="2"/>
  <c r="AA58" i="2"/>
  <c r="BB58" i="23" l="1"/>
  <c r="AH26" i="23"/>
  <c r="AD26" i="23"/>
  <c r="BC58" i="23"/>
  <c r="AZ58" i="23"/>
  <c r="BD58" i="23"/>
  <c r="AF26" i="23"/>
  <c r="AE26" i="23"/>
  <c r="AY57" i="23"/>
  <c r="BB57" i="23"/>
  <c r="BD57" i="23"/>
  <c r="BA57" i="23"/>
  <c r="AZ57" i="23"/>
  <c r="BA58" i="23"/>
  <c r="J59" i="2"/>
  <c r="I60" i="2" s="1"/>
  <c r="B59" i="21"/>
  <c r="P59" i="23" s="1"/>
  <c r="F59" i="21"/>
  <c r="T59" i="23" s="1"/>
  <c r="R59" i="2"/>
  <c r="Q60" i="2" s="1"/>
  <c r="Z59" i="2"/>
  <c r="Y60" i="2" s="1"/>
  <c r="I60" i="21" s="1"/>
  <c r="W60" i="23" s="1"/>
  <c r="N59" i="2"/>
  <c r="M60" i="2" s="1"/>
  <c r="D60" i="21" s="1"/>
  <c r="R60" i="23" s="1"/>
  <c r="L59" i="2"/>
  <c r="K60" i="2" s="1"/>
  <c r="C60" i="21" s="1"/>
  <c r="Q60" i="23" s="1"/>
  <c r="P59" i="2"/>
  <c r="O60" i="2" s="1"/>
  <c r="E60" i="21" s="1"/>
  <c r="S60" i="23" s="1"/>
  <c r="X59" i="2"/>
  <c r="W60" i="2" s="1"/>
  <c r="H60" i="21" s="1"/>
  <c r="V60" i="23" s="1"/>
  <c r="T59" i="2"/>
  <c r="S60" i="2" s="1"/>
  <c r="G60" i="21" s="1"/>
  <c r="U60" i="23" s="1"/>
  <c r="U59" i="2"/>
  <c r="AA59" i="2"/>
  <c r="AX59" i="23" l="1"/>
  <c r="AC26" i="23"/>
  <c r="BC59" i="23"/>
  <c r="AG26" i="23"/>
  <c r="J60" i="2"/>
  <c r="B60" i="21"/>
  <c r="P60" i="23" s="1"/>
  <c r="AX60" i="23" s="1"/>
  <c r="AY60" i="23" s="1"/>
  <c r="F60" i="21"/>
  <c r="T60" i="23" s="1"/>
  <c r="R60" i="2"/>
  <c r="Q61" i="2" s="1"/>
  <c r="I61" i="2"/>
  <c r="Z60" i="2"/>
  <c r="Y61" i="2" s="1"/>
  <c r="I61" i="21" s="1"/>
  <c r="W61" i="23" s="1"/>
  <c r="L60" i="2"/>
  <c r="K61" i="2" s="1"/>
  <c r="C61" i="21" s="1"/>
  <c r="Q61" i="23" s="1"/>
  <c r="N60" i="2"/>
  <c r="M61" i="2" s="1"/>
  <c r="D61" i="21" s="1"/>
  <c r="R61" i="23" s="1"/>
  <c r="P60" i="2"/>
  <c r="O61" i="2" s="1"/>
  <c r="E61" i="21" s="1"/>
  <c r="S61" i="23" s="1"/>
  <c r="T60" i="2"/>
  <c r="S61" i="2" s="1"/>
  <c r="G61" i="21" s="1"/>
  <c r="U61" i="23" s="1"/>
  <c r="X60" i="2"/>
  <c r="W61" i="2" s="1"/>
  <c r="H61" i="21" s="1"/>
  <c r="V61" i="23" s="1"/>
  <c r="U60" i="2"/>
  <c r="AA60" i="2"/>
  <c r="AZ60" i="23" l="1"/>
  <c r="AY59" i="23"/>
  <c r="BB59" i="23"/>
  <c r="BA59" i="23"/>
  <c r="BD59" i="23"/>
  <c r="AZ59" i="23"/>
  <c r="BB60" i="23"/>
  <c r="BC60" i="23"/>
  <c r="BA60" i="23"/>
  <c r="BD60" i="23"/>
  <c r="J61" i="2"/>
  <c r="I62" i="2" s="1"/>
  <c r="J62" i="2" s="1"/>
  <c r="B61" i="21"/>
  <c r="P61" i="23" s="1"/>
  <c r="F61" i="21"/>
  <c r="T61" i="23" s="1"/>
  <c r="R61" i="2"/>
  <c r="Q62" i="2" s="1"/>
  <c r="N61" i="2"/>
  <c r="M62" i="2" s="1"/>
  <c r="D62" i="21" s="1"/>
  <c r="R62" i="23" s="1"/>
  <c r="Z61" i="2"/>
  <c r="Y62" i="2" s="1"/>
  <c r="I62" i="21" s="1"/>
  <c r="W62" i="23" s="1"/>
  <c r="AJ27" i="23" s="1"/>
  <c r="P61" i="2"/>
  <c r="O62" i="2" s="1"/>
  <c r="E62" i="21" s="1"/>
  <c r="S62" i="23" s="1"/>
  <c r="T61" i="2"/>
  <c r="S62" i="2" s="1"/>
  <c r="G62" i="21" s="1"/>
  <c r="U62" i="23" s="1"/>
  <c r="L61" i="2"/>
  <c r="K62" i="2" s="1"/>
  <c r="C62" i="21" s="1"/>
  <c r="Q62" i="23" s="1"/>
  <c r="X61" i="2"/>
  <c r="W62" i="2" s="1"/>
  <c r="H62" i="21" s="1"/>
  <c r="V62" i="23" s="1"/>
  <c r="AI27" i="23" s="1"/>
  <c r="U61" i="2"/>
  <c r="AA61" i="2"/>
  <c r="AD27" i="23" l="1"/>
  <c r="AF27" i="23"/>
  <c r="AH27" i="23"/>
  <c r="AX61" i="23"/>
  <c r="AE27" i="23"/>
  <c r="B62" i="21"/>
  <c r="P62" i="23" s="1"/>
  <c r="F62" i="21"/>
  <c r="T62" i="23" s="1"/>
  <c r="R62" i="2"/>
  <c r="Q63" i="2" s="1"/>
  <c r="I63" i="2"/>
  <c r="Z62" i="2"/>
  <c r="Y63" i="2" s="1"/>
  <c r="I63" i="21" s="1"/>
  <c r="W63" i="23" s="1"/>
  <c r="N62" i="2"/>
  <c r="M63" i="2" s="1"/>
  <c r="D63" i="21" s="1"/>
  <c r="R63" i="23" s="1"/>
  <c r="P62" i="2"/>
  <c r="O63" i="2" s="1"/>
  <c r="E63" i="21" s="1"/>
  <c r="S63" i="23" s="1"/>
  <c r="T62" i="2"/>
  <c r="S63" i="2" s="1"/>
  <c r="G63" i="21" s="1"/>
  <c r="U63" i="23" s="1"/>
  <c r="X62" i="2"/>
  <c r="W63" i="2" s="1"/>
  <c r="H63" i="21" s="1"/>
  <c r="V63" i="23" s="1"/>
  <c r="U62" i="2"/>
  <c r="L62" i="2"/>
  <c r="K63" i="2" s="1"/>
  <c r="C63" i="21" s="1"/>
  <c r="Q63" i="23" s="1"/>
  <c r="AA62" i="2"/>
  <c r="AG27" i="23" l="1"/>
  <c r="AY61" i="23"/>
  <c r="BD61" i="23"/>
  <c r="AZ61" i="23"/>
  <c r="BA61" i="23"/>
  <c r="BB61" i="23"/>
  <c r="AX62" i="23"/>
  <c r="AC27" i="23"/>
  <c r="BC61" i="23"/>
  <c r="J63" i="2"/>
  <c r="I64" i="2" s="1"/>
  <c r="B63" i="21"/>
  <c r="P63" i="23" s="1"/>
  <c r="F63" i="21"/>
  <c r="T63" i="23" s="1"/>
  <c r="R63" i="2"/>
  <c r="Q64" i="2" s="1"/>
  <c r="Z63" i="2"/>
  <c r="Y64" i="2" s="1"/>
  <c r="I64" i="21" s="1"/>
  <c r="W64" i="23" s="1"/>
  <c r="AJ28" i="23" s="1"/>
  <c r="P63" i="2"/>
  <c r="O64" i="2" s="1"/>
  <c r="E64" i="21" s="1"/>
  <c r="S64" i="23" s="1"/>
  <c r="T63" i="2"/>
  <c r="S64" i="2" s="1"/>
  <c r="G64" i="21" s="1"/>
  <c r="U64" i="23" s="1"/>
  <c r="N63" i="2"/>
  <c r="M64" i="2" s="1"/>
  <c r="D64" i="21" s="1"/>
  <c r="R64" i="23" s="1"/>
  <c r="U63" i="2"/>
  <c r="L63" i="2"/>
  <c r="K64" i="2" s="1"/>
  <c r="C64" i="21" s="1"/>
  <c r="Q64" i="23" s="1"/>
  <c r="AD28" i="23" s="1"/>
  <c r="X63" i="2"/>
  <c r="W64" i="2" s="1"/>
  <c r="H64" i="21" s="1"/>
  <c r="V64" i="23" s="1"/>
  <c r="AI28" i="23" s="1"/>
  <c r="AA63" i="2"/>
  <c r="AH28" i="23" l="1"/>
  <c r="AE28" i="23"/>
  <c r="AF28" i="23"/>
  <c r="AX63" i="23"/>
  <c r="AY62" i="23"/>
  <c r="AZ62" i="23"/>
  <c r="BB62" i="23"/>
  <c r="BA62" i="23"/>
  <c r="BD62" i="23"/>
  <c r="BC62" i="23"/>
  <c r="BC63" i="23"/>
  <c r="J64" i="2"/>
  <c r="B64" i="21"/>
  <c r="P64" i="23" s="1"/>
  <c r="F64" i="21"/>
  <c r="T64" i="23" s="1"/>
  <c r="R64" i="2"/>
  <c r="Q65" i="2" s="1"/>
  <c r="I65" i="2"/>
  <c r="Z64" i="2"/>
  <c r="Y65" i="2" s="1"/>
  <c r="I65" i="21" s="1"/>
  <c r="W65" i="23" s="1"/>
  <c r="T64" i="2"/>
  <c r="S65" i="2" s="1"/>
  <c r="G65" i="21" s="1"/>
  <c r="U65" i="23" s="1"/>
  <c r="P64" i="2"/>
  <c r="O65" i="2" s="1"/>
  <c r="E65" i="21" s="1"/>
  <c r="S65" i="23" s="1"/>
  <c r="L64" i="2"/>
  <c r="K65" i="2" s="1"/>
  <c r="C65" i="21" s="1"/>
  <c r="Q65" i="23" s="1"/>
  <c r="N64" i="2"/>
  <c r="M65" i="2" s="1"/>
  <c r="D65" i="21" s="1"/>
  <c r="R65" i="23" s="1"/>
  <c r="U64" i="2"/>
  <c r="X64" i="2"/>
  <c r="W65" i="2" s="1"/>
  <c r="H65" i="21" s="1"/>
  <c r="V65" i="23" s="1"/>
  <c r="AA64" i="2"/>
  <c r="AX64" i="23" l="1"/>
  <c r="AY64" i="23"/>
  <c r="AC28" i="23"/>
  <c r="BC64" i="23"/>
  <c r="AG28" i="23"/>
  <c r="AY63" i="23"/>
  <c r="BD63" i="23"/>
  <c r="BA63" i="23"/>
  <c r="AZ63" i="23"/>
  <c r="BB63" i="23"/>
  <c r="J65" i="2"/>
  <c r="B65" i="21"/>
  <c r="P65" i="23" s="1"/>
  <c r="F65" i="21"/>
  <c r="T65" i="23" s="1"/>
  <c r="R65" i="2"/>
  <c r="I66" i="2"/>
  <c r="Q66" i="2"/>
  <c r="Z65" i="2"/>
  <c r="Y66" i="2" s="1"/>
  <c r="I66" i="21" s="1"/>
  <c r="W66" i="23" s="1"/>
  <c r="AJ29" i="23" s="1"/>
  <c r="T65" i="2"/>
  <c r="S66" i="2" s="1"/>
  <c r="G66" i="21" s="1"/>
  <c r="U66" i="23" s="1"/>
  <c r="N65" i="2"/>
  <c r="M66" i="2" s="1"/>
  <c r="D66" i="21" s="1"/>
  <c r="R66" i="23" s="1"/>
  <c r="L65" i="2"/>
  <c r="K66" i="2" s="1"/>
  <c r="C66" i="21" s="1"/>
  <c r="Q66" i="23" s="1"/>
  <c r="AD29" i="23" s="1"/>
  <c r="X65" i="2"/>
  <c r="W66" i="2" s="1"/>
  <c r="H66" i="21" s="1"/>
  <c r="V66" i="23" s="1"/>
  <c r="AI29" i="23" s="1"/>
  <c r="U65" i="2"/>
  <c r="P65" i="2"/>
  <c r="O66" i="2" s="1"/>
  <c r="E66" i="21" s="1"/>
  <c r="S66" i="23" s="1"/>
  <c r="AA65" i="2"/>
  <c r="AE29" i="23" l="1"/>
  <c r="AZ64" i="23"/>
  <c r="BD64" i="23"/>
  <c r="BA64" i="23"/>
  <c r="BB64" i="23"/>
  <c r="AF29" i="23"/>
  <c r="AH29" i="23"/>
  <c r="AX65" i="23"/>
  <c r="AY65" i="23"/>
  <c r="J66" i="2"/>
  <c r="I67" i="2" s="1"/>
  <c r="B66" i="21"/>
  <c r="P66" i="23" s="1"/>
  <c r="F66" i="21"/>
  <c r="T66" i="23" s="1"/>
  <c r="R66" i="2"/>
  <c r="Q67" i="2" s="1"/>
  <c r="Z66" i="2"/>
  <c r="Y67" i="2" s="1"/>
  <c r="I67" i="21" s="1"/>
  <c r="W67" i="23" s="1"/>
  <c r="X66" i="2"/>
  <c r="W67" i="2" s="1"/>
  <c r="H67" i="21" s="1"/>
  <c r="V67" i="23" s="1"/>
  <c r="N66" i="2"/>
  <c r="M67" i="2" s="1"/>
  <c r="D67" i="21" s="1"/>
  <c r="R67" i="23" s="1"/>
  <c r="T66" i="2"/>
  <c r="S67" i="2" s="1"/>
  <c r="G67" i="21" s="1"/>
  <c r="U67" i="23" s="1"/>
  <c r="L66" i="2"/>
  <c r="K67" i="2" s="1"/>
  <c r="C67" i="21" s="1"/>
  <c r="Q67" i="23" s="1"/>
  <c r="U66" i="2"/>
  <c r="P66" i="2"/>
  <c r="O67" i="2" s="1"/>
  <c r="E67" i="21" s="1"/>
  <c r="S67" i="23" s="1"/>
  <c r="AA66" i="2"/>
  <c r="AG29" i="23" l="1"/>
  <c r="BB65" i="23"/>
  <c r="BA65" i="23"/>
  <c r="AZ65" i="23"/>
  <c r="BD65" i="23"/>
  <c r="AX66" i="23"/>
  <c r="AC29" i="23"/>
  <c r="BC65" i="23"/>
  <c r="J67" i="2"/>
  <c r="B67" i="21"/>
  <c r="P67" i="23" s="1"/>
  <c r="F67" i="21"/>
  <c r="T67" i="23" s="1"/>
  <c r="R67" i="2"/>
  <c r="I68" i="2"/>
  <c r="J68" i="2" s="1"/>
  <c r="Q68" i="2"/>
  <c r="Z67" i="2"/>
  <c r="Y68" i="2" s="1"/>
  <c r="I68" i="21" s="1"/>
  <c r="W68" i="23" s="1"/>
  <c r="X67" i="2"/>
  <c r="W68" i="2" s="1"/>
  <c r="H68" i="21" s="1"/>
  <c r="V68" i="23" s="1"/>
  <c r="P67" i="2"/>
  <c r="O68" i="2" s="1"/>
  <c r="E68" i="21" s="1"/>
  <c r="S68" i="23" s="1"/>
  <c r="L67" i="2"/>
  <c r="K68" i="2" s="1"/>
  <c r="C68" i="21" s="1"/>
  <c r="Q68" i="23" s="1"/>
  <c r="N67" i="2"/>
  <c r="M68" i="2" s="1"/>
  <c r="D68" i="21" s="1"/>
  <c r="R68" i="23" s="1"/>
  <c r="T67" i="2"/>
  <c r="S68" i="2" s="1"/>
  <c r="G68" i="21" s="1"/>
  <c r="U68" i="23" s="1"/>
  <c r="U67" i="2"/>
  <c r="AA67" i="2"/>
  <c r="AZ66" i="23" l="1"/>
  <c r="BA66" i="23"/>
  <c r="BB66" i="23"/>
  <c r="BD66" i="23"/>
  <c r="AX67" i="23"/>
  <c r="AY67" i="23" s="1"/>
  <c r="AY66" i="23"/>
  <c r="BC66" i="23"/>
  <c r="I69" i="2"/>
  <c r="F68" i="21"/>
  <c r="T68" i="23" s="1"/>
  <c r="R68" i="2"/>
  <c r="Q69" i="2" s="1"/>
  <c r="B68" i="21"/>
  <c r="P68" i="23" s="1"/>
  <c r="Z68" i="2"/>
  <c r="Y69" i="2" s="1"/>
  <c r="I69" i="21" s="1"/>
  <c r="W69" i="23" s="1"/>
  <c r="AJ30" i="23" s="1"/>
  <c r="X68" i="2"/>
  <c r="W69" i="2" s="1"/>
  <c r="H69" i="21" s="1"/>
  <c r="V69" i="23" s="1"/>
  <c r="AI30" i="23" s="1"/>
  <c r="L68" i="2"/>
  <c r="K69" i="2" s="1"/>
  <c r="C69" i="21" s="1"/>
  <c r="Q69" i="23" s="1"/>
  <c r="N68" i="2"/>
  <c r="M69" i="2" s="1"/>
  <c r="D69" i="21" s="1"/>
  <c r="R69" i="23" s="1"/>
  <c r="T68" i="2"/>
  <c r="S69" i="2" s="1"/>
  <c r="G69" i="21" s="1"/>
  <c r="U69" i="23" s="1"/>
  <c r="P68" i="2"/>
  <c r="O69" i="2" s="1"/>
  <c r="E69" i="21" s="1"/>
  <c r="S69" i="23" s="1"/>
  <c r="AF30" i="23" s="1"/>
  <c r="U68" i="2"/>
  <c r="AA68" i="2"/>
  <c r="AH30" i="23" l="1"/>
  <c r="AD30" i="23"/>
  <c r="AE30" i="23"/>
  <c r="AX68" i="23"/>
  <c r="AY68" i="23" s="1"/>
  <c r="BC68" i="23"/>
  <c r="BB67" i="23"/>
  <c r="AZ67" i="23"/>
  <c r="BD67" i="23"/>
  <c r="BA67" i="23"/>
  <c r="BC67" i="23"/>
  <c r="J69" i="2"/>
  <c r="B69" i="21"/>
  <c r="P69" i="23" s="1"/>
  <c r="F69" i="21"/>
  <c r="T69" i="23" s="1"/>
  <c r="R69" i="2"/>
  <c r="Q70" i="2" s="1"/>
  <c r="I70" i="2"/>
  <c r="J70" i="2" s="1"/>
  <c r="Z69" i="2"/>
  <c r="Y70" i="2" s="1"/>
  <c r="I70" i="21" s="1"/>
  <c r="W70" i="23" s="1"/>
  <c r="L69" i="2"/>
  <c r="K70" i="2" s="1"/>
  <c r="C70" i="21" s="1"/>
  <c r="Q70" i="23" s="1"/>
  <c r="T69" i="2"/>
  <c r="S70" i="2" s="1"/>
  <c r="G70" i="21" s="1"/>
  <c r="U70" i="23" s="1"/>
  <c r="P69" i="2"/>
  <c r="O70" i="2" s="1"/>
  <c r="E70" i="21" s="1"/>
  <c r="S70" i="23" s="1"/>
  <c r="X69" i="2"/>
  <c r="W70" i="2" s="1"/>
  <c r="H70" i="21" s="1"/>
  <c r="V70" i="23" s="1"/>
  <c r="N69" i="2"/>
  <c r="M70" i="2" s="1"/>
  <c r="D70" i="21" s="1"/>
  <c r="R70" i="23" s="1"/>
  <c r="U69" i="2"/>
  <c r="AA69" i="2"/>
  <c r="AX69" i="23" l="1"/>
  <c r="AY69" i="23"/>
  <c r="AC30" i="23"/>
  <c r="BC69" i="23"/>
  <c r="AG30" i="23"/>
  <c r="AZ68" i="23"/>
  <c r="BA68" i="23"/>
  <c r="BB68" i="23"/>
  <c r="BD68" i="23"/>
  <c r="I71" i="2"/>
  <c r="J71" i="2" s="1"/>
  <c r="F70" i="21"/>
  <c r="T70" i="23" s="1"/>
  <c r="R70" i="2"/>
  <c r="Q71" i="2" s="1"/>
  <c r="B70" i="21"/>
  <c r="P70" i="23" s="1"/>
  <c r="Z70" i="2"/>
  <c r="Y71" i="2" s="1"/>
  <c r="I71" i="21" s="1"/>
  <c r="W71" i="23" s="1"/>
  <c r="AJ31" i="23" s="1"/>
  <c r="N70" i="2"/>
  <c r="M71" i="2" s="1"/>
  <c r="D71" i="21" s="1"/>
  <c r="R71" i="23" s="1"/>
  <c r="P70" i="2"/>
  <c r="O71" i="2" s="1"/>
  <c r="E71" i="21" s="1"/>
  <c r="S71" i="23" s="1"/>
  <c r="T70" i="2"/>
  <c r="S71" i="2" s="1"/>
  <c r="G71" i="21" s="1"/>
  <c r="U71" i="23" s="1"/>
  <c r="U70" i="2"/>
  <c r="X70" i="2"/>
  <c r="W71" i="2" s="1"/>
  <c r="H71" i="21" s="1"/>
  <c r="V71" i="23" s="1"/>
  <c r="AI31" i="23" s="1"/>
  <c r="L70" i="2"/>
  <c r="K71" i="2" s="1"/>
  <c r="C71" i="21" s="1"/>
  <c r="Q71" i="23" s="1"/>
  <c r="AA70" i="2"/>
  <c r="AF31" i="23" l="1"/>
  <c r="AH31" i="23"/>
  <c r="AE31" i="23"/>
  <c r="AX70" i="23"/>
  <c r="AY70" i="23" s="1"/>
  <c r="BC70" i="23"/>
  <c r="BB69" i="23"/>
  <c r="BD69" i="23"/>
  <c r="AZ69" i="23"/>
  <c r="BA69" i="23"/>
  <c r="AD31" i="23"/>
  <c r="B71" i="21"/>
  <c r="P71" i="23" s="1"/>
  <c r="F71" i="21"/>
  <c r="T71" i="23" s="1"/>
  <c r="R71" i="2"/>
  <c r="Q72" i="2" s="1"/>
  <c r="I72" i="2"/>
  <c r="Z71" i="2"/>
  <c r="Y72" i="2" s="1"/>
  <c r="I72" i="21" s="1"/>
  <c r="W72" i="23" s="1"/>
  <c r="P71" i="2"/>
  <c r="O72" i="2" s="1"/>
  <c r="E72" i="21" s="1"/>
  <c r="S72" i="23" s="1"/>
  <c r="T71" i="2"/>
  <c r="S72" i="2" s="1"/>
  <c r="G72" i="21" s="1"/>
  <c r="U72" i="23" s="1"/>
  <c r="L71" i="2"/>
  <c r="K72" i="2" s="1"/>
  <c r="C72" i="21" s="1"/>
  <c r="Q72" i="23" s="1"/>
  <c r="N71" i="2"/>
  <c r="M72" i="2" s="1"/>
  <c r="D72" i="21" s="1"/>
  <c r="R72" i="23" s="1"/>
  <c r="X71" i="2"/>
  <c r="W72" i="2" s="1"/>
  <c r="H72" i="21" s="1"/>
  <c r="V72" i="23" s="1"/>
  <c r="U71" i="2"/>
  <c r="AA71" i="2"/>
  <c r="AX71" i="23" l="1"/>
  <c r="AC31" i="23"/>
  <c r="BC71" i="23"/>
  <c r="AG31" i="23"/>
  <c r="AZ70" i="23"/>
  <c r="BD70" i="23"/>
  <c r="BA70" i="23"/>
  <c r="BB70" i="23"/>
  <c r="J72" i="2"/>
  <c r="B72" i="21"/>
  <c r="P72" i="23" s="1"/>
  <c r="F72" i="21"/>
  <c r="T72" i="23" s="1"/>
  <c r="R72" i="2"/>
  <c r="I73" i="2"/>
  <c r="Q73" i="2"/>
  <c r="Z72" i="2"/>
  <c r="Y73" i="2" s="1"/>
  <c r="I73" i="21" s="1"/>
  <c r="W73" i="23" s="1"/>
  <c r="T72" i="2"/>
  <c r="S73" i="2" s="1"/>
  <c r="G73" i="21" s="1"/>
  <c r="U73" i="23" s="1"/>
  <c r="P72" i="2"/>
  <c r="O73" i="2" s="1"/>
  <c r="E73" i="21" s="1"/>
  <c r="S73" i="23" s="1"/>
  <c r="L72" i="2"/>
  <c r="K73" i="2" s="1"/>
  <c r="C73" i="21" s="1"/>
  <c r="Q73" i="23" s="1"/>
  <c r="X72" i="2"/>
  <c r="W73" i="2" s="1"/>
  <c r="H73" i="21" s="1"/>
  <c r="V73" i="23" s="1"/>
  <c r="U72" i="2"/>
  <c r="N72" i="2"/>
  <c r="M73" i="2" s="1"/>
  <c r="D73" i="21" s="1"/>
  <c r="R73" i="23" s="1"/>
  <c r="AA72" i="2"/>
  <c r="BC72" i="23" l="1"/>
  <c r="AX72" i="23"/>
  <c r="AY71" i="23"/>
  <c r="BB71" i="23"/>
  <c r="BD71" i="23"/>
  <c r="BA71" i="23"/>
  <c r="AZ71" i="23"/>
  <c r="J73" i="2"/>
  <c r="B73" i="21"/>
  <c r="P73" i="23" s="1"/>
  <c r="AX73" i="23" s="1"/>
  <c r="AY73" i="23" s="1"/>
  <c r="F73" i="21"/>
  <c r="T73" i="23" s="1"/>
  <c r="R73" i="2"/>
  <c r="I74" i="2"/>
  <c r="Q74" i="2"/>
  <c r="Z73" i="2"/>
  <c r="Y74" i="2" s="1"/>
  <c r="I74" i="21" s="1"/>
  <c r="W74" i="23" s="1"/>
  <c r="AJ32" i="23" s="1"/>
  <c r="L73" i="2"/>
  <c r="K74" i="2" s="1"/>
  <c r="C74" i="21" s="1"/>
  <c r="Q74" i="23" s="1"/>
  <c r="T73" i="2"/>
  <c r="S74" i="2" s="1"/>
  <c r="G74" i="21" s="1"/>
  <c r="U74" i="23" s="1"/>
  <c r="U73" i="2"/>
  <c r="X73" i="2"/>
  <c r="W74" i="2" s="1"/>
  <c r="H74" i="21" s="1"/>
  <c r="V74" i="23" s="1"/>
  <c r="AI32" i="23" s="1"/>
  <c r="P73" i="2"/>
  <c r="O74" i="2" s="1"/>
  <c r="E74" i="21" s="1"/>
  <c r="S74" i="23" s="1"/>
  <c r="N73" i="2"/>
  <c r="M74" i="2" s="1"/>
  <c r="D74" i="21" s="1"/>
  <c r="R74" i="23" s="1"/>
  <c r="AA73" i="2"/>
  <c r="AE32" i="23" l="1"/>
  <c r="AH32" i="23"/>
  <c r="BC73" i="23"/>
  <c r="BA73" i="23"/>
  <c r="AY72" i="23"/>
  <c r="BB72" i="23"/>
  <c r="BD72" i="23"/>
  <c r="BA72" i="23"/>
  <c r="AZ72" i="23"/>
  <c r="AZ73" i="23"/>
  <c r="AF32" i="23"/>
  <c r="AD32" i="23"/>
  <c r="BB73" i="23"/>
  <c r="BD73" i="23"/>
  <c r="J74" i="2"/>
  <c r="B74" i="21"/>
  <c r="P74" i="23" s="1"/>
  <c r="F74" i="21"/>
  <c r="T74" i="23" s="1"/>
  <c r="R74" i="2"/>
  <c r="I75" i="2"/>
  <c r="Q75" i="2"/>
  <c r="Z74" i="2"/>
  <c r="Y75" i="2" s="1"/>
  <c r="I75" i="21" s="1"/>
  <c r="W75" i="23" s="1"/>
  <c r="L74" i="2"/>
  <c r="K75" i="2" s="1"/>
  <c r="C75" i="21" s="1"/>
  <c r="Q75" i="23" s="1"/>
  <c r="T74" i="2"/>
  <c r="S75" i="2" s="1"/>
  <c r="G75" i="21" s="1"/>
  <c r="U75" i="23" s="1"/>
  <c r="X74" i="2"/>
  <c r="W75" i="2" s="1"/>
  <c r="H75" i="21" s="1"/>
  <c r="V75" i="23" s="1"/>
  <c r="U74" i="2"/>
  <c r="P74" i="2"/>
  <c r="O75" i="2" s="1"/>
  <c r="E75" i="21" s="1"/>
  <c r="S75" i="23" s="1"/>
  <c r="N74" i="2"/>
  <c r="M75" i="2" s="1"/>
  <c r="D75" i="21" s="1"/>
  <c r="R75" i="23" s="1"/>
  <c r="AA74" i="2"/>
  <c r="AX74" i="23" l="1"/>
  <c r="AC32" i="23"/>
  <c r="BC74" i="23"/>
  <c r="AG32" i="23"/>
  <c r="J75" i="2"/>
  <c r="B75" i="21"/>
  <c r="P75" i="23" s="1"/>
  <c r="AX75" i="23" s="1"/>
  <c r="AY75" i="23" s="1"/>
  <c r="F75" i="21"/>
  <c r="T75" i="23" s="1"/>
  <c r="R75" i="2"/>
  <c r="I76" i="2"/>
  <c r="Q76" i="2"/>
  <c r="Z75" i="2"/>
  <c r="Y76" i="2" s="1"/>
  <c r="I76" i="21" s="1"/>
  <c r="W76" i="23" s="1"/>
  <c r="AJ33" i="23" s="1"/>
  <c r="L75" i="2"/>
  <c r="K76" i="2" s="1"/>
  <c r="C76" i="21" s="1"/>
  <c r="Q76" i="23" s="1"/>
  <c r="X75" i="2"/>
  <c r="W76" i="2" s="1"/>
  <c r="H76" i="21" s="1"/>
  <c r="V76" i="23" s="1"/>
  <c r="AI33" i="23" s="1"/>
  <c r="N75" i="2"/>
  <c r="M76" i="2" s="1"/>
  <c r="D76" i="21" s="1"/>
  <c r="R76" i="23" s="1"/>
  <c r="T75" i="2"/>
  <c r="S76" i="2" s="1"/>
  <c r="G76" i="21" s="1"/>
  <c r="U76" i="23" s="1"/>
  <c r="U75" i="2"/>
  <c r="P75" i="2"/>
  <c r="O76" i="2" s="1"/>
  <c r="E76" i="21" s="1"/>
  <c r="S76" i="23" s="1"/>
  <c r="AA75" i="2"/>
  <c r="AF33" i="23" l="1"/>
  <c r="AH33" i="23"/>
  <c r="AE33" i="23"/>
  <c r="AD33" i="23"/>
  <c r="BD75" i="23"/>
  <c r="AZ75" i="23"/>
  <c r="BC75" i="23"/>
  <c r="BA75" i="23"/>
  <c r="AY74" i="23"/>
  <c r="BA74" i="23"/>
  <c r="BD74" i="23"/>
  <c r="BB74" i="23"/>
  <c r="AZ74" i="23"/>
  <c r="BB75" i="23"/>
  <c r="J76" i="2"/>
  <c r="B76" i="21"/>
  <c r="P76" i="23" s="1"/>
  <c r="F76" i="21"/>
  <c r="T76" i="23" s="1"/>
  <c r="R76" i="2"/>
  <c r="Q77" i="2" s="1"/>
  <c r="I77" i="2"/>
  <c r="Z76" i="2"/>
  <c r="Y77" i="2" s="1"/>
  <c r="I77" i="21" s="1"/>
  <c r="W77" i="23" s="1"/>
  <c r="L76" i="2"/>
  <c r="K77" i="2" s="1"/>
  <c r="C77" i="21" s="1"/>
  <c r="Q77" i="23" s="1"/>
  <c r="N76" i="2"/>
  <c r="M77" i="2" s="1"/>
  <c r="D77" i="21" s="1"/>
  <c r="R77" i="23" s="1"/>
  <c r="X76" i="2"/>
  <c r="W77" i="2" s="1"/>
  <c r="H77" i="21" s="1"/>
  <c r="V77" i="23" s="1"/>
  <c r="P76" i="2"/>
  <c r="O77" i="2" s="1"/>
  <c r="E77" i="21" s="1"/>
  <c r="S77" i="23" s="1"/>
  <c r="U76" i="2"/>
  <c r="T76" i="2"/>
  <c r="S77" i="2" s="1"/>
  <c r="G77" i="21" s="1"/>
  <c r="U77" i="23" s="1"/>
  <c r="AA76" i="2"/>
  <c r="AX76" i="23" l="1"/>
  <c r="AC33" i="23"/>
  <c r="BC76" i="23"/>
  <c r="AG33" i="23"/>
  <c r="J77" i="2"/>
  <c r="B77" i="21"/>
  <c r="P77" i="23" s="1"/>
  <c r="AX77" i="23" s="1"/>
  <c r="AY77" i="23" s="1"/>
  <c r="F77" i="21"/>
  <c r="T77" i="23" s="1"/>
  <c r="R77" i="2"/>
  <c r="I78" i="2"/>
  <c r="Q78" i="2"/>
  <c r="Z77" i="2"/>
  <c r="Y78" i="2" s="1"/>
  <c r="I78" i="21" s="1"/>
  <c r="W78" i="23" s="1"/>
  <c r="AJ34" i="23" s="1"/>
  <c r="N77" i="2"/>
  <c r="M78" i="2" s="1"/>
  <c r="D78" i="21" s="1"/>
  <c r="R78" i="23" s="1"/>
  <c r="L77" i="2"/>
  <c r="K78" i="2" s="1"/>
  <c r="C78" i="21" s="1"/>
  <c r="Q78" i="23" s="1"/>
  <c r="X77" i="2"/>
  <c r="W78" i="2" s="1"/>
  <c r="H78" i="21" s="1"/>
  <c r="V78" i="23" s="1"/>
  <c r="AI34" i="23" s="1"/>
  <c r="T77" i="2"/>
  <c r="S78" i="2" s="1"/>
  <c r="G78" i="21" s="1"/>
  <c r="U78" i="23" s="1"/>
  <c r="U77" i="2"/>
  <c r="P77" i="2"/>
  <c r="O78" i="2" s="1"/>
  <c r="E78" i="21" s="1"/>
  <c r="S78" i="23" s="1"/>
  <c r="AA77" i="2"/>
  <c r="AF34" i="23" l="1"/>
  <c r="AE34" i="23"/>
  <c r="AZ77" i="23"/>
  <c r="AY76" i="23"/>
  <c r="BB76" i="23"/>
  <c r="BD76" i="23"/>
  <c r="BA76" i="23"/>
  <c r="AZ76" i="23"/>
  <c r="BD77" i="23"/>
  <c r="AH34" i="23"/>
  <c r="AD34" i="23"/>
  <c r="BC77" i="23"/>
  <c r="BA77" i="23"/>
  <c r="BB77" i="23"/>
  <c r="J78" i="2"/>
  <c r="I79" i="2" s="1"/>
  <c r="B78" i="21"/>
  <c r="P78" i="23" s="1"/>
  <c r="F78" i="21"/>
  <c r="T78" i="23" s="1"/>
  <c r="R78" i="2"/>
  <c r="Q79" i="2"/>
  <c r="Z78" i="2"/>
  <c r="Y79" i="2" s="1"/>
  <c r="I79" i="21" s="1"/>
  <c r="W79" i="23" s="1"/>
  <c r="N78" i="2"/>
  <c r="M79" i="2" s="1"/>
  <c r="D79" i="21" s="1"/>
  <c r="R79" i="23" s="1"/>
  <c r="L78" i="2"/>
  <c r="K79" i="2" s="1"/>
  <c r="C79" i="21" s="1"/>
  <c r="Q79" i="23" s="1"/>
  <c r="X78" i="2"/>
  <c r="W79" i="2" s="1"/>
  <c r="H79" i="21" s="1"/>
  <c r="V79" i="23" s="1"/>
  <c r="P78" i="2"/>
  <c r="O79" i="2" s="1"/>
  <c r="E79" i="21" s="1"/>
  <c r="S79" i="23" s="1"/>
  <c r="T78" i="2"/>
  <c r="S79" i="2" s="1"/>
  <c r="G79" i="21" s="1"/>
  <c r="U79" i="23" s="1"/>
  <c r="U78" i="2"/>
  <c r="AA78" i="2"/>
  <c r="AX78" i="23" l="1"/>
  <c r="AC34" i="23"/>
  <c r="BC78" i="23"/>
  <c r="AG34" i="23"/>
  <c r="J79" i="2"/>
  <c r="B79" i="21"/>
  <c r="P79" i="23" s="1"/>
  <c r="I80" i="2"/>
  <c r="F79" i="21"/>
  <c r="T79" i="23" s="1"/>
  <c r="R79" i="2"/>
  <c r="Q80" i="2" s="1"/>
  <c r="N79" i="2"/>
  <c r="M80" i="2" s="1"/>
  <c r="D80" i="21" s="1"/>
  <c r="R80" i="23" s="1"/>
  <c r="Z79" i="2"/>
  <c r="Y80" i="2" s="1"/>
  <c r="I80" i="21" s="1"/>
  <c r="W80" i="23" s="1"/>
  <c r="P79" i="2"/>
  <c r="O80" i="2" s="1"/>
  <c r="E80" i="21" s="1"/>
  <c r="S80" i="23" s="1"/>
  <c r="U79" i="2"/>
  <c r="T79" i="2"/>
  <c r="S80" i="2" s="1"/>
  <c r="G80" i="21" s="1"/>
  <c r="U80" i="23" s="1"/>
  <c r="X79" i="2"/>
  <c r="W80" i="2" s="1"/>
  <c r="H80" i="21" s="1"/>
  <c r="V80" i="23" s="1"/>
  <c r="L79" i="2"/>
  <c r="K80" i="2" s="1"/>
  <c r="C80" i="21" s="1"/>
  <c r="Q80" i="23" s="1"/>
  <c r="AA79" i="2"/>
  <c r="BC79" i="23" l="1"/>
  <c r="AX79" i="23"/>
  <c r="AY78" i="23"/>
  <c r="BB78" i="23"/>
  <c r="BA78" i="23"/>
  <c r="BD78" i="23"/>
  <c r="AZ78" i="23"/>
  <c r="J80" i="2"/>
  <c r="I81" i="2" s="1"/>
  <c r="B80" i="21"/>
  <c r="P80" i="23" s="1"/>
  <c r="AX80" i="23" s="1"/>
  <c r="AY80" i="23" s="1"/>
  <c r="F80" i="21"/>
  <c r="T80" i="23" s="1"/>
  <c r="R80" i="2"/>
  <c r="Q81" i="2" s="1"/>
  <c r="Z80" i="2"/>
  <c r="Y81" i="2" s="1"/>
  <c r="I81" i="21" s="1"/>
  <c r="W81" i="23" s="1"/>
  <c r="AJ35" i="23" s="1"/>
  <c r="P80" i="2"/>
  <c r="O81" i="2" s="1"/>
  <c r="E81" i="21" s="1"/>
  <c r="S81" i="23" s="1"/>
  <c r="T80" i="2"/>
  <c r="S81" i="2" s="1"/>
  <c r="G81" i="21" s="1"/>
  <c r="U81" i="23" s="1"/>
  <c r="L80" i="2"/>
  <c r="K81" i="2" s="1"/>
  <c r="C81" i="21" s="1"/>
  <c r="Q81" i="23" s="1"/>
  <c r="U80" i="2"/>
  <c r="N80" i="2"/>
  <c r="M81" i="2" s="1"/>
  <c r="D81" i="21" s="1"/>
  <c r="R81" i="23" s="1"/>
  <c r="X80" i="2"/>
  <c r="W81" i="2" s="1"/>
  <c r="H81" i="21" s="1"/>
  <c r="V81" i="23" s="1"/>
  <c r="AI35" i="23" s="1"/>
  <c r="AA80" i="2"/>
  <c r="BC80" i="23" l="1"/>
  <c r="AY79" i="23"/>
  <c r="BD79" i="23"/>
  <c r="BB79" i="23"/>
  <c r="BA79" i="23"/>
  <c r="AZ79" i="23"/>
  <c r="BA80" i="23"/>
  <c r="AZ80" i="23"/>
  <c r="AH35" i="23"/>
  <c r="AE35" i="23"/>
  <c r="AD35" i="23"/>
  <c r="AF35" i="23"/>
  <c r="BD80" i="23"/>
  <c r="BB80" i="23"/>
  <c r="J81" i="2"/>
  <c r="B81" i="21"/>
  <c r="P81" i="23" s="1"/>
  <c r="F81" i="21"/>
  <c r="T81" i="23" s="1"/>
  <c r="R81" i="2"/>
  <c r="Q82" i="2" s="1"/>
  <c r="I82" i="2"/>
  <c r="Z81" i="2"/>
  <c r="Y82" i="2" s="1"/>
  <c r="I82" i="21" s="1"/>
  <c r="W82" i="23" s="1"/>
  <c r="T81" i="2"/>
  <c r="S82" i="2" s="1"/>
  <c r="G82" i="21" s="1"/>
  <c r="U82" i="23" s="1"/>
  <c r="P81" i="2"/>
  <c r="O82" i="2" s="1"/>
  <c r="E82" i="21" s="1"/>
  <c r="S82" i="23" s="1"/>
  <c r="U81" i="2"/>
  <c r="L81" i="2"/>
  <c r="K82" i="2" s="1"/>
  <c r="C82" i="21" s="1"/>
  <c r="Q82" i="23" s="1"/>
  <c r="X81" i="2"/>
  <c r="W82" i="2" s="1"/>
  <c r="H82" i="21" s="1"/>
  <c r="V82" i="23" s="1"/>
  <c r="N81" i="2"/>
  <c r="M82" i="2" s="1"/>
  <c r="D82" i="21" s="1"/>
  <c r="R82" i="23" s="1"/>
  <c r="AA81" i="2"/>
  <c r="AX81" i="23" l="1"/>
  <c r="AC35" i="23"/>
  <c r="BC81" i="23"/>
  <c r="AG35" i="23"/>
  <c r="J82" i="2"/>
  <c r="I83" i="2" s="1"/>
  <c r="B82" i="21"/>
  <c r="P82" i="23" s="1"/>
  <c r="F82" i="21"/>
  <c r="T82" i="23" s="1"/>
  <c r="R82" i="2"/>
  <c r="Q83" i="2" s="1"/>
  <c r="Z82" i="2"/>
  <c r="Y83" i="2" s="1"/>
  <c r="I83" i="21" s="1"/>
  <c r="W83" i="23" s="1"/>
  <c r="AJ36" i="23" s="1"/>
  <c r="L82" i="2"/>
  <c r="K83" i="2" s="1"/>
  <c r="C83" i="21" s="1"/>
  <c r="Q83" i="23" s="1"/>
  <c r="N82" i="2"/>
  <c r="M83" i="2" s="1"/>
  <c r="D83" i="21" s="1"/>
  <c r="R83" i="23" s="1"/>
  <c r="X82" i="2"/>
  <c r="W83" i="2" s="1"/>
  <c r="H83" i="21" s="1"/>
  <c r="V83" i="23" s="1"/>
  <c r="AI36" i="23" s="1"/>
  <c r="T82" i="2"/>
  <c r="S83" i="2" s="1"/>
  <c r="G83" i="21" s="1"/>
  <c r="U83" i="23" s="1"/>
  <c r="P82" i="2"/>
  <c r="O83" i="2" s="1"/>
  <c r="E83" i="21" s="1"/>
  <c r="S83" i="23" s="1"/>
  <c r="U82" i="2"/>
  <c r="AA82" i="2"/>
  <c r="AH36" i="23" l="1"/>
  <c r="AE36" i="23"/>
  <c r="AF36" i="23"/>
  <c r="AD36" i="23"/>
  <c r="AX82" i="23"/>
  <c r="BC82" i="23"/>
  <c r="AY81" i="23"/>
  <c r="BD81" i="23"/>
  <c r="BA81" i="23"/>
  <c r="AZ81" i="23"/>
  <c r="BB81" i="23"/>
  <c r="J83" i="2"/>
  <c r="B83" i="21"/>
  <c r="P83" i="23" s="1"/>
  <c r="F83" i="21"/>
  <c r="T83" i="23" s="1"/>
  <c r="R83" i="2"/>
  <c r="Q84" i="2" s="1"/>
  <c r="I84" i="2"/>
  <c r="Z83" i="2"/>
  <c r="Y84" i="2" s="1"/>
  <c r="I84" i="21" s="1"/>
  <c r="W84" i="23" s="1"/>
  <c r="L83" i="2"/>
  <c r="K84" i="2" s="1"/>
  <c r="C84" i="21" s="1"/>
  <c r="Q84" i="23" s="1"/>
  <c r="P83" i="2"/>
  <c r="O84" i="2" s="1"/>
  <c r="E84" i="21" s="1"/>
  <c r="S84" i="23" s="1"/>
  <c r="X83" i="2"/>
  <c r="W84" i="2" s="1"/>
  <c r="H84" i="21" s="1"/>
  <c r="V84" i="23" s="1"/>
  <c r="N83" i="2"/>
  <c r="M84" i="2" s="1"/>
  <c r="D84" i="21" s="1"/>
  <c r="R84" i="23" s="1"/>
  <c r="U83" i="2"/>
  <c r="T83" i="2"/>
  <c r="S84" i="2" s="1"/>
  <c r="G84" i="21" s="1"/>
  <c r="U84" i="23" s="1"/>
  <c r="AA83" i="2"/>
  <c r="AG36" i="23" l="1"/>
  <c r="AX83" i="23"/>
  <c r="AC36" i="23"/>
  <c r="AY82" i="23"/>
  <c r="BA82" i="23"/>
  <c r="AZ82" i="23"/>
  <c r="BB82" i="23"/>
  <c r="BD82" i="23"/>
  <c r="J84" i="2"/>
  <c r="I85" i="2" s="1"/>
  <c r="B84" i="21"/>
  <c r="P84" i="23" s="1"/>
  <c r="F84" i="21"/>
  <c r="T84" i="23" s="1"/>
  <c r="R84" i="2"/>
  <c r="Q85" i="2" s="1"/>
  <c r="Z84" i="2"/>
  <c r="Y85" i="2" s="1"/>
  <c r="I85" i="21" s="1"/>
  <c r="W85" i="23" s="1"/>
  <c r="L84" i="2"/>
  <c r="K85" i="2" s="1"/>
  <c r="C85" i="21" s="1"/>
  <c r="Q85" i="23" s="1"/>
  <c r="X84" i="2"/>
  <c r="W85" i="2" s="1"/>
  <c r="H85" i="21" s="1"/>
  <c r="V85" i="23" s="1"/>
  <c r="P84" i="2"/>
  <c r="O85" i="2" s="1"/>
  <c r="E85" i="21" s="1"/>
  <c r="S85" i="23" s="1"/>
  <c r="U84" i="2"/>
  <c r="T84" i="2"/>
  <c r="S85" i="2" s="1"/>
  <c r="G85" i="21" s="1"/>
  <c r="U85" i="23" s="1"/>
  <c r="N84" i="2"/>
  <c r="M85" i="2" s="1"/>
  <c r="D85" i="21" s="1"/>
  <c r="R85" i="23" s="1"/>
  <c r="AA84" i="2"/>
  <c r="AX84" i="23" l="1"/>
  <c r="AY83" i="23"/>
  <c r="BD83" i="23"/>
  <c r="BA83" i="23"/>
  <c r="BB83" i="23"/>
  <c r="AZ83" i="23"/>
  <c r="BC83" i="23"/>
  <c r="J85" i="2"/>
  <c r="I86" i="2" s="1"/>
  <c r="B85" i="21"/>
  <c r="P85" i="23" s="1"/>
  <c r="F85" i="21"/>
  <c r="T85" i="23" s="1"/>
  <c r="R85" i="2"/>
  <c r="Q86" i="2" s="1"/>
  <c r="P85" i="2"/>
  <c r="O86" i="2" s="1"/>
  <c r="E86" i="21" s="1"/>
  <c r="S86" i="23" s="1"/>
  <c r="Z85" i="2"/>
  <c r="Y86" i="2" s="1"/>
  <c r="I86" i="21" s="1"/>
  <c r="W86" i="23" s="1"/>
  <c r="AJ37" i="23" s="1"/>
  <c r="L85" i="2"/>
  <c r="K86" i="2" s="1"/>
  <c r="C86" i="21" s="1"/>
  <c r="Q86" i="23" s="1"/>
  <c r="N85" i="2"/>
  <c r="M86" i="2" s="1"/>
  <c r="D86" i="21" s="1"/>
  <c r="R86" i="23" s="1"/>
  <c r="X85" i="2"/>
  <c r="W86" i="2" s="1"/>
  <c r="H86" i="21" s="1"/>
  <c r="V86" i="23" s="1"/>
  <c r="AI37" i="23" s="1"/>
  <c r="U85" i="2"/>
  <c r="T85" i="2"/>
  <c r="S86" i="2" s="1"/>
  <c r="G86" i="21" s="1"/>
  <c r="U86" i="23" s="1"/>
  <c r="AA85" i="2"/>
  <c r="AF37" i="23" l="1"/>
  <c r="AE37" i="23"/>
  <c r="AX85" i="23"/>
  <c r="AY84" i="23"/>
  <c r="BD84" i="23"/>
  <c r="BA84" i="23"/>
  <c r="AZ84" i="23"/>
  <c r="BB84" i="23"/>
  <c r="BC84" i="23"/>
  <c r="AH37" i="23"/>
  <c r="AD37" i="23"/>
  <c r="BC85" i="23"/>
  <c r="J86" i="2"/>
  <c r="I87" i="2" s="1"/>
  <c r="F86" i="21"/>
  <c r="T86" i="23" s="1"/>
  <c r="R86" i="2"/>
  <c r="Q87" i="2" s="1"/>
  <c r="B86" i="21"/>
  <c r="P86" i="23" s="1"/>
  <c r="Z86" i="2"/>
  <c r="Y87" i="2" s="1"/>
  <c r="I87" i="21" s="1"/>
  <c r="W87" i="23" s="1"/>
  <c r="N86" i="2"/>
  <c r="M87" i="2" s="1"/>
  <c r="D87" i="21" s="1"/>
  <c r="R87" i="23" s="1"/>
  <c r="P86" i="2"/>
  <c r="O87" i="2" s="1"/>
  <c r="E87" i="21" s="1"/>
  <c r="S87" i="23" s="1"/>
  <c r="U86" i="2"/>
  <c r="T86" i="2"/>
  <c r="S87" i="2" s="1"/>
  <c r="G87" i="21" s="1"/>
  <c r="U87" i="23" s="1"/>
  <c r="X86" i="2"/>
  <c r="W87" i="2" s="1"/>
  <c r="H87" i="21" s="1"/>
  <c r="V87" i="23" s="1"/>
  <c r="L86" i="2"/>
  <c r="K87" i="2" s="1"/>
  <c r="C87" i="21" s="1"/>
  <c r="Q87" i="23" s="1"/>
  <c r="AA86" i="2"/>
  <c r="AX86" i="23" l="1"/>
  <c r="AC37" i="23"/>
  <c r="BC86" i="23"/>
  <c r="AG37" i="23"/>
  <c r="AY85" i="23"/>
  <c r="BA85" i="23"/>
  <c r="BD85" i="23"/>
  <c r="AZ85" i="23"/>
  <c r="BB85" i="23"/>
  <c r="J87" i="2"/>
  <c r="B87" i="21"/>
  <c r="P87" i="23" s="1"/>
  <c r="I88" i="2"/>
  <c r="F87" i="21"/>
  <c r="T87" i="23" s="1"/>
  <c r="R87" i="2"/>
  <c r="Q88" i="2" s="1"/>
  <c r="Z87" i="2"/>
  <c r="Y88" i="2" s="1"/>
  <c r="I88" i="21" s="1"/>
  <c r="W88" i="23" s="1"/>
  <c r="AJ38" i="23" s="1"/>
  <c r="P87" i="2"/>
  <c r="O88" i="2" s="1"/>
  <c r="E88" i="21" s="1"/>
  <c r="S88" i="23" s="1"/>
  <c r="L87" i="2"/>
  <c r="K88" i="2" s="1"/>
  <c r="C88" i="21" s="1"/>
  <c r="Q88" i="23" s="1"/>
  <c r="T87" i="2"/>
  <c r="S88" i="2" s="1"/>
  <c r="G88" i="21" s="1"/>
  <c r="U88" i="23" s="1"/>
  <c r="X87" i="2"/>
  <c r="W88" i="2" s="1"/>
  <c r="H88" i="21" s="1"/>
  <c r="V88" i="23" s="1"/>
  <c r="AI38" i="23" s="1"/>
  <c r="N87" i="2"/>
  <c r="M88" i="2" s="1"/>
  <c r="D88" i="21" s="1"/>
  <c r="R88" i="23" s="1"/>
  <c r="U87" i="2"/>
  <c r="AA87" i="2"/>
  <c r="AE38" i="23" l="1"/>
  <c r="AH38" i="23"/>
  <c r="AF38" i="23"/>
  <c r="AD38" i="23"/>
  <c r="AX87" i="23"/>
  <c r="AY86" i="23"/>
  <c r="BB86" i="23"/>
  <c r="BA86" i="23"/>
  <c r="BD86" i="23"/>
  <c r="AZ86" i="23"/>
  <c r="J88" i="2"/>
  <c r="B88" i="21"/>
  <c r="P88" i="23" s="1"/>
  <c r="I89" i="2"/>
  <c r="F88" i="21"/>
  <c r="T88" i="23" s="1"/>
  <c r="R88" i="2"/>
  <c r="Q89" i="2" s="1"/>
  <c r="Z88" i="2"/>
  <c r="Y89" i="2" s="1"/>
  <c r="I89" i="21" s="1"/>
  <c r="W89" i="23" s="1"/>
  <c r="N88" i="2"/>
  <c r="M89" i="2" s="1"/>
  <c r="D89" i="21" s="1"/>
  <c r="R89" i="23" s="1"/>
  <c r="U88" i="2"/>
  <c r="T88" i="2"/>
  <c r="S89" i="2" s="1"/>
  <c r="G89" i="21" s="1"/>
  <c r="U89" i="23" s="1"/>
  <c r="L88" i="2"/>
  <c r="K89" i="2" s="1"/>
  <c r="C89" i="21" s="1"/>
  <c r="Q89" i="23" s="1"/>
  <c r="X88" i="2"/>
  <c r="W89" i="2" s="1"/>
  <c r="H89" i="21" s="1"/>
  <c r="V89" i="23" s="1"/>
  <c r="P88" i="2"/>
  <c r="O89" i="2" s="1"/>
  <c r="E89" i="21" s="1"/>
  <c r="S89" i="23" s="1"/>
  <c r="AA88" i="2"/>
  <c r="AY87" i="23" l="1"/>
  <c r="AZ87" i="23"/>
  <c r="BD87" i="23"/>
  <c r="BA87" i="23"/>
  <c r="BB87" i="23"/>
  <c r="AG38" i="23"/>
  <c r="AX88" i="23"/>
  <c r="AC38" i="23"/>
  <c r="BC87" i="23"/>
  <c r="J89" i="2"/>
  <c r="I90" i="2" s="1"/>
  <c r="F89" i="21"/>
  <c r="T89" i="23" s="1"/>
  <c r="R89" i="2"/>
  <c r="Q90" i="2" s="1"/>
  <c r="B89" i="21"/>
  <c r="P89" i="23" s="1"/>
  <c r="AX89" i="23" s="1"/>
  <c r="AY89" i="23" s="1"/>
  <c r="Z89" i="2"/>
  <c r="Y90" i="2" s="1"/>
  <c r="I90" i="21" s="1"/>
  <c r="W90" i="23" s="1"/>
  <c r="AJ39" i="23" s="1"/>
  <c r="P89" i="2"/>
  <c r="O90" i="2" s="1"/>
  <c r="E90" i="21" s="1"/>
  <c r="S90" i="23" s="1"/>
  <c r="U89" i="2"/>
  <c r="L89" i="2"/>
  <c r="K90" i="2" s="1"/>
  <c r="C90" i="21" s="1"/>
  <c r="Q90" i="23" s="1"/>
  <c r="N89" i="2"/>
  <c r="M90" i="2" s="1"/>
  <c r="D90" i="21" s="1"/>
  <c r="R90" i="23" s="1"/>
  <c r="X89" i="2"/>
  <c r="W90" i="2" s="1"/>
  <c r="H90" i="21" s="1"/>
  <c r="V90" i="23" s="1"/>
  <c r="AI39" i="23" s="1"/>
  <c r="T89" i="2"/>
  <c r="S90" i="2" s="1"/>
  <c r="G90" i="21" s="1"/>
  <c r="U90" i="23" s="1"/>
  <c r="AA89" i="2"/>
  <c r="AD39" i="23" l="1"/>
  <c r="AF39" i="23"/>
  <c r="BC89" i="23"/>
  <c r="AY88" i="23"/>
  <c r="BA88" i="23"/>
  <c r="BD88" i="23"/>
  <c r="BB88" i="23"/>
  <c r="AZ88" i="23"/>
  <c r="BC88" i="23"/>
  <c r="BB89" i="23"/>
  <c r="BA89" i="23"/>
  <c r="AH39" i="23"/>
  <c r="AE39" i="23"/>
  <c r="AZ89" i="23"/>
  <c r="BD89" i="23"/>
  <c r="J90" i="2"/>
  <c r="B90" i="21"/>
  <c r="P90" i="23" s="1"/>
  <c r="F90" i="21"/>
  <c r="T90" i="23" s="1"/>
  <c r="R90" i="2"/>
  <c r="I91" i="2"/>
  <c r="Q91" i="2"/>
  <c r="Z90" i="2"/>
  <c r="Y91" i="2" s="1"/>
  <c r="I91" i="21" s="1"/>
  <c r="W91" i="23" s="1"/>
  <c r="P90" i="2"/>
  <c r="O91" i="2" s="1"/>
  <c r="E91" i="21" s="1"/>
  <c r="S91" i="23" s="1"/>
  <c r="T90" i="2"/>
  <c r="S91" i="2" s="1"/>
  <c r="G91" i="21" s="1"/>
  <c r="U91" i="23" s="1"/>
  <c r="U90" i="2"/>
  <c r="N90" i="2"/>
  <c r="M91" i="2" s="1"/>
  <c r="D91" i="21" s="1"/>
  <c r="R91" i="23" s="1"/>
  <c r="L90" i="2"/>
  <c r="K91" i="2" s="1"/>
  <c r="C91" i="21" s="1"/>
  <c r="Q91" i="23" s="1"/>
  <c r="X90" i="2"/>
  <c r="W91" i="2" s="1"/>
  <c r="H91" i="21" s="1"/>
  <c r="V91" i="23" s="1"/>
  <c r="AA90" i="2"/>
  <c r="AG39" i="23" l="1"/>
  <c r="AX90" i="23"/>
  <c r="AC39" i="23"/>
  <c r="J91" i="2"/>
  <c r="I92" i="2" s="1"/>
  <c r="J92" i="2" s="1"/>
  <c r="B91" i="21"/>
  <c r="P91" i="23" s="1"/>
  <c r="F91" i="21"/>
  <c r="T91" i="23" s="1"/>
  <c r="R91" i="2"/>
  <c r="Q92" i="2"/>
  <c r="Z91" i="2"/>
  <c r="Y92" i="2" s="1"/>
  <c r="I92" i="21" s="1"/>
  <c r="W92" i="23" s="1"/>
  <c r="P91" i="2"/>
  <c r="O92" i="2" s="1"/>
  <c r="E92" i="21" s="1"/>
  <c r="S92" i="23" s="1"/>
  <c r="T91" i="2"/>
  <c r="S92" i="2" s="1"/>
  <c r="G92" i="21" s="1"/>
  <c r="U92" i="23" s="1"/>
  <c r="U91" i="2"/>
  <c r="L91" i="2"/>
  <c r="K92" i="2" s="1"/>
  <c r="C92" i="21" s="1"/>
  <c r="Q92" i="23" s="1"/>
  <c r="N91" i="2"/>
  <c r="M92" i="2" s="1"/>
  <c r="D92" i="21" s="1"/>
  <c r="R92" i="23" s="1"/>
  <c r="X91" i="2"/>
  <c r="W92" i="2" s="1"/>
  <c r="H92" i="21" s="1"/>
  <c r="V92" i="23" s="1"/>
  <c r="AA91" i="2"/>
  <c r="AX91" i="23" l="1"/>
  <c r="AY90" i="23"/>
  <c r="AZ90" i="23"/>
  <c r="BB90" i="23"/>
  <c r="BD90" i="23"/>
  <c r="BA90" i="23"/>
  <c r="BC90" i="23"/>
  <c r="B92" i="21"/>
  <c r="P92" i="23" s="1"/>
  <c r="AX92" i="23" s="1"/>
  <c r="AY92" i="23" s="1"/>
  <c r="F92" i="21"/>
  <c r="T92" i="23" s="1"/>
  <c r="R92" i="2"/>
  <c r="Q93" i="2" s="1"/>
  <c r="I93" i="2"/>
  <c r="Z92" i="2"/>
  <c r="Y93" i="2" s="1"/>
  <c r="I93" i="21" s="1"/>
  <c r="W93" i="23" s="1"/>
  <c r="AJ40" i="23" s="1"/>
  <c r="T92" i="2"/>
  <c r="S93" i="2" s="1"/>
  <c r="G93" i="21" s="1"/>
  <c r="U93" i="23" s="1"/>
  <c r="U92" i="2"/>
  <c r="L92" i="2"/>
  <c r="K93" i="2" s="1"/>
  <c r="C93" i="21" s="1"/>
  <c r="Q93" i="23" s="1"/>
  <c r="N92" i="2"/>
  <c r="M93" i="2" s="1"/>
  <c r="D93" i="21" s="1"/>
  <c r="R93" i="23" s="1"/>
  <c r="P92" i="2"/>
  <c r="O93" i="2" s="1"/>
  <c r="E93" i="21" s="1"/>
  <c r="S93" i="23" s="1"/>
  <c r="X92" i="2"/>
  <c r="W93" i="2" s="1"/>
  <c r="H93" i="21" s="1"/>
  <c r="V93" i="23" s="1"/>
  <c r="AI40" i="23" s="1"/>
  <c r="AA92" i="2"/>
  <c r="AE40" i="23" l="1"/>
  <c r="BB92" i="23"/>
  <c r="AY91" i="23"/>
  <c r="BA91" i="23"/>
  <c r="AZ91" i="23"/>
  <c r="BD91" i="23"/>
  <c r="BB91" i="23"/>
  <c r="AZ92" i="23"/>
  <c r="AF40" i="23"/>
  <c r="AD40" i="23"/>
  <c r="AH40" i="23"/>
  <c r="BC92" i="23"/>
  <c r="BC91" i="23"/>
  <c r="BA92" i="23"/>
  <c r="BD92" i="23"/>
  <c r="J93" i="2"/>
  <c r="B93" i="21"/>
  <c r="P93" i="23" s="1"/>
  <c r="F93" i="21"/>
  <c r="T93" i="23" s="1"/>
  <c r="R93" i="2"/>
  <c r="I94" i="2"/>
  <c r="Q94" i="2"/>
  <c r="Z93" i="2"/>
  <c r="Y94" i="2" s="1"/>
  <c r="I94" i="21" s="1"/>
  <c r="W94" i="23" s="1"/>
  <c r="T93" i="2"/>
  <c r="S94" i="2" s="1"/>
  <c r="G94" i="21" s="1"/>
  <c r="U94" i="23" s="1"/>
  <c r="N93" i="2"/>
  <c r="M94" i="2" s="1"/>
  <c r="D94" i="21" s="1"/>
  <c r="R94" i="23" s="1"/>
  <c r="U93" i="2"/>
  <c r="L93" i="2"/>
  <c r="K94" i="2" s="1"/>
  <c r="C94" i="21" s="1"/>
  <c r="Q94" i="23" s="1"/>
  <c r="P93" i="2"/>
  <c r="O94" i="2" s="1"/>
  <c r="E94" i="21" s="1"/>
  <c r="S94" i="23" s="1"/>
  <c r="X93" i="2"/>
  <c r="W94" i="2" s="1"/>
  <c r="H94" i="21" s="1"/>
  <c r="V94" i="23" s="1"/>
  <c r="AA93" i="2"/>
  <c r="AX93" i="23" l="1"/>
  <c r="AC40" i="23"/>
  <c r="BC93" i="23"/>
  <c r="AG40" i="23"/>
  <c r="J94" i="2"/>
  <c r="B94" i="21"/>
  <c r="P94" i="23" s="1"/>
  <c r="AX94" i="23" s="1"/>
  <c r="AY94" i="23" s="1"/>
  <c r="F94" i="21"/>
  <c r="T94" i="23" s="1"/>
  <c r="R94" i="2"/>
  <c r="I95" i="2"/>
  <c r="Q95" i="2"/>
  <c r="Z94" i="2"/>
  <c r="Y95" i="2" s="1"/>
  <c r="I95" i="21" s="1"/>
  <c r="W95" i="23" s="1"/>
  <c r="AJ41" i="23" s="1"/>
  <c r="U94" i="2"/>
  <c r="P94" i="2"/>
  <c r="O95" i="2" s="1"/>
  <c r="E95" i="21" s="1"/>
  <c r="S95" i="23" s="1"/>
  <c r="L94" i="2"/>
  <c r="K95" i="2" s="1"/>
  <c r="C95" i="21" s="1"/>
  <c r="Q95" i="23" s="1"/>
  <c r="N94" i="2"/>
  <c r="M95" i="2" s="1"/>
  <c r="D95" i="21" s="1"/>
  <c r="R95" i="23" s="1"/>
  <c r="T94" i="2"/>
  <c r="S95" i="2" s="1"/>
  <c r="G95" i="21" s="1"/>
  <c r="U95" i="23" s="1"/>
  <c r="X94" i="2"/>
  <c r="W95" i="2" s="1"/>
  <c r="H95" i="21" s="1"/>
  <c r="V95" i="23" s="1"/>
  <c r="AI41" i="23" s="1"/>
  <c r="AA94" i="2"/>
  <c r="AE41" i="23" l="1"/>
  <c r="AF41" i="23"/>
  <c r="AH41" i="23"/>
  <c r="AD41" i="23"/>
  <c r="BA94" i="23"/>
  <c r="BD94" i="23"/>
  <c r="BC94" i="23"/>
  <c r="AZ94" i="23"/>
  <c r="AY93" i="23"/>
  <c r="BA93" i="23"/>
  <c r="BB93" i="23"/>
  <c r="AZ93" i="23"/>
  <c r="BD93" i="23"/>
  <c r="BB94" i="23"/>
  <c r="J95" i="2"/>
  <c r="B95" i="21"/>
  <c r="P95" i="23" s="1"/>
  <c r="F95" i="21"/>
  <c r="T95" i="23" s="1"/>
  <c r="R95" i="2"/>
  <c r="I96" i="2"/>
  <c r="Q96" i="2"/>
  <c r="N95" i="2"/>
  <c r="M96" i="2" s="1"/>
  <c r="D96" i="21" s="1"/>
  <c r="R96" i="23" s="1"/>
  <c r="Z95" i="2"/>
  <c r="Y96" i="2" s="1"/>
  <c r="I96" i="21" s="1"/>
  <c r="W96" i="23" s="1"/>
  <c r="L95" i="2"/>
  <c r="K96" i="2" s="1"/>
  <c r="C96" i="21" s="1"/>
  <c r="Q96" i="23" s="1"/>
  <c r="U95" i="2"/>
  <c r="P95" i="2"/>
  <c r="O96" i="2" s="1"/>
  <c r="E96" i="21" s="1"/>
  <c r="S96" i="23" s="1"/>
  <c r="T95" i="2"/>
  <c r="S96" i="2" s="1"/>
  <c r="G96" i="21" s="1"/>
  <c r="U96" i="23" s="1"/>
  <c r="X95" i="2"/>
  <c r="W96" i="2" s="1"/>
  <c r="H96" i="21" s="1"/>
  <c r="V96" i="23" s="1"/>
  <c r="AA95" i="2"/>
  <c r="AX95" i="23" l="1"/>
  <c r="AC41" i="23"/>
  <c r="BC95" i="23"/>
  <c r="AG41" i="23"/>
  <c r="J96" i="2"/>
  <c r="I97" i="2" s="1"/>
  <c r="J97" i="2" s="1"/>
  <c r="B96" i="21"/>
  <c r="P96" i="23" s="1"/>
  <c r="F96" i="21"/>
  <c r="T96" i="23" s="1"/>
  <c r="R96" i="2"/>
  <c r="Q97" i="2"/>
  <c r="N96" i="2"/>
  <c r="M97" i="2" s="1"/>
  <c r="D97" i="21" s="1"/>
  <c r="R97" i="23" s="1"/>
  <c r="Z96" i="2"/>
  <c r="Y97" i="2" s="1"/>
  <c r="I97" i="21" s="1"/>
  <c r="W97" i="23" s="1"/>
  <c r="T96" i="2"/>
  <c r="S97" i="2" s="1"/>
  <c r="G97" i="21" s="1"/>
  <c r="U97" i="23" s="1"/>
  <c r="L96" i="2"/>
  <c r="K97" i="2" s="1"/>
  <c r="C97" i="21" s="1"/>
  <c r="Q97" i="23" s="1"/>
  <c r="P96" i="2"/>
  <c r="O97" i="2" s="1"/>
  <c r="E97" i="21" s="1"/>
  <c r="S97" i="23" s="1"/>
  <c r="U96" i="2"/>
  <c r="X96" i="2"/>
  <c r="W97" i="2" s="1"/>
  <c r="H97" i="21" s="1"/>
  <c r="V97" i="23" s="1"/>
  <c r="AA96" i="2"/>
  <c r="AX96" i="23" l="1"/>
  <c r="AY95" i="23"/>
  <c r="BA95" i="23"/>
  <c r="BB95" i="23"/>
  <c r="BD95" i="23"/>
  <c r="AZ95" i="23"/>
  <c r="BC96" i="23"/>
  <c r="B97" i="21"/>
  <c r="P97" i="23" s="1"/>
  <c r="F97" i="21"/>
  <c r="T97" i="23" s="1"/>
  <c r="R97" i="2"/>
  <c r="I98" i="2"/>
  <c r="Q98" i="2"/>
  <c r="N97" i="2"/>
  <c r="M98" i="2" s="1"/>
  <c r="D98" i="21" s="1"/>
  <c r="R98" i="23" s="1"/>
  <c r="U97" i="2"/>
  <c r="Z97" i="2"/>
  <c r="Y98" i="2" s="1"/>
  <c r="I98" i="21" s="1"/>
  <c r="W98" i="23" s="1"/>
  <c r="AJ42" i="23" s="1"/>
  <c r="L97" i="2"/>
  <c r="K98" i="2" s="1"/>
  <c r="C98" i="21" s="1"/>
  <c r="Q98" i="23" s="1"/>
  <c r="T97" i="2"/>
  <c r="S98" i="2" s="1"/>
  <c r="G98" i="21" s="1"/>
  <c r="U98" i="23" s="1"/>
  <c r="P97" i="2"/>
  <c r="O98" i="2" s="1"/>
  <c r="E98" i="21" s="1"/>
  <c r="S98" i="23" s="1"/>
  <c r="X97" i="2"/>
  <c r="W98" i="2" s="1"/>
  <c r="H98" i="21" s="1"/>
  <c r="V98" i="23" s="1"/>
  <c r="AI42" i="23" s="1"/>
  <c r="AA97" i="2"/>
  <c r="AH42" i="23" l="1"/>
  <c r="AF42" i="23"/>
  <c r="AD42" i="23"/>
  <c r="AX97" i="23"/>
  <c r="AE42" i="23"/>
  <c r="BC97" i="23"/>
  <c r="AY96" i="23"/>
  <c r="BD96" i="23"/>
  <c r="AZ96" i="23"/>
  <c r="BB96" i="23"/>
  <c r="BA96" i="23"/>
  <c r="J98" i="2"/>
  <c r="I99" i="2" s="1"/>
  <c r="B98" i="21"/>
  <c r="P98" i="23" s="1"/>
  <c r="F98" i="21"/>
  <c r="T98" i="23" s="1"/>
  <c r="R98" i="2"/>
  <c r="Q99" i="2" s="1"/>
  <c r="N98" i="2"/>
  <c r="M99" i="2" s="1"/>
  <c r="D99" i="21" s="1"/>
  <c r="R99" i="23" s="1"/>
  <c r="Z98" i="2"/>
  <c r="Y99" i="2" s="1"/>
  <c r="I99" i="21" s="1"/>
  <c r="W99" i="23" s="1"/>
  <c r="L98" i="2"/>
  <c r="K99" i="2" s="1"/>
  <c r="C99" i="21" s="1"/>
  <c r="Q99" i="23" s="1"/>
  <c r="T98" i="2"/>
  <c r="S99" i="2" s="1"/>
  <c r="G99" i="21" s="1"/>
  <c r="U99" i="23" s="1"/>
  <c r="U98" i="2"/>
  <c r="P98" i="2"/>
  <c r="O99" i="2" s="1"/>
  <c r="E99" i="21" s="1"/>
  <c r="S99" i="23" s="1"/>
  <c r="X98" i="2"/>
  <c r="W99" i="2" s="1"/>
  <c r="H99" i="21" s="1"/>
  <c r="V99" i="23" s="1"/>
  <c r="AA98" i="2"/>
  <c r="AG42" i="23" l="1"/>
  <c r="AX98" i="23"/>
  <c r="BC98" i="23" s="1"/>
  <c r="AC42" i="23"/>
  <c r="AY97" i="23"/>
  <c r="BD97" i="23"/>
  <c r="BB97" i="23"/>
  <c r="BA97" i="23"/>
  <c r="AZ97" i="23"/>
  <c r="J99" i="2"/>
  <c r="B99" i="21"/>
  <c r="P99" i="23" s="1"/>
  <c r="AX99" i="23" s="1"/>
  <c r="AY99" i="23" s="1"/>
  <c r="F99" i="21"/>
  <c r="T99" i="23" s="1"/>
  <c r="R99" i="2"/>
  <c r="Q100" i="2" s="1"/>
  <c r="I100" i="2"/>
  <c r="P99" i="2"/>
  <c r="O100" i="2" s="1"/>
  <c r="E100" i="21" s="1"/>
  <c r="S100" i="23" s="1"/>
  <c r="Z99" i="2"/>
  <c r="Y100" i="2" s="1"/>
  <c r="I100" i="21" s="1"/>
  <c r="W100" i="23" s="1"/>
  <c r="AJ43" i="23" s="1"/>
  <c r="U99" i="2"/>
  <c r="N99" i="2"/>
  <c r="M100" i="2" s="1"/>
  <c r="D100" i="21" s="1"/>
  <c r="R100" i="23" s="1"/>
  <c r="L99" i="2"/>
  <c r="K100" i="2" s="1"/>
  <c r="C100" i="21" s="1"/>
  <c r="Q100" i="23" s="1"/>
  <c r="T99" i="2"/>
  <c r="S100" i="2" s="1"/>
  <c r="G100" i="21" s="1"/>
  <c r="U100" i="23" s="1"/>
  <c r="X99" i="2"/>
  <c r="W100" i="2" s="1"/>
  <c r="H100" i="21" s="1"/>
  <c r="V100" i="23" s="1"/>
  <c r="AI43" i="23" s="1"/>
  <c r="AA99" i="2"/>
  <c r="AH43" i="23" l="1"/>
  <c r="AE43" i="23"/>
  <c r="BC99" i="23"/>
  <c r="BD99" i="23"/>
  <c r="AZ99" i="23"/>
  <c r="AD43" i="23"/>
  <c r="AF43" i="23"/>
  <c r="AY98" i="23"/>
  <c r="BD98" i="23"/>
  <c r="BB98" i="23"/>
  <c r="AZ98" i="23"/>
  <c r="BA98" i="23"/>
  <c r="BB99" i="23"/>
  <c r="BA99" i="23"/>
  <c r="J100" i="2"/>
  <c r="I101" i="2" s="1"/>
  <c r="B100" i="21"/>
  <c r="P100" i="23" s="1"/>
  <c r="F100" i="21"/>
  <c r="T100" i="23" s="1"/>
  <c r="R100" i="2"/>
  <c r="Q101" i="2"/>
  <c r="Z100" i="2"/>
  <c r="Y101" i="2" s="1"/>
  <c r="I101" i="21" s="1"/>
  <c r="W101" i="23" s="1"/>
  <c r="P100" i="2"/>
  <c r="O101" i="2" s="1"/>
  <c r="E101" i="21" s="1"/>
  <c r="S101" i="23" s="1"/>
  <c r="N100" i="2"/>
  <c r="M101" i="2" s="1"/>
  <c r="D101" i="21" s="1"/>
  <c r="R101" i="23" s="1"/>
  <c r="L100" i="2"/>
  <c r="K101" i="2" s="1"/>
  <c r="C101" i="21" s="1"/>
  <c r="Q101" i="23" s="1"/>
  <c r="U100" i="2"/>
  <c r="T100" i="2"/>
  <c r="S101" i="2" s="1"/>
  <c r="G101" i="21" s="1"/>
  <c r="U101" i="23" s="1"/>
  <c r="X100" i="2"/>
  <c r="W101" i="2" s="1"/>
  <c r="H101" i="21" s="1"/>
  <c r="V101" i="23" s="1"/>
  <c r="AA100" i="2"/>
  <c r="AX100" i="23" l="1"/>
  <c r="AC43" i="23"/>
  <c r="BC100" i="23"/>
  <c r="AG43" i="23"/>
  <c r="J101" i="2"/>
  <c r="B101" i="21"/>
  <c r="P101" i="23" s="1"/>
  <c r="AX101" i="23" s="1"/>
  <c r="AY101" i="23" s="1"/>
  <c r="F101" i="21"/>
  <c r="T101" i="23" s="1"/>
  <c r="R101" i="2"/>
  <c r="Q102" i="2" s="1"/>
  <c r="I102" i="2"/>
  <c r="Z101" i="2"/>
  <c r="Y102" i="2" s="1"/>
  <c r="I102" i="21" s="1"/>
  <c r="W102" i="23" s="1"/>
  <c r="AJ44" i="23" s="1"/>
  <c r="N101" i="2"/>
  <c r="M102" i="2" s="1"/>
  <c r="D102" i="21" s="1"/>
  <c r="R102" i="23" s="1"/>
  <c r="P101" i="2"/>
  <c r="O102" i="2" s="1"/>
  <c r="E102" i="21" s="1"/>
  <c r="S102" i="23" s="1"/>
  <c r="L101" i="2"/>
  <c r="K102" i="2" s="1"/>
  <c r="C102" i="21" s="1"/>
  <c r="Q102" i="23" s="1"/>
  <c r="T101" i="2"/>
  <c r="S102" i="2" s="1"/>
  <c r="G102" i="21" s="1"/>
  <c r="U102" i="23" s="1"/>
  <c r="U101" i="2"/>
  <c r="X101" i="2"/>
  <c r="W102" i="2" s="1"/>
  <c r="H102" i="21" s="1"/>
  <c r="V102" i="23" s="1"/>
  <c r="AI44" i="23" s="1"/>
  <c r="AA101" i="2"/>
  <c r="BB101" i="23" l="1"/>
  <c r="BA101" i="23"/>
  <c r="AH44" i="23"/>
  <c r="AF44" i="23"/>
  <c r="AD44" i="23"/>
  <c r="AE44" i="23"/>
  <c r="BC101" i="23"/>
  <c r="BD101" i="23"/>
  <c r="AY100" i="23"/>
  <c r="BD100" i="23"/>
  <c r="BA100" i="23"/>
  <c r="AZ100" i="23"/>
  <c r="BB100" i="23"/>
  <c r="AZ101" i="23"/>
  <c r="J102" i="2"/>
  <c r="I103" i="2" s="1"/>
  <c r="B102" i="21"/>
  <c r="P102" i="23" s="1"/>
  <c r="F102" i="21"/>
  <c r="T102" i="23" s="1"/>
  <c r="R102" i="2"/>
  <c r="Q103" i="2" s="1"/>
  <c r="Z102" i="2"/>
  <c r="Y103" i="2" s="1"/>
  <c r="I103" i="21" s="1"/>
  <c r="W103" i="23" s="1"/>
  <c r="N102" i="2"/>
  <c r="M103" i="2" s="1"/>
  <c r="D103" i="21" s="1"/>
  <c r="R103" i="23" s="1"/>
  <c r="P102" i="2"/>
  <c r="O103" i="2" s="1"/>
  <c r="E103" i="21" s="1"/>
  <c r="S103" i="23" s="1"/>
  <c r="U102" i="2"/>
  <c r="L102" i="2"/>
  <c r="K103" i="2" s="1"/>
  <c r="C103" i="21" s="1"/>
  <c r="Q103" i="23" s="1"/>
  <c r="T102" i="2"/>
  <c r="S103" i="2" s="1"/>
  <c r="G103" i="21" s="1"/>
  <c r="U103" i="23" s="1"/>
  <c r="X102" i="2"/>
  <c r="W103" i="2" s="1"/>
  <c r="H103" i="21" s="1"/>
  <c r="V103" i="23" s="1"/>
  <c r="AA102" i="2"/>
  <c r="AX102" i="23" l="1"/>
  <c r="AC44" i="23"/>
  <c r="BC102" i="23"/>
  <c r="AG44" i="23"/>
  <c r="J103" i="2"/>
  <c r="B103" i="21"/>
  <c r="P103" i="23" s="1"/>
  <c r="AX103" i="23" s="1"/>
  <c r="AY103" i="23" s="1"/>
  <c r="F103" i="21"/>
  <c r="T103" i="23" s="1"/>
  <c r="R103" i="2"/>
  <c r="Q104" i="2" s="1"/>
  <c r="Z103" i="2"/>
  <c r="Y104" i="2" s="1"/>
  <c r="I104" i="21" s="1"/>
  <c r="W104" i="23" s="1"/>
  <c r="N103" i="2"/>
  <c r="M104" i="2" s="1"/>
  <c r="D104" i="21" s="1"/>
  <c r="R104" i="23" s="1"/>
  <c r="I104" i="2"/>
  <c r="P103" i="2"/>
  <c r="O104" i="2" s="1"/>
  <c r="E104" i="21" s="1"/>
  <c r="S104" i="23" s="1"/>
  <c r="U103" i="2"/>
  <c r="T103" i="2"/>
  <c r="S104" i="2" s="1"/>
  <c r="G104" i="21" s="1"/>
  <c r="U104" i="23" s="1"/>
  <c r="L103" i="2"/>
  <c r="K104" i="2" s="1"/>
  <c r="C104" i="21" s="1"/>
  <c r="Q104" i="23" s="1"/>
  <c r="X103" i="2"/>
  <c r="W104" i="2" s="1"/>
  <c r="H104" i="21" s="1"/>
  <c r="V104" i="23" s="1"/>
  <c r="AA103" i="2"/>
  <c r="BB103" i="23" l="1"/>
  <c r="BA103" i="23"/>
  <c r="BC103" i="23"/>
  <c r="AZ103" i="23"/>
  <c r="AY102" i="23"/>
  <c r="BD102" i="23"/>
  <c r="BB102" i="23"/>
  <c r="AZ102" i="23"/>
  <c r="BA102" i="23"/>
  <c r="BD103" i="23"/>
  <c r="J104" i="2"/>
  <c r="I105" i="2" s="1"/>
  <c r="B104" i="21"/>
  <c r="P104" i="23" s="1"/>
  <c r="F104" i="21"/>
  <c r="T104" i="23" s="1"/>
  <c r="R104" i="2"/>
  <c r="Q105" i="2"/>
  <c r="Z104" i="2"/>
  <c r="Y105" i="2" s="1"/>
  <c r="I105" i="21" s="1"/>
  <c r="W105" i="23" s="1"/>
  <c r="AJ45" i="23" s="1"/>
  <c r="T104" i="2"/>
  <c r="S105" i="2" s="1"/>
  <c r="G105" i="21" s="1"/>
  <c r="U105" i="23" s="1"/>
  <c r="P104" i="2"/>
  <c r="O105" i="2" s="1"/>
  <c r="E105" i="21" s="1"/>
  <c r="S105" i="23" s="1"/>
  <c r="U104" i="2"/>
  <c r="N104" i="2"/>
  <c r="M105" i="2" s="1"/>
  <c r="D105" i="21" s="1"/>
  <c r="R105" i="23" s="1"/>
  <c r="L104" i="2"/>
  <c r="K105" i="2" s="1"/>
  <c r="C105" i="21" s="1"/>
  <c r="Q105" i="23" s="1"/>
  <c r="X104" i="2"/>
  <c r="W105" i="2" s="1"/>
  <c r="H105" i="21" s="1"/>
  <c r="V105" i="23" s="1"/>
  <c r="AI45" i="23" s="1"/>
  <c r="AA104" i="2"/>
  <c r="AD45" i="23" l="1"/>
  <c r="AE45" i="23"/>
  <c r="AF45" i="23"/>
  <c r="AX104" i="23"/>
  <c r="AH45" i="23"/>
  <c r="BC104" i="23"/>
  <c r="J105" i="2"/>
  <c r="I106" i="2" s="1"/>
  <c r="J106" i="2" s="1"/>
  <c r="B105" i="21"/>
  <c r="P105" i="23" s="1"/>
  <c r="F105" i="21"/>
  <c r="T105" i="23" s="1"/>
  <c r="R105" i="2"/>
  <c r="Q106" i="2" s="1"/>
  <c r="Z105" i="2"/>
  <c r="Y106" i="2" s="1"/>
  <c r="I106" i="21" s="1"/>
  <c r="W106" i="23" s="1"/>
  <c r="P105" i="2"/>
  <c r="O106" i="2" s="1"/>
  <c r="E106" i="21" s="1"/>
  <c r="S106" i="23" s="1"/>
  <c r="T105" i="2"/>
  <c r="S106" i="2" s="1"/>
  <c r="G106" i="21" s="1"/>
  <c r="U106" i="23" s="1"/>
  <c r="N105" i="2"/>
  <c r="M106" i="2" s="1"/>
  <c r="D106" i="21" s="1"/>
  <c r="R106" i="23" s="1"/>
  <c r="U105" i="2"/>
  <c r="L105" i="2"/>
  <c r="K106" i="2" s="1"/>
  <c r="C106" i="21" s="1"/>
  <c r="Q106" i="23" s="1"/>
  <c r="X105" i="2"/>
  <c r="W106" i="2" s="1"/>
  <c r="H106" i="21" s="1"/>
  <c r="V106" i="23" s="1"/>
  <c r="AA105" i="2"/>
  <c r="AX105" i="23" l="1"/>
  <c r="AC45" i="23"/>
  <c r="BC105" i="23"/>
  <c r="AG45" i="23"/>
  <c r="AY104" i="23"/>
  <c r="BB104" i="23"/>
  <c r="BA104" i="23"/>
  <c r="BD104" i="23"/>
  <c r="AZ104" i="23"/>
  <c r="B106" i="21"/>
  <c r="P106" i="23" s="1"/>
  <c r="AX106" i="23" s="1"/>
  <c r="AY106" i="23" s="1"/>
  <c r="F106" i="21"/>
  <c r="T106" i="23" s="1"/>
  <c r="R106" i="2"/>
  <c r="Q107" i="2" s="1"/>
  <c r="I107" i="2"/>
  <c r="P106" i="2"/>
  <c r="O107" i="2" s="1"/>
  <c r="E107" i="21" s="1"/>
  <c r="S107" i="23" s="1"/>
  <c r="Z106" i="2"/>
  <c r="Y107" i="2" s="1"/>
  <c r="I107" i="21" s="1"/>
  <c r="W107" i="23" s="1"/>
  <c r="AJ46" i="23" s="1"/>
  <c r="T106" i="2"/>
  <c r="S107" i="2" s="1"/>
  <c r="G107" i="21" s="1"/>
  <c r="U107" i="23" s="1"/>
  <c r="U106" i="2"/>
  <c r="N106" i="2"/>
  <c r="M107" i="2" s="1"/>
  <c r="D107" i="21" s="1"/>
  <c r="R107" i="23" s="1"/>
  <c r="L106" i="2"/>
  <c r="K107" i="2" s="1"/>
  <c r="C107" i="21" s="1"/>
  <c r="Q107" i="23" s="1"/>
  <c r="X106" i="2"/>
  <c r="W107" i="2" s="1"/>
  <c r="H107" i="21" s="1"/>
  <c r="V107" i="23" s="1"/>
  <c r="AI46" i="23" s="1"/>
  <c r="AA106" i="2"/>
  <c r="AE46" i="23" l="1"/>
  <c r="AH46" i="23"/>
  <c r="AF46" i="23"/>
  <c r="BD106" i="23"/>
  <c r="AZ106" i="23"/>
  <c r="AY105" i="23"/>
  <c r="AZ105" i="23"/>
  <c r="BA105" i="23"/>
  <c r="BB105" i="23"/>
  <c r="BD105" i="23"/>
  <c r="AD46" i="23"/>
  <c r="BC106" i="23"/>
  <c r="BA106" i="23"/>
  <c r="BB106" i="23"/>
  <c r="J107" i="2"/>
  <c r="I108" i="2" s="1"/>
  <c r="B107" i="21"/>
  <c r="P107" i="23" s="1"/>
  <c r="F107" i="21"/>
  <c r="T107" i="23" s="1"/>
  <c r="R107" i="2"/>
  <c r="Q108" i="2"/>
  <c r="Z107" i="2"/>
  <c r="Y108" i="2" s="1"/>
  <c r="I108" i="21" s="1"/>
  <c r="W108" i="23" s="1"/>
  <c r="T107" i="2"/>
  <c r="S108" i="2" s="1"/>
  <c r="G108" i="21" s="1"/>
  <c r="U108" i="23" s="1"/>
  <c r="P107" i="2"/>
  <c r="O108" i="2" s="1"/>
  <c r="E108" i="21" s="1"/>
  <c r="S108" i="23" s="1"/>
  <c r="U107" i="2"/>
  <c r="N107" i="2"/>
  <c r="M108" i="2" s="1"/>
  <c r="D108" i="21" s="1"/>
  <c r="R108" i="23" s="1"/>
  <c r="L107" i="2"/>
  <c r="K108" i="2" s="1"/>
  <c r="C108" i="21" s="1"/>
  <c r="Q108" i="23" s="1"/>
  <c r="X107" i="2"/>
  <c r="W108" i="2" s="1"/>
  <c r="H108" i="21" s="1"/>
  <c r="V108" i="23" s="1"/>
  <c r="AA107" i="2"/>
  <c r="AX107" i="23" l="1"/>
  <c r="AC46" i="23"/>
  <c r="BC107" i="23"/>
  <c r="AG46" i="23"/>
  <c r="J108" i="2"/>
  <c r="B108" i="21"/>
  <c r="P108" i="23" s="1"/>
  <c r="AX108" i="23" s="1"/>
  <c r="AY108" i="23" s="1"/>
  <c r="F108" i="21"/>
  <c r="T108" i="23" s="1"/>
  <c r="R108" i="2"/>
  <c r="I109" i="2"/>
  <c r="Q109" i="2"/>
  <c r="Z108" i="2"/>
  <c r="Y109" i="2" s="1"/>
  <c r="I109" i="21" s="1"/>
  <c r="W109" i="23" s="1"/>
  <c r="T108" i="2"/>
  <c r="S109" i="2" s="1"/>
  <c r="G109" i="21" s="1"/>
  <c r="U109" i="23" s="1"/>
  <c r="P108" i="2"/>
  <c r="O109" i="2" s="1"/>
  <c r="E109" i="21" s="1"/>
  <c r="S109" i="23" s="1"/>
  <c r="U108" i="2"/>
  <c r="N108" i="2"/>
  <c r="M109" i="2" s="1"/>
  <c r="D109" i="21" s="1"/>
  <c r="R109" i="23" s="1"/>
  <c r="L108" i="2"/>
  <c r="K109" i="2" s="1"/>
  <c r="C109" i="21" s="1"/>
  <c r="Q109" i="23" s="1"/>
  <c r="X108" i="2"/>
  <c r="W109" i="2" s="1"/>
  <c r="H109" i="21" s="1"/>
  <c r="V109" i="23" s="1"/>
  <c r="AA108" i="2"/>
  <c r="BD108" i="23" l="1"/>
  <c r="BB108" i="23"/>
  <c r="BC108" i="23"/>
  <c r="AZ108" i="23"/>
  <c r="AY107" i="23"/>
  <c r="BA107" i="23"/>
  <c r="BD107" i="23"/>
  <c r="BB107" i="23"/>
  <c r="AZ107" i="23"/>
  <c r="BA108" i="23"/>
  <c r="J109" i="2"/>
  <c r="B109" i="21"/>
  <c r="P109" i="23" s="1"/>
  <c r="F109" i="21"/>
  <c r="T109" i="23" s="1"/>
  <c r="R109" i="2"/>
  <c r="I110" i="2"/>
  <c r="Q110" i="2"/>
  <c r="Z109" i="2"/>
  <c r="Y110" i="2" s="1"/>
  <c r="I110" i="21" s="1"/>
  <c r="W110" i="23" s="1"/>
  <c r="AJ47" i="23" s="1"/>
  <c r="P109" i="2"/>
  <c r="O110" i="2" s="1"/>
  <c r="E110" i="21" s="1"/>
  <c r="S110" i="23" s="1"/>
  <c r="T109" i="2"/>
  <c r="S110" i="2" s="1"/>
  <c r="G110" i="21" s="1"/>
  <c r="U110" i="23" s="1"/>
  <c r="U109" i="2"/>
  <c r="N109" i="2"/>
  <c r="M110" i="2" s="1"/>
  <c r="D110" i="21" s="1"/>
  <c r="R110" i="23" s="1"/>
  <c r="L109" i="2"/>
  <c r="K110" i="2" s="1"/>
  <c r="C110" i="21" s="1"/>
  <c r="Q110" i="23" s="1"/>
  <c r="X109" i="2"/>
  <c r="W110" i="2" s="1"/>
  <c r="H110" i="21" s="1"/>
  <c r="V110" i="23" s="1"/>
  <c r="AI47" i="23" s="1"/>
  <c r="AA109" i="2"/>
  <c r="BC109" i="23" l="1"/>
  <c r="AD47" i="23"/>
  <c r="AF47" i="23"/>
  <c r="AX109" i="23"/>
  <c r="AE47" i="23"/>
  <c r="AH47" i="23"/>
  <c r="J110" i="2"/>
  <c r="I111" i="2" s="1"/>
  <c r="B110" i="21"/>
  <c r="P110" i="23" s="1"/>
  <c r="F110" i="21"/>
  <c r="T110" i="23" s="1"/>
  <c r="R110" i="2"/>
  <c r="Q111" i="2" s="1"/>
  <c r="Z110" i="2"/>
  <c r="Y111" i="2" s="1"/>
  <c r="I111" i="21" s="1"/>
  <c r="W111" i="23" s="1"/>
  <c r="P110" i="2"/>
  <c r="O111" i="2" s="1"/>
  <c r="E111" i="21" s="1"/>
  <c r="S111" i="23" s="1"/>
  <c r="T110" i="2"/>
  <c r="S111" i="2" s="1"/>
  <c r="G111" i="21" s="1"/>
  <c r="U111" i="23" s="1"/>
  <c r="N110" i="2"/>
  <c r="M111" i="2" s="1"/>
  <c r="D111" i="21" s="1"/>
  <c r="R111" i="23" s="1"/>
  <c r="U110" i="2"/>
  <c r="L110" i="2"/>
  <c r="K111" i="2" s="1"/>
  <c r="C111" i="21" s="1"/>
  <c r="Q111" i="23" s="1"/>
  <c r="X110" i="2"/>
  <c r="W111" i="2" s="1"/>
  <c r="H111" i="21" s="1"/>
  <c r="V111" i="23" s="1"/>
  <c r="AA110" i="2"/>
  <c r="AG47" i="23" l="1"/>
  <c r="AX110" i="23"/>
  <c r="BC110" i="23" s="1"/>
  <c r="AC47" i="23"/>
  <c r="AY109" i="23"/>
  <c r="BD109" i="23"/>
  <c r="BB109" i="23"/>
  <c r="AZ109" i="23"/>
  <c r="BA109" i="23"/>
  <c r="J111" i="2"/>
  <c r="B111" i="21"/>
  <c r="P111" i="23" s="1"/>
  <c r="I112" i="2"/>
  <c r="F111" i="21"/>
  <c r="T111" i="23" s="1"/>
  <c r="R111" i="2"/>
  <c r="Q112" i="2" s="1"/>
  <c r="Z111" i="2"/>
  <c r="Y112" i="2" s="1"/>
  <c r="I112" i="21" s="1"/>
  <c r="W112" i="23" s="1"/>
  <c r="AJ48" i="23" s="1"/>
  <c r="T111" i="2"/>
  <c r="S112" i="2" s="1"/>
  <c r="G112" i="21" s="1"/>
  <c r="U112" i="23" s="1"/>
  <c r="U111" i="2"/>
  <c r="P111" i="2"/>
  <c r="O112" i="2" s="1"/>
  <c r="E112" i="21" s="1"/>
  <c r="S112" i="23" s="1"/>
  <c r="N111" i="2"/>
  <c r="M112" i="2" s="1"/>
  <c r="D112" i="21" s="1"/>
  <c r="R112" i="23" s="1"/>
  <c r="L111" i="2"/>
  <c r="K112" i="2" s="1"/>
  <c r="C112" i="21" s="1"/>
  <c r="Q112" i="23" s="1"/>
  <c r="X111" i="2"/>
  <c r="W112" i="2" s="1"/>
  <c r="H112" i="21" s="1"/>
  <c r="V112" i="23" s="1"/>
  <c r="AI48" i="23" s="1"/>
  <c r="AA111" i="2"/>
  <c r="AD48" i="23" l="1"/>
  <c r="AF48" i="23"/>
  <c r="AH48" i="23"/>
  <c r="AE48" i="23"/>
  <c r="AX111" i="23"/>
  <c r="AY110" i="23"/>
  <c r="AZ110" i="23"/>
  <c r="BB110" i="23"/>
  <c r="BA110" i="23"/>
  <c r="BD110" i="23"/>
  <c r="J112" i="2"/>
  <c r="I113" i="2" s="1"/>
  <c r="B112" i="21"/>
  <c r="P112" i="23" s="1"/>
  <c r="F112" i="21"/>
  <c r="T112" i="23" s="1"/>
  <c r="R112" i="2"/>
  <c r="Q113" i="2" s="1"/>
  <c r="Z112" i="2"/>
  <c r="Y113" i="2" s="1"/>
  <c r="I113" i="21" s="1"/>
  <c r="W113" i="23" s="1"/>
  <c r="T112" i="2"/>
  <c r="S113" i="2" s="1"/>
  <c r="G113" i="21" s="1"/>
  <c r="U113" i="23" s="1"/>
  <c r="P112" i="2"/>
  <c r="O113" i="2" s="1"/>
  <c r="E113" i="21" s="1"/>
  <c r="S113" i="23" s="1"/>
  <c r="N112" i="2"/>
  <c r="M113" i="2" s="1"/>
  <c r="D113" i="21" s="1"/>
  <c r="R113" i="23" s="1"/>
  <c r="U112" i="2"/>
  <c r="L112" i="2"/>
  <c r="K113" i="2" s="1"/>
  <c r="C113" i="21" s="1"/>
  <c r="Q113" i="23" s="1"/>
  <c r="X112" i="2"/>
  <c r="W113" i="2" s="1"/>
  <c r="H113" i="21" s="1"/>
  <c r="V113" i="23" s="1"/>
  <c r="AA112" i="2"/>
  <c r="AG48" i="23" l="1"/>
  <c r="AY111" i="23"/>
  <c r="BD111" i="23"/>
  <c r="BA111" i="23"/>
  <c r="AZ111" i="23"/>
  <c r="BB111" i="23"/>
  <c r="AX112" i="23"/>
  <c r="AC48" i="23"/>
  <c r="BC111" i="23"/>
  <c r="J113" i="2"/>
  <c r="B113" i="21"/>
  <c r="P113" i="23" s="1"/>
  <c r="F113" i="21"/>
  <c r="T113" i="23" s="1"/>
  <c r="R113" i="2"/>
  <c r="Q114" i="2" s="1"/>
  <c r="I114" i="2"/>
  <c r="Z113" i="2"/>
  <c r="Y114" i="2" s="1"/>
  <c r="I114" i="21" s="1"/>
  <c r="W114" i="23" s="1"/>
  <c r="AJ49" i="23" s="1"/>
  <c r="T113" i="2"/>
  <c r="S114" i="2" s="1"/>
  <c r="G114" i="21" s="1"/>
  <c r="U114" i="23" s="1"/>
  <c r="N113" i="2"/>
  <c r="M114" i="2" s="1"/>
  <c r="D114" i="21" s="1"/>
  <c r="R114" i="23" s="1"/>
  <c r="U113" i="2"/>
  <c r="P113" i="2"/>
  <c r="O114" i="2" s="1"/>
  <c r="E114" i="21" s="1"/>
  <c r="S114" i="23" s="1"/>
  <c r="L113" i="2"/>
  <c r="K114" i="2" s="1"/>
  <c r="C114" i="21" s="1"/>
  <c r="Q114" i="23" s="1"/>
  <c r="X113" i="2"/>
  <c r="W114" i="2" s="1"/>
  <c r="H114" i="21" s="1"/>
  <c r="V114" i="23" s="1"/>
  <c r="AI49" i="23" s="1"/>
  <c r="AA113" i="2"/>
  <c r="AD49" i="23" l="1"/>
  <c r="AH49" i="23"/>
  <c r="AF49" i="23"/>
  <c r="AE49" i="23"/>
  <c r="AX113" i="23"/>
  <c r="AY112" i="23"/>
  <c r="AZ112" i="23"/>
  <c r="BB112" i="23"/>
  <c r="BD112" i="23"/>
  <c r="BA112" i="23"/>
  <c r="BC112" i="23"/>
  <c r="J114" i="2"/>
  <c r="B114" i="21"/>
  <c r="P114" i="23" s="1"/>
  <c r="F114" i="21"/>
  <c r="T114" i="23" s="1"/>
  <c r="R114" i="2"/>
  <c r="I115" i="2"/>
  <c r="Q115" i="2"/>
  <c r="P114" i="2"/>
  <c r="O115" i="2" s="1"/>
  <c r="E115" i="21" s="1"/>
  <c r="S115" i="23" s="1"/>
  <c r="T114" i="2"/>
  <c r="S115" i="2" s="1"/>
  <c r="G115" i="21" s="1"/>
  <c r="U115" i="23" s="1"/>
  <c r="Z114" i="2"/>
  <c r="Y115" i="2" s="1"/>
  <c r="I115" i="21" s="1"/>
  <c r="W115" i="23" s="1"/>
  <c r="U114" i="2"/>
  <c r="N114" i="2"/>
  <c r="M115" i="2" s="1"/>
  <c r="D115" i="21" s="1"/>
  <c r="R115" i="23" s="1"/>
  <c r="L114" i="2"/>
  <c r="K115" i="2" s="1"/>
  <c r="C115" i="21" s="1"/>
  <c r="Q115" i="23" s="1"/>
  <c r="X114" i="2"/>
  <c r="W115" i="2" s="1"/>
  <c r="H115" i="21" s="1"/>
  <c r="V115" i="23" s="1"/>
  <c r="AA114" i="2"/>
  <c r="AX114" i="23" l="1"/>
  <c r="AC49" i="23"/>
  <c r="AY113" i="23"/>
  <c r="BB113" i="23"/>
  <c r="AZ113" i="23"/>
  <c r="BD113" i="23"/>
  <c r="BA113" i="23"/>
  <c r="BC114" i="23"/>
  <c r="AG49" i="23"/>
  <c r="BC113" i="23"/>
  <c r="J115" i="2"/>
  <c r="B115" i="21"/>
  <c r="P115" i="23" s="1"/>
  <c r="F115" i="21"/>
  <c r="T115" i="23" s="1"/>
  <c r="R115" i="2"/>
  <c r="Q116" i="2" s="1"/>
  <c r="I116" i="2"/>
  <c r="Z115" i="2"/>
  <c r="Y116" i="2" s="1"/>
  <c r="I116" i="21" s="1"/>
  <c r="W116" i="23" s="1"/>
  <c r="T115" i="2"/>
  <c r="S116" i="2" s="1"/>
  <c r="G116" i="21" s="1"/>
  <c r="U116" i="23" s="1"/>
  <c r="N115" i="2"/>
  <c r="M116" i="2" s="1"/>
  <c r="D116" i="21" s="1"/>
  <c r="R116" i="23" s="1"/>
  <c r="P115" i="2"/>
  <c r="O116" i="2" s="1"/>
  <c r="E116" i="21" s="1"/>
  <c r="S116" i="23" s="1"/>
  <c r="U115" i="2"/>
  <c r="L115" i="2"/>
  <c r="K116" i="2" s="1"/>
  <c r="C116" i="21" s="1"/>
  <c r="Q116" i="23" s="1"/>
  <c r="X115" i="2"/>
  <c r="W116" i="2" s="1"/>
  <c r="H116" i="21" s="1"/>
  <c r="V116" i="23" s="1"/>
  <c r="AA115" i="2"/>
  <c r="AX115" i="23" l="1"/>
  <c r="BC115" i="23"/>
  <c r="AY114" i="23"/>
  <c r="AZ114" i="23"/>
  <c r="BD114" i="23"/>
  <c r="BB114" i="23"/>
  <c r="BA114" i="23"/>
  <c r="J116" i="2"/>
  <c r="I117" i="2" s="1"/>
  <c r="B116" i="21"/>
  <c r="P116" i="23" s="1"/>
  <c r="F116" i="21"/>
  <c r="T116" i="23" s="1"/>
  <c r="R116" i="2"/>
  <c r="Q117" i="2" s="1"/>
  <c r="Z116" i="2"/>
  <c r="Y117" i="2" s="1"/>
  <c r="I117" i="21" s="1"/>
  <c r="W117" i="23" s="1"/>
  <c r="AJ50" i="23" s="1"/>
  <c r="U116" i="2"/>
  <c r="T116" i="2"/>
  <c r="S117" i="2" s="1"/>
  <c r="G117" i="21" s="1"/>
  <c r="U117" i="23" s="1"/>
  <c r="P116" i="2"/>
  <c r="O117" i="2" s="1"/>
  <c r="E117" i="21" s="1"/>
  <c r="S117" i="23" s="1"/>
  <c r="N116" i="2"/>
  <c r="M117" i="2" s="1"/>
  <c r="D117" i="21" s="1"/>
  <c r="R117" i="23" s="1"/>
  <c r="L116" i="2"/>
  <c r="K117" i="2" s="1"/>
  <c r="C117" i="21" s="1"/>
  <c r="Q117" i="23" s="1"/>
  <c r="AD50" i="23" s="1"/>
  <c r="X116" i="2"/>
  <c r="W117" i="2" s="1"/>
  <c r="H117" i="21" s="1"/>
  <c r="V117" i="23" s="1"/>
  <c r="AI50" i="23" s="1"/>
  <c r="AA116" i="2"/>
  <c r="AE50" i="23" l="1"/>
  <c r="AF50" i="23"/>
  <c r="AX116" i="23"/>
  <c r="AY116" i="23"/>
  <c r="AY115" i="23"/>
  <c r="AZ115" i="23"/>
  <c r="BB115" i="23"/>
  <c r="BD115" i="23"/>
  <c r="BA115" i="23"/>
  <c r="AH50" i="23"/>
  <c r="BC116" i="23"/>
  <c r="J117" i="2"/>
  <c r="B117" i="21"/>
  <c r="P117" i="23" s="1"/>
  <c r="F117" i="21"/>
  <c r="T117" i="23" s="1"/>
  <c r="R117" i="2"/>
  <c r="Q118" i="2" s="1"/>
  <c r="I118" i="2"/>
  <c r="Z117" i="2"/>
  <c r="Y118" i="2" s="1"/>
  <c r="I118" i="21" s="1"/>
  <c r="W118" i="23" s="1"/>
  <c r="U117" i="2"/>
  <c r="N117" i="2"/>
  <c r="M118" i="2" s="1"/>
  <c r="D118" i="21" s="1"/>
  <c r="R118" i="23" s="1"/>
  <c r="P117" i="2"/>
  <c r="O118" i="2" s="1"/>
  <c r="E118" i="21" s="1"/>
  <c r="S118" i="23" s="1"/>
  <c r="T117" i="2"/>
  <c r="S118" i="2" s="1"/>
  <c r="G118" i="21" s="1"/>
  <c r="U118" i="23" s="1"/>
  <c r="L117" i="2"/>
  <c r="K118" i="2" s="1"/>
  <c r="C118" i="21" s="1"/>
  <c r="Q118" i="23" s="1"/>
  <c r="X117" i="2"/>
  <c r="W118" i="2" s="1"/>
  <c r="H118" i="21" s="1"/>
  <c r="V118" i="23" s="1"/>
  <c r="AA117" i="2"/>
  <c r="AX117" i="23" l="1"/>
  <c r="AY117" i="23"/>
  <c r="AC50" i="23"/>
  <c r="BC117" i="23"/>
  <c r="AG50" i="23"/>
  <c r="AZ116" i="23"/>
  <c r="BA116" i="23"/>
  <c r="BB116" i="23"/>
  <c r="BD116" i="23"/>
  <c r="J118" i="2"/>
  <c r="I119" i="2" s="1"/>
  <c r="B118" i="21"/>
  <c r="P118" i="23" s="1"/>
  <c r="F118" i="21"/>
  <c r="T118" i="23" s="1"/>
  <c r="R118" i="2"/>
  <c r="Q119" i="2" s="1"/>
  <c r="Z118" i="2"/>
  <c r="Y119" i="2" s="1"/>
  <c r="I119" i="21" s="1"/>
  <c r="W119" i="23" s="1"/>
  <c r="AJ51" i="23" s="1"/>
  <c r="T118" i="2"/>
  <c r="S119" i="2" s="1"/>
  <c r="G119" i="21" s="1"/>
  <c r="U119" i="23" s="1"/>
  <c r="N118" i="2"/>
  <c r="M119" i="2" s="1"/>
  <c r="D119" i="21" s="1"/>
  <c r="R119" i="23" s="1"/>
  <c r="U118" i="2"/>
  <c r="P118" i="2"/>
  <c r="O119" i="2" s="1"/>
  <c r="E119" i="21" s="1"/>
  <c r="S119" i="23" s="1"/>
  <c r="AF51" i="23" s="1"/>
  <c r="L118" i="2"/>
  <c r="K119" i="2" s="1"/>
  <c r="C119" i="21" s="1"/>
  <c r="Q119" i="23" s="1"/>
  <c r="X118" i="2"/>
  <c r="W119" i="2" s="1"/>
  <c r="H119" i="21" s="1"/>
  <c r="V119" i="23" s="1"/>
  <c r="AI51" i="23" s="1"/>
  <c r="AA118" i="2"/>
  <c r="AD51" i="23" l="1"/>
  <c r="AH51" i="23"/>
  <c r="AX118" i="23"/>
  <c r="AY118" i="23"/>
  <c r="AZ117" i="23"/>
  <c r="BA117" i="23"/>
  <c r="BB117" i="23"/>
  <c r="BD117" i="23"/>
  <c r="AE51" i="23"/>
  <c r="BC118" i="23"/>
  <c r="J119" i="2"/>
  <c r="I120" i="2" s="1"/>
  <c r="B119" i="21"/>
  <c r="P119" i="23" s="1"/>
  <c r="F119" i="21"/>
  <c r="T119" i="23" s="1"/>
  <c r="R119" i="2"/>
  <c r="Q120" i="2" s="1"/>
  <c r="Z119" i="2"/>
  <c r="Y120" i="2" s="1"/>
  <c r="I120" i="21" s="1"/>
  <c r="W120" i="23" s="1"/>
  <c r="U119" i="2"/>
  <c r="T119" i="2"/>
  <c r="S120" i="2" s="1"/>
  <c r="G120" i="21" s="1"/>
  <c r="U120" i="23" s="1"/>
  <c r="P119" i="2"/>
  <c r="O120" i="2" s="1"/>
  <c r="E120" i="21" s="1"/>
  <c r="S120" i="23" s="1"/>
  <c r="N119" i="2"/>
  <c r="M120" i="2" s="1"/>
  <c r="D120" i="21" s="1"/>
  <c r="R120" i="23" s="1"/>
  <c r="L119" i="2"/>
  <c r="K120" i="2" s="1"/>
  <c r="C120" i="21" s="1"/>
  <c r="Q120" i="23" s="1"/>
  <c r="X119" i="2"/>
  <c r="W120" i="2" s="1"/>
  <c r="H120" i="21" s="1"/>
  <c r="V120" i="23" s="1"/>
  <c r="AA119" i="2"/>
  <c r="BC119" i="23" l="1"/>
  <c r="AG51" i="23"/>
  <c r="AX119" i="23"/>
  <c r="AY119" i="23"/>
  <c r="AC51" i="23"/>
  <c r="AZ118" i="23"/>
  <c r="BD118" i="23"/>
  <c r="BA118" i="23"/>
  <c r="BB118" i="23"/>
  <c r="J120" i="2"/>
  <c r="B120" i="21"/>
  <c r="P120" i="23" s="1"/>
  <c r="F120" i="21"/>
  <c r="T120" i="23" s="1"/>
  <c r="R120" i="2"/>
  <c r="I121" i="2"/>
  <c r="Q121" i="2"/>
  <c r="Z120" i="2"/>
  <c r="Y121" i="2" s="1"/>
  <c r="I121" i="21" s="1"/>
  <c r="W121" i="23" s="1"/>
  <c r="N120" i="2"/>
  <c r="M121" i="2" s="1"/>
  <c r="D121" i="21" s="1"/>
  <c r="R121" i="23" s="1"/>
  <c r="P120" i="2"/>
  <c r="O121" i="2" s="1"/>
  <c r="E121" i="21" s="1"/>
  <c r="S121" i="23" s="1"/>
  <c r="U120" i="2"/>
  <c r="T120" i="2"/>
  <c r="S121" i="2" s="1"/>
  <c r="G121" i="21" s="1"/>
  <c r="U121" i="23" s="1"/>
  <c r="L120" i="2"/>
  <c r="K121" i="2" s="1"/>
  <c r="C121" i="21" s="1"/>
  <c r="Q121" i="23" s="1"/>
  <c r="X120" i="2"/>
  <c r="W121" i="2" s="1"/>
  <c r="H121" i="21" s="1"/>
  <c r="V121" i="23" s="1"/>
  <c r="AA120" i="2"/>
  <c r="AX120" i="23" l="1"/>
  <c r="AY120" i="23"/>
  <c r="BB119" i="23"/>
  <c r="AZ119" i="23"/>
  <c r="BD119" i="23"/>
  <c r="BA119" i="23"/>
  <c r="BC120" i="23"/>
  <c r="J121" i="2"/>
  <c r="I122" i="2" s="1"/>
  <c r="B121" i="21"/>
  <c r="P121" i="23" s="1"/>
  <c r="F121" i="21"/>
  <c r="T121" i="23" s="1"/>
  <c r="R121" i="2"/>
  <c r="Q122" i="2" s="1"/>
  <c r="Z121" i="2"/>
  <c r="Y122" i="2" s="1"/>
  <c r="I122" i="21" s="1"/>
  <c r="W122" i="23" s="1"/>
  <c r="P121" i="2"/>
  <c r="O122" i="2" s="1"/>
  <c r="E122" i="21" s="1"/>
  <c r="S122" i="23" s="1"/>
  <c r="N121" i="2"/>
  <c r="M122" i="2" s="1"/>
  <c r="D122" i="21" s="1"/>
  <c r="R122" i="23" s="1"/>
  <c r="U121" i="2"/>
  <c r="T121" i="2"/>
  <c r="S122" i="2" s="1"/>
  <c r="G122" i="21" s="1"/>
  <c r="U122" i="23" s="1"/>
  <c r="L121" i="2"/>
  <c r="K122" i="2" s="1"/>
  <c r="C122" i="21" s="1"/>
  <c r="Q122" i="23" s="1"/>
  <c r="X121" i="2"/>
  <c r="W122" i="2" s="1"/>
  <c r="H122" i="21" s="1"/>
  <c r="V122" i="23" s="1"/>
  <c r="AA121" i="2"/>
  <c r="AZ120" i="23" l="1"/>
  <c r="BD120" i="23"/>
  <c r="BB120" i="23"/>
  <c r="BA120" i="23"/>
  <c r="AX121" i="23"/>
  <c r="BC121" i="23" s="1"/>
  <c r="J122" i="2"/>
  <c r="I123" i="2" s="1"/>
  <c r="B122" i="21"/>
  <c r="P122" i="23" s="1"/>
  <c r="F122" i="21"/>
  <c r="T122" i="23" s="1"/>
  <c r="R122" i="2"/>
  <c r="Q123" i="2" s="1"/>
  <c r="T122" i="2"/>
  <c r="S123" i="2" s="1"/>
  <c r="G123" i="21" s="1"/>
  <c r="U123" i="23" s="1"/>
  <c r="Z122" i="2"/>
  <c r="Y123" i="2" s="1"/>
  <c r="I123" i="21" s="1"/>
  <c r="W123" i="23" s="1"/>
  <c r="P122" i="2"/>
  <c r="O123" i="2" s="1"/>
  <c r="E123" i="21" s="1"/>
  <c r="S123" i="23" s="1"/>
  <c r="U122" i="2"/>
  <c r="N122" i="2"/>
  <c r="M123" i="2" s="1"/>
  <c r="D123" i="21" s="1"/>
  <c r="R123" i="23" s="1"/>
  <c r="L122" i="2"/>
  <c r="K123" i="2" s="1"/>
  <c r="C123" i="21" s="1"/>
  <c r="Q123" i="23" s="1"/>
  <c r="X122" i="2"/>
  <c r="W123" i="2" s="1"/>
  <c r="H123" i="21" s="1"/>
  <c r="V123" i="23" s="1"/>
  <c r="AA122" i="2"/>
  <c r="AX122" i="23" l="1"/>
  <c r="AY121" i="23"/>
  <c r="BD121" i="23"/>
  <c r="AZ121" i="23"/>
  <c r="BB121" i="23"/>
  <c r="BA121" i="23"/>
  <c r="J123" i="2"/>
  <c r="I124" i="2" s="1"/>
  <c r="B123" i="21"/>
  <c r="P123" i="23" s="1"/>
  <c r="F123" i="21"/>
  <c r="T123" i="23" s="1"/>
  <c r="R123" i="2"/>
  <c r="Q124" i="2"/>
  <c r="Z123" i="2"/>
  <c r="Y124" i="2" s="1"/>
  <c r="I124" i="21" s="1"/>
  <c r="W124" i="23" s="1"/>
  <c r="T123" i="2"/>
  <c r="S124" i="2" s="1"/>
  <c r="G124" i="21" s="1"/>
  <c r="U124" i="23" s="1"/>
  <c r="P123" i="2"/>
  <c r="O124" i="2" s="1"/>
  <c r="E124" i="21" s="1"/>
  <c r="S124" i="23" s="1"/>
  <c r="U123" i="2"/>
  <c r="N123" i="2"/>
  <c r="M124" i="2" s="1"/>
  <c r="D124" i="21" s="1"/>
  <c r="R124" i="23" s="1"/>
  <c r="L123" i="2"/>
  <c r="K124" i="2" s="1"/>
  <c r="C124" i="21" s="1"/>
  <c r="Q124" i="23" s="1"/>
  <c r="X123" i="2"/>
  <c r="W124" i="2" s="1"/>
  <c r="H124" i="21" s="1"/>
  <c r="V124" i="23" s="1"/>
  <c r="AA123" i="2"/>
  <c r="AZ122" i="23" l="1"/>
  <c r="BB122" i="23"/>
  <c r="BA122" i="23"/>
  <c r="BD122" i="23"/>
  <c r="AX123" i="23"/>
  <c r="BC122" i="23"/>
  <c r="AY122" i="23"/>
  <c r="J124" i="2"/>
  <c r="I125" i="2" s="1"/>
  <c r="B124" i="21"/>
  <c r="P124" i="23" s="1"/>
  <c r="F124" i="21"/>
  <c r="T124" i="23" s="1"/>
  <c r="R124" i="2"/>
  <c r="Q125" i="2" s="1"/>
  <c r="T124" i="2"/>
  <c r="S125" i="2" s="1"/>
  <c r="G125" i="21" s="1"/>
  <c r="U125" i="23" s="1"/>
  <c r="Z124" i="2"/>
  <c r="Y125" i="2" s="1"/>
  <c r="I125" i="21" s="1"/>
  <c r="W125" i="23" s="1"/>
  <c r="U124" i="2"/>
  <c r="P124" i="2"/>
  <c r="O125" i="2" s="1"/>
  <c r="E125" i="21" s="1"/>
  <c r="S125" i="23" s="1"/>
  <c r="N124" i="2"/>
  <c r="M125" i="2" s="1"/>
  <c r="D125" i="21" s="1"/>
  <c r="R125" i="23" s="1"/>
  <c r="L124" i="2"/>
  <c r="K125" i="2" s="1"/>
  <c r="C125" i="21" s="1"/>
  <c r="Q125" i="23" s="1"/>
  <c r="X124" i="2"/>
  <c r="W125" i="2" s="1"/>
  <c r="H125" i="21" s="1"/>
  <c r="V125" i="23" s="1"/>
  <c r="AA124" i="2"/>
  <c r="AX124" i="23" l="1"/>
  <c r="AY124" i="23" s="1"/>
  <c r="BD123" i="23"/>
  <c r="AZ123" i="23"/>
  <c r="BB123" i="23"/>
  <c r="BA123" i="23"/>
  <c r="BC124" i="23"/>
  <c r="AY123" i="23"/>
  <c r="BC123" i="23"/>
  <c r="J125" i="2"/>
  <c r="I126" i="2" s="1"/>
  <c r="B125" i="21"/>
  <c r="P125" i="23" s="1"/>
  <c r="F125" i="21"/>
  <c r="T125" i="23" s="1"/>
  <c r="R125" i="2"/>
  <c r="Q126" i="2"/>
  <c r="Z125" i="2"/>
  <c r="Y126" i="2" s="1"/>
  <c r="I126" i="21" s="1"/>
  <c r="W126" i="23" s="1"/>
  <c r="N125" i="2"/>
  <c r="M126" i="2" s="1"/>
  <c r="D126" i="21" s="1"/>
  <c r="R126" i="23" s="1"/>
  <c r="T125" i="2"/>
  <c r="S126" i="2" s="1"/>
  <c r="G126" i="21" s="1"/>
  <c r="U126" i="23" s="1"/>
  <c r="P125" i="2"/>
  <c r="O126" i="2" s="1"/>
  <c r="E126" i="21" s="1"/>
  <c r="S126" i="23" s="1"/>
  <c r="U125" i="2"/>
  <c r="L125" i="2"/>
  <c r="K126" i="2" s="1"/>
  <c r="C126" i="21" s="1"/>
  <c r="Q126" i="23" s="1"/>
  <c r="X125" i="2"/>
  <c r="W126" i="2" s="1"/>
  <c r="H126" i="21" s="1"/>
  <c r="V126" i="23" s="1"/>
  <c r="AA125" i="2"/>
  <c r="AX125" i="23" l="1"/>
  <c r="BB124" i="23"/>
  <c r="BD124" i="23"/>
  <c r="BA124" i="23"/>
  <c r="AZ124" i="23"/>
  <c r="J126" i="2"/>
  <c r="I127" i="2" s="1"/>
  <c r="B126" i="21"/>
  <c r="P126" i="23" s="1"/>
  <c r="F126" i="21"/>
  <c r="T126" i="23" s="1"/>
  <c r="R126" i="2"/>
  <c r="Q127" i="2" s="1"/>
  <c r="N126" i="2"/>
  <c r="M127" i="2" s="1"/>
  <c r="D127" i="21" s="1"/>
  <c r="R127" i="23" s="1"/>
  <c r="T126" i="2"/>
  <c r="S127" i="2" s="1"/>
  <c r="G127" i="21" s="1"/>
  <c r="U127" i="23" s="1"/>
  <c r="Z126" i="2"/>
  <c r="Y127" i="2" s="1"/>
  <c r="I127" i="21" s="1"/>
  <c r="W127" i="23" s="1"/>
  <c r="U126" i="2"/>
  <c r="P126" i="2"/>
  <c r="O127" i="2" s="1"/>
  <c r="E127" i="21" s="1"/>
  <c r="S127" i="23" s="1"/>
  <c r="L126" i="2"/>
  <c r="K127" i="2" s="1"/>
  <c r="C127" i="21" s="1"/>
  <c r="Q127" i="23" s="1"/>
  <c r="X126" i="2"/>
  <c r="W127" i="2" s="1"/>
  <c r="H127" i="21" s="1"/>
  <c r="V127" i="23" s="1"/>
  <c r="AA126" i="2"/>
  <c r="AZ125" i="23" l="1"/>
  <c r="BA125" i="23"/>
  <c r="BB125" i="23"/>
  <c r="BD125" i="23"/>
  <c r="AX126" i="23"/>
  <c r="AY126" i="23"/>
  <c r="AY125" i="23"/>
  <c r="BC125" i="23"/>
  <c r="J127" i="2"/>
  <c r="I128" i="2" s="1"/>
  <c r="B127" i="21"/>
  <c r="P127" i="23" s="1"/>
  <c r="AX127" i="23" s="1"/>
  <c r="AY127" i="23" s="1"/>
  <c r="F127" i="21"/>
  <c r="T127" i="23" s="1"/>
  <c r="R127" i="2"/>
  <c r="Q128" i="2"/>
  <c r="U127" i="2"/>
  <c r="Z127" i="2"/>
  <c r="Y128" i="2" s="1"/>
  <c r="I128" i="21" s="1"/>
  <c r="W128" i="23" s="1"/>
  <c r="P127" i="2"/>
  <c r="O128" i="2" s="1"/>
  <c r="E128" i="21" s="1"/>
  <c r="S128" i="23" s="1"/>
  <c r="T127" i="2"/>
  <c r="S128" i="2" s="1"/>
  <c r="G128" i="21" s="1"/>
  <c r="U128" i="23" s="1"/>
  <c r="L127" i="2"/>
  <c r="K128" i="2" s="1"/>
  <c r="C128" i="21" s="1"/>
  <c r="Q128" i="23" s="1"/>
  <c r="N127" i="2"/>
  <c r="M128" i="2" s="1"/>
  <c r="D128" i="21" s="1"/>
  <c r="R128" i="23" s="1"/>
  <c r="X127" i="2"/>
  <c r="W128" i="2" s="1"/>
  <c r="H128" i="21" s="1"/>
  <c r="V128" i="23" s="1"/>
  <c r="AA127" i="2"/>
  <c r="BC127" i="23" l="1"/>
  <c r="BD126" i="23"/>
  <c r="BB126" i="23"/>
  <c r="AZ126" i="23"/>
  <c r="BA126" i="23"/>
  <c r="AZ127" i="23"/>
  <c r="BA127" i="23"/>
  <c r="BD127" i="23"/>
  <c r="BC126" i="23"/>
  <c r="BB127" i="23"/>
  <c r="J128" i="2"/>
  <c r="B128" i="21"/>
  <c r="P128" i="23" s="1"/>
  <c r="F128" i="21"/>
  <c r="T128" i="23" s="1"/>
  <c r="R128" i="2"/>
  <c r="I129" i="2"/>
  <c r="Q129" i="2"/>
  <c r="P128" i="2"/>
  <c r="O129" i="2" s="1"/>
  <c r="E129" i="21" s="1"/>
  <c r="S129" i="23" s="1"/>
  <c r="T128" i="2"/>
  <c r="S129" i="2" s="1"/>
  <c r="G129" i="21" s="1"/>
  <c r="U129" i="23" s="1"/>
  <c r="Z128" i="2"/>
  <c r="Y129" i="2" s="1"/>
  <c r="I129" i="21" s="1"/>
  <c r="W129" i="23" s="1"/>
  <c r="L128" i="2"/>
  <c r="K129" i="2" s="1"/>
  <c r="C129" i="21" s="1"/>
  <c r="Q129" i="23" s="1"/>
  <c r="U128" i="2"/>
  <c r="N128" i="2"/>
  <c r="M129" i="2" s="1"/>
  <c r="D129" i="21" s="1"/>
  <c r="R129" i="23" s="1"/>
  <c r="X128" i="2"/>
  <c r="W129" i="2" s="1"/>
  <c r="H129" i="21" s="1"/>
  <c r="V129" i="23" s="1"/>
  <c r="AA128" i="2"/>
  <c r="AX128" i="23" l="1"/>
  <c r="AY128" i="23"/>
  <c r="BC128" i="23"/>
  <c r="J129" i="2"/>
  <c r="I130" i="2" s="1"/>
  <c r="B129" i="21"/>
  <c r="P129" i="23" s="1"/>
  <c r="AX129" i="23" s="1"/>
  <c r="AY129" i="23" s="1"/>
  <c r="F129" i="21"/>
  <c r="T129" i="23" s="1"/>
  <c r="R129" i="2"/>
  <c r="Q130" i="2" s="1"/>
  <c r="T129" i="2"/>
  <c r="S130" i="2" s="1"/>
  <c r="G130" i="21" s="1"/>
  <c r="U130" i="23" s="1"/>
  <c r="Z129" i="2"/>
  <c r="Y130" i="2" s="1"/>
  <c r="I130" i="21" s="1"/>
  <c r="W130" i="23" s="1"/>
  <c r="P129" i="2"/>
  <c r="O130" i="2" s="1"/>
  <c r="E130" i="21" s="1"/>
  <c r="S130" i="23" s="1"/>
  <c r="N129" i="2"/>
  <c r="M130" i="2" s="1"/>
  <c r="D130" i="21" s="1"/>
  <c r="R130" i="23" s="1"/>
  <c r="L129" i="2"/>
  <c r="K130" i="2" s="1"/>
  <c r="C130" i="21" s="1"/>
  <c r="Q130" i="23" s="1"/>
  <c r="U129" i="2"/>
  <c r="X129" i="2"/>
  <c r="W130" i="2" s="1"/>
  <c r="H130" i="21" s="1"/>
  <c r="V130" i="23" s="1"/>
  <c r="AA129" i="2"/>
  <c r="BD129" i="23" l="1"/>
  <c r="BA129" i="23"/>
  <c r="BC129" i="23"/>
  <c r="BB129" i="23"/>
  <c r="BA128" i="23"/>
  <c r="BB128" i="23"/>
  <c r="BD128" i="23"/>
  <c r="AZ128" i="23"/>
  <c r="AZ129" i="23"/>
  <c r="J130" i="2"/>
  <c r="I131" i="2" s="1"/>
  <c r="J131" i="2" s="1"/>
  <c r="B130" i="21"/>
  <c r="P130" i="23" s="1"/>
  <c r="F130" i="21"/>
  <c r="T130" i="23" s="1"/>
  <c r="R130" i="2"/>
  <c r="Q131" i="2" s="1"/>
  <c r="Z130" i="2"/>
  <c r="Y131" i="2" s="1"/>
  <c r="I131" i="21" s="1"/>
  <c r="W131" i="23" s="1"/>
  <c r="U130" i="2"/>
  <c r="T130" i="2"/>
  <c r="S131" i="2" s="1"/>
  <c r="G131" i="21" s="1"/>
  <c r="U131" i="23" s="1"/>
  <c r="N130" i="2"/>
  <c r="M131" i="2" s="1"/>
  <c r="D131" i="21" s="1"/>
  <c r="R131" i="23" s="1"/>
  <c r="P130" i="2"/>
  <c r="O131" i="2" s="1"/>
  <c r="E131" i="21" s="1"/>
  <c r="S131" i="23" s="1"/>
  <c r="L130" i="2"/>
  <c r="K131" i="2" s="1"/>
  <c r="C131" i="21" s="1"/>
  <c r="Q131" i="23" s="1"/>
  <c r="X130" i="2"/>
  <c r="W131" i="2" s="1"/>
  <c r="H131" i="21" s="1"/>
  <c r="V131" i="23" s="1"/>
  <c r="AA130" i="2"/>
  <c r="AX130" i="23" l="1"/>
  <c r="AY130" i="23"/>
  <c r="BC130" i="23"/>
  <c r="B131" i="21"/>
  <c r="P131" i="23" s="1"/>
  <c r="F131" i="21"/>
  <c r="T131" i="23" s="1"/>
  <c r="R131" i="2"/>
  <c r="Q132" i="2" s="1"/>
  <c r="I132" i="2"/>
  <c r="Z131" i="2"/>
  <c r="Y132" i="2" s="1"/>
  <c r="I132" i="21" s="1"/>
  <c r="W132" i="23" s="1"/>
  <c r="N131" i="2"/>
  <c r="M132" i="2" s="1"/>
  <c r="D132" i="21" s="1"/>
  <c r="R132" i="23" s="1"/>
  <c r="P131" i="2"/>
  <c r="O132" i="2" s="1"/>
  <c r="E132" i="21" s="1"/>
  <c r="S132" i="23" s="1"/>
  <c r="U131" i="2"/>
  <c r="T131" i="2"/>
  <c r="S132" i="2" s="1"/>
  <c r="G132" i="21" s="1"/>
  <c r="U132" i="23" s="1"/>
  <c r="L131" i="2"/>
  <c r="K132" i="2" s="1"/>
  <c r="C132" i="21" s="1"/>
  <c r="Q132" i="23" s="1"/>
  <c r="X131" i="2"/>
  <c r="W132" i="2" s="1"/>
  <c r="H132" i="21" s="1"/>
  <c r="V132" i="23" s="1"/>
  <c r="AA131" i="2"/>
  <c r="AX131" i="23" l="1"/>
  <c r="AZ130" i="23"/>
  <c r="BB130" i="23"/>
  <c r="BD130" i="23"/>
  <c r="BA130" i="23"/>
  <c r="J132" i="2"/>
  <c r="B132" i="21"/>
  <c r="P132" i="23" s="1"/>
  <c r="F132" i="21"/>
  <c r="T132" i="23" s="1"/>
  <c r="R132" i="2"/>
  <c r="Q133" i="2" s="1"/>
  <c r="I133" i="2"/>
  <c r="J133" i="2" s="1"/>
  <c r="Z132" i="2"/>
  <c r="Y133" i="2" s="1"/>
  <c r="I133" i="21" s="1"/>
  <c r="W133" i="23" s="1"/>
  <c r="P132" i="2"/>
  <c r="O133" i="2" s="1"/>
  <c r="E133" i="21" s="1"/>
  <c r="S133" i="23" s="1"/>
  <c r="T132" i="2"/>
  <c r="S133" i="2" s="1"/>
  <c r="G133" i="21" s="1"/>
  <c r="U133" i="23" s="1"/>
  <c r="N132" i="2"/>
  <c r="M133" i="2" s="1"/>
  <c r="D133" i="21" s="1"/>
  <c r="R133" i="23" s="1"/>
  <c r="U132" i="2"/>
  <c r="L132" i="2"/>
  <c r="K133" i="2" s="1"/>
  <c r="C133" i="21" s="1"/>
  <c r="Q133" i="23" s="1"/>
  <c r="X132" i="2"/>
  <c r="W133" i="2" s="1"/>
  <c r="H133" i="21" s="1"/>
  <c r="V133" i="23" s="1"/>
  <c r="AA132" i="2"/>
  <c r="AX132" i="23" l="1"/>
  <c r="AY131" i="23"/>
  <c r="BD131" i="23"/>
  <c r="BB131" i="23"/>
  <c r="AZ131" i="23"/>
  <c r="BA131" i="23"/>
  <c r="BC131" i="23"/>
  <c r="I134" i="2"/>
  <c r="B133" i="21"/>
  <c r="P133" i="23" s="1"/>
  <c r="AX133" i="23" s="1"/>
  <c r="AY133" i="23" s="1"/>
  <c r="F133" i="21"/>
  <c r="T133" i="23" s="1"/>
  <c r="R133" i="2"/>
  <c r="Q134" i="2" s="1"/>
  <c r="N133" i="2"/>
  <c r="M134" i="2" s="1"/>
  <c r="D134" i="21" s="1"/>
  <c r="R134" i="23" s="1"/>
  <c r="P133" i="2"/>
  <c r="O134" i="2" s="1"/>
  <c r="E134" i="21" s="1"/>
  <c r="S134" i="23" s="1"/>
  <c r="T133" i="2"/>
  <c r="S134" i="2" s="1"/>
  <c r="G134" i="21" s="1"/>
  <c r="U134" i="23" s="1"/>
  <c r="U133" i="2"/>
  <c r="Z133" i="2"/>
  <c r="Y134" i="2" s="1"/>
  <c r="I134" i="21" s="1"/>
  <c r="W134" i="23" s="1"/>
  <c r="L133" i="2"/>
  <c r="K134" i="2" s="1"/>
  <c r="C134" i="21" s="1"/>
  <c r="Q134" i="23" s="1"/>
  <c r="X133" i="2"/>
  <c r="W134" i="2" s="1"/>
  <c r="H134" i="21" s="1"/>
  <c r="V134" i="23" s="1"/>
  <c r="AA133" i="2"/>
  <c r="BD133" i="23" l="1"/>
  <c r="BB133" i="23"/>
  <c r="BB132" i="23"/>
  <c r="AZ132" i="23"/>
  <c r="BA132" i="23"/>
  <c r="BD132" i="23"/>
  <c r="BC133" i="23"/>
  <c r="BC132" i="23"/>
  <c r="BA133" i="23"/>
  <c r="AY132" i="23"/>
  <c r="AZ133" i="23"/>
  <c r="J134" i="2"/>
  <c r="I135" i="2" s="1"/>
  <c r="B134" i="21"/>
  <c r="P134" i="23" s="1"/>
  <c r="F134" i="21"/>
  <c r="T134" i="23" s="1"/>
  <c r="R134" i="2"/>
  <c r="Q135" i="2" s="1"/>
  <c r="P134" i="2"/>
  <c r="O135" i="2" s="1"/>
  <c r="E135" i="21" s="1"/>
  <c r="S135" i="23" s="1"/>
  <c r="Z134" i="2"/>
  <c r="Y135" i="2" s="1"/>
  <c r="I135" i="21" s="1"/>
  <c r="W135" i="23" s="1"/>
  <c r="T134" i="2"/>
  <c r="S135" i="2" s="1"/>
  <c r="G135" i="21" s="1"/>
  <c r="U135" i="23" s="1"/>
  <c r="N134" i="2"/>
  <c r="M135" i="2" s="1"/>
  <c r="D135" i="21" s="1"/>
  <c r="R135" i="23" s="1"/>
  <c r="L134" i="2"/>
  <c r="K135" i="2" s="1"/>
  <c r="C135" i="21" s="1"/>
  <c r="Q135" i="23" s="1"/>
  <c r="U134" i="2"/>
  <c r="X134" i="2"/>
  <c r="W135" i="2" s="1"/>
  <c r="H135" i="21" s="1"/>
  <c r="V135" i="23" s="1"/>
  <c r="AA134" i="2"/>
  <c r="AX134" i="23" l="1"/>
  <c r="J135" i="2"/>
  <c r="B135" i="21"/>
  <c r="P135" i="23" s="1"/>
  <c r="F135" i="21"/>
  <c r="T135" i="23" s="1"/>
  <c r="R135" i="2"/>
  <c r="Q136" i="2" s="1"/>
  <c r="I136" i="2"/>
  <c r="Z135" i="2"/>
  <c r="Y136" i="2" s="1"/>
  <c r="I136" i="21" s="1"/>
  <c r="W136" i="23" s="1"/>
  <c r="T135" i="2"/>
  <c r="S136" i="2" s="1"/>
  <c r="G136" i="21" s="1"/>
  <c r="U136" i="23" s="1"/>
  <c r="N135" i="2"/>
  <c r="M136" i="2" s="1"/>
  <c r="D136" i="21" s="1"/>
  <c r="R136" i="23" s="1"/>
  <c r="P135" i="2"/>
  <c r="O136" i="2" s="1"/>
  <c r="E136" i="21" s="1"/>
  <c r="S136" i="23" s="1"/>
  <c r="U135" i="2"/>
  <c r="L135" i="2"/>
  <c r="K136" i="2" s="1"/>
  <c r="C136" i="21" s="1"/>
  <c r="Q136" i="23" s="1"/>
  <c r="X135" i="2"/>
  <c r="W136" i="2" s="1"/>
  <c r="H136" i="21" s="1"/>
  <c r="V136" i="23" s="1"/>
  <c r="AA135" i="2"/>
  <c r="AZ134" i="23" l="1"/>
  <c r="BD134" i="23"/>
  <c r="BB134" i="23"/>
  <c r="BA134" i="23"/>
  <c r="BC134" i="23"/>
  <c r="AX135" i="23"/>
  <c r="AY134" i="23"/>
  <c r="J136" i="2"/>
  <c r="B136" i="21"/>
  <c r="P136" i="23" s="1"/>
  <c r="F136" i="21"/>
  <c r="T136" i="23" s="1"/>
  <c r="R136" i="2"/>
  <c r="Z136" i="2"/>
  <c r="P136" i="2"/>
  <c r="N136" i="2"/>
  <c r="T136" i="2"/>
  <c r="U136" i="2"/>
  <c r="L136" i="2"/>
  <c r="X136" i="2"/>
  <c r="AA136" i="2"/>
  <c r="AX136" i="23" l="1"/>
  <c r="AY136" i="23"/>
  <c r="BC136" i="23"/>
  <c r="AY135" i="23"/>
  <c r="AZ135" i="23"/>
  <c r="BB135" i="23"/>
  <c r="BA135" i="23"/>
  <c r="BD135" i="23"/>
  <c r="BC135" i="23"/>
  <c r="F12" i="14" a="1"/>
  <c r="BB136" i="23" l="1"/>
  <c r="AZ136" i="23"/>
  <c r="BD136" i="23"/>
  <c r="BA136" i="23"/>
  <c r="F18" i="14"/>
  <c r="F13" i="14"/>
  <c r="F17" i="14"/>
  <c r="F12" i="14"/>
  <c r="F19" i="14"/>
  <c r="F15" i="14"/>
  <c r="F14" i="14"/>
  <c r="F16" i="14"/>
  <c r="F22" i="14" l="1" a="1"/>
  <c r="F27" i="14" s="1"/>
  <c r="F26" i="14" l="1"/>
  <c r="F23" i="14"/>
  <c r="F24" i="14"/>
  <c r="F25" i="14"/>
  <c r="F29" i="14"/>
  <c r="F28" i="14"/>
  <c r="F22" i="14"/>
  <c r="F32" i="14" l="1" a="1"/>
  <c r="F39" i="14" s="1"/>
  <c r="F34" i="14" l="1"/>
  <c r="F35" i="14"/>
  <c r="F33" i="14"/>
  <c r="F36" i="14"/>
  <c r="F32" i="14"/>
  <c r="F38" i="14"/>
  <c r="F37" i="14"/>
  <c r="F42" i="14" l="1" a="1"/>
  <c r="F45" i="14" s="1"/>
  <c r="F42" i="14" l="1"/>
  <c r="F47" i="14"/>
  <c r="F49" i="14"/>
  <c r="F48" i="14"/>
  <c r="F43" i="14"/>
  <c r="F46" i="14"/>
  <c r="F44" i="14"/>
  <c r="F52" i="14" l="1" a="1"/>
  <c r="F59" i="14" s="1"/>
  <c r="F53" i="14" l="1"/>
  <c r="F55" i="14"/>
  <c r="F58" i="14"/>
  <c r="F52" i="14"/>
  <c r="F57" i="14"/>
  <c r="F56" i="14"/>
  <c r="F54" i="14"/>
  <c r="AC13" i="14" l="1" a="1"/>
  <c r="AC10" i="14" a="1"/>
  <c r="AC14" i="14" a="1"/>
  <c r="AC6" i="14" a="1"/>
  <c r="AC11" i="14" a="1"/>
  <c r="AC3" i="14" a="1"/>
  <c r="AC5" i="14" a="1"/>
  <c r="AC12" i="14" a="1"/>
  <c r="AC4" i="14" a="1"/>
  <c r="AC8" i="14" a="1"/>
  <c r="AC7" i="14" a="1"/>
  <c r="AC9" i="14" a="1"/>
  <c r="AI9" i="14" l="1"/>
  <c r="Q9" i="21" s="1"/>
  <c r="AC9" i="14"/>
  <c r="K9" i="21" s="1"/>
  <c r="AD9" i="14"/>
  <c r="L9" i="21" s="1"/>
  <c r="AF9" i="14"/>
  <c r="N9" i="21" s="1"/>
  <c r="AJ9" i="14"/>
  <c r="R9" i="21" s="1"/>
  <c r="AE9" i="14"/>
  <c r="M9" i="21" s="1"/>
  <c r="AH9" i="14"/>
  <c r="P9" i="21" s="1"/>
  <c r="AG9" i="14"/>
  <c r="O9" i="21" s="1"/>
  <c r="AJ8" i="14"/>
  <c r="R8" i="21" s="1"/>
  <c r="AH8" i="14"/>
  <c r="P8" i="21" s="1"/>
  <c r="AE8" i="14"/>
  <c r="M8" i="21" s="1"/>
  <c r="AI8" i="14"/>
  <c r="Q8" i="21" s="1"/>
  <c r="AF8" i="14"/>
  <c r="N8" i="21" s="1"/>
  <c r="AC8" i="14"/>
  <c r="K8" i="21" s="1"/>
  <c r="AG8" i="14"/>
  <c r="O8" i="21" s="1"/>
  <c r="AD8" i="14"/>
  <c r="L8" i="21" s="1"/>
  <c r="AJ12" i="14"/>
  <c r="R12" i="21" s="1"/>
  <c r="AF12" i="14"/>
  <c r="N12" i="21" s="1"/>
  <c r="AE12" i="14"/>
  <c r="M12" i="21" s="1"/>
  <c r="AI12" i="14"/>
  <c r="Q12" i="21" s="1"/>
  <c r="AD12" i="14"/>
  <c r="L12" i="21" s="1"/>
  <c r="AH12" i="14"/>
  <c r="P12" i="21" s="1"/>
  <c r="AC12" i="14"/>
  <c r="K12" i="21" s="1"/>
  <c r="AG12" i="14"/>
  <c r="O12" i="21" s="1"/>
  <c r="AJ3" i="14"/>
  <c r="R3" i="21" s="1"/>
  <c r="AG3" i="14"/>
  <c r="O3" i="21" s="1"/>
  <c r="AC3" i="14"/>
  <c r="K3" i="21" s="1"/>
  <c r="AI3" i="14"/>
  <c r="Q3" i="21" s="1"/>
  <c r="AE3" i="14"/>
  <c r="M3" i="21" s="1"/>
  <c r="AD3" i="14"/>
  <c r="L3" i="21" s="1"/>
  <c r="AF3" i="14"/>
  <c r="N3" i="21" s="1"/>
  <c r="AH3" i="14"/>
  <c r="P3" i="21" s="1"/>
  <c r="AJ6" i="14"/>
  <c r="R6" i="21" s="1"/>
  <c r="AF6" i="14"/>
  <c r="N6" i="21" s="1"/>
  <c r="AC6" i="14"/>
  <c r="K6" i="21" s="1"/>
  <c r="AG6" i="14"/>
  <c r="O6" i="21" s="1"/>
  <c r="AD6" i="14"/>
  <c r="L6" i="21" s="1"/>
  <c r="AH6" i="14"/>
  <c r="P6" i="21" s="1"/>
  <c r="AE6" i="14"/>
  <c r="M6" i="21" s="1"/>
  <c r="AI6" i="14"/>
  <c r="Q6" i="21" s="1"/>
  <c r="AJ10" i="14"/>
  <c r="R10" i="21" s="1"/>
  <c r="AG10" i="14"/>
  <c r="O10" i="21" s="1"/>
  <c r="AF10" i="14"/>
  <c r="N10" i="21" s="1"/>
  <c r="AE10" i="14"/>
  <c r="M10" i="21" s="1"/>
  <c r="AI10" i="14"/>
  <c r="Q10" i="21" s="1"/>
  <c r="AD10" i="14"/>
  <c r="L10" i="21" s="1"/>
  <c r="AH10" i="14"/>
  <c r="P10" i="21" s="1"/>
  <c r="AC10" i="14"/>
  <c r="K10" i="21" s="1"/>
  <c r="AJ7" i="14"/>
  <c r="R7" i="21" s="1"/>
  <c r="AG7" i="14"/>
  <c r="O7" i="21" s="1"/>
  <c r="AC7" i="14"/>
  <c r="K7" i="21" s="1"/>
  <c r="AI7" i="14"/>
  <c r="Q7" i="21" s="1"/>
  <c r="AE7" i="14"/>
  <c r="M7" i="21" s="1"/>
  <c r="AF7" i="14"/>
  <c r="N7" i="21" s="1"/>
  <c r="AD7" i="14"/>
  <c r="L7" i="21" s="1"/>
  <c r="AH7" i="14"/>
  <c r="P7" i="21" s="1"/>
  <c r="AJ4" i="14"/>
  <c r="R4" i="21" s="1"/>
  <c r="AI4" i="14"/>
  <c r="Q4" i="21" s="1"/>
  <c r="AC4" i="14"/>
  <c r="K4" i="21" s="1"/>
  <c r="AG4" i="14"/>
  <c r="O4" i="21" s="1"/>
  <c r="AD4" i="14"/>
  <c r="L4" i="21" s="1"/>
  <c r="AH4" i="14"/>
  <c r="P4" i="21" s="1"/>
  <c r="AE4" i="14"/>
  <c r="M4" i="21" s="1"/>
  <c r="AF4" i="14"/>
  <c r="N4" i="21" s="1"/>
  <c r="AI5" i="14"/>
  <c r="Q5" i="21" s="1"/>
  <c r="AC5" i="14"/>
  <c r="K5" i="21" s="1"/>
  <c r="AE5" i="14"/>
  <c r="M5" i="21" s="1"/>
  <c r="AJ5" i="14"/>
  <c r="R5" i="21" s="1"/>
  <c r="AD5" i="14"/>
  <c r="L5" i="21" s="1"/>
  <c r="AH5" i="14"/>
  <c r="P5" i="21" s="1"/>
  <c r="AF5" i="14"/>
  <c r="N5" i="21" s="1"/>
  <c r="AG5" i="14"/>
  <c r="O5" i="21" s="1"/>
  <c r="AI11" i="14"/>
  <c r="Q11" i="21" s="1"/>
  <c r="AE11" i="14"/>
  <c r="M11" i="21" s="1"/>
  <c r="AC11" i="14"/>
  <c r="K11" i="21" s="1"/>
  <c r="AH11" i="14"/>
  <c r="P11" i="21" s="1"/>
  <c r="AF11" i="14"/>
  <c r="N11" i="21" s="1"/>
  <c r="AJ11" i="14"/>
  <c r="R11" i="21" s="1"/>
  <c r="AD11" i="14"/>
  <c r="L11" i="21" s="1"/>
  <c r="AG11" i="14"/>
  <c r="O11" i="21" s="1"/>
  <c r="AJ14" i="14"/>
  <c r="R14" i="21" s="1"/>
  <c r="AI14" i="14"/>
  <c r="Q14" i="21" s="1"/>
  <c r="AH14" i="14"/>
  <c r="P14" i="21" s="1"/>
  <c r="AC14" i="14"/>
  <c r="K14" i="21" s="1"/>
  <c r="AG14" i="14"/>
  <c r="O14" i="21" s="1"/>
  <c r="AF14" i="14"/>
  <c r="N14" i="21" s="1"/>
  <c r="AE14" i="14"/>
  <c r="M14" i="21" s="1"/>
  <c r="AD14" i="14"/>
  <c r="L14" i="21" s="1"/>
  <c r="AJ13" i="14"/>
  <c r="R13" i="21" s="1"/>
  <c r="AI13" i="14"/>
  <c r="Q13" i="21" s="1"/>
  <c r="AE13" i="14"/>
  <c r="M13" i="21" s="1"/>
  <c r="AG13" i="14"/>
  <c r="O13" i="21" s="1"/>
  <c r="AC13" i="14"/>
  <c r="K13" i="21" s="1"/>
  <c r="AD13" i="14"/>
  <c r="L13" i="21" s="1"/>
  <c r="AF13" i="14"/>
  <c r="N13" i="21" s="1"/>
  <c r="AH13" i="14"/>
  <c r="P13" i="21" s="1"/>
  <c r="G12" i="14" l="1" a="1"/>
  <c r="G19" i="14" s="1"/>
  <c r="G13" i="14" l="1"/>
  <c r="G12" i="14"/>
  <c r="G15" i="14"/>
  <c r="G16" i="14"/>
  <c r="G18" i="14"/>
  <c r="G17" i="14"/>
  <c r="G14" i="14"/>
  <c r="G22" i="14" l="1" a="1"/>
  <c r="G22" i="14" s="1"/>
  <c r="G29" i="14" l="1"/>
  <c r="G28" i="14"/>
  <c r="G25" i="14"/>
  <c r="G24" i="14"/>
  <c r="G27" i="14"/>
  <c r="G23" i="14"/>
  <c r="G26" i="14"/>
  <c r="G32" i="14" l="1" a="1"/>
  <c r="G38" i="14" s="1"/>
  <c r="G39" i="14" l="1"/>
  <c r="G33" i="14"/>
  <c r="G32" i="14"/>
  <c r="G35" i="14"/>
  <c r="G36" i="14"/>
  <c r="G37" i="14"/>
  <c r="G34" i="14"/>
  <c r="G42" i="14" l="1" a="1"/>
  <c r="G43" i="14" s="1"/>
  <c r="G47" i="14" l="1"/>
  <c r="G49" i="14"/>
  <c r="G42" i="14"/>
  <c r="G48" i="14"/>
  <c r="G46" i="14"/>
  <c r="G44" i="14"/>
  <c r="G45" i="14"/>
  <c r="G52" i="14" l="1" a="1"/>
  <c r="G55" i="14" s="1"/>
  <c r="G52" i="14" l="1"/>
  <c r="G53" i="14"/>
  <c r="G59" i="14"/>
  <c r="G58" i="14"/>
  <c r="G56" i="14"/>
  <c r="G54" i="14"/>
  <c r="G57" i="14"/>
  <c r="AC25" i="14" l="1" a="1"/>
  <c r="AJ25" i="14" s="1"/>
  <c r="R25" i="21" s="1"/>
  <c r="AC22" i="14" a="1"/>
  <c r="AC18" i="14" a="1"/>
  <c r="AC15" i="14" a="1"/>
  <c r="AC17" i="14" a="1"/>
  <c r="AC24" i="14" a="1"/>
  <c r="AC26" i="14" a="1"/>
  <c r="AC23" i="14" a="1"/>
  <c r="AC16" i="14" a="1"/>
  <c r="AC19" i="14" a="1"/>
  <c r="AC20" i="14" a="1"/>
  <c r="AC21" i="14" a="1"/>
  <c r="AH25" i="14" l="1"/>
  <c r="P25" i="21" s="1"/>
  <c r="AG25" i="14"/>
  <c r="O25" i="21" s="1"/>
  <c r="AF25" i="14"/>
  <c r="N25" i="21" s="1"/>
  <c r="AI25" i="14"/>
  <c r="Q25" i="21" s="1"/>
  <c r="AD25" i="14"/>
  <c r="L25" i="21" s="1"/>
  <c r="AC25" i="14"/>
  <c r="K25" i="21" s="1"/>
  <c r="AE25" i="14"/>
  <c r="M25" i="21" s="1"/>
  <c r="AI21" i="14"/>
  <c r="Q21" i="21" s="1"/>
  <c r="AD21" i="14"/>
  <c r="L21" i="21" s="1"/>
  <c r="AH21" i="14"/>
  <c r="P21" i="21" s="1"/>
  <c r="AC21" i="14"/>
  <c r="K21" i="21" s="1"/>
  <c r="AF21" i="14"/>
  <c r="N21" i="21" s="1"/>
  <c r="AJ21" i="14"/>
  <c r="R21" i="21" s="1"/>
  <c r="AE21" i="14"/>
  <c r="M21" i="21" s="1"/>
  <c r="AG21" i="14"/>
  <c r="O21" i="21" s="1"/>
  <c r="AJ20" i="14"/>
  <c r="R20" i="21" s="1"/>
  <c r="AC20" i="14"/>
  <c r="K20" i="21" s="1"/>
  <c r="AG20" i="14"/>
  <c r="O20" i="21" s="1"/>
  <c r="AE20" i="14"/>
  <c r="M20" i="21" s="1"/>
  <c r="AI20" i="14"/>
  <c r="Q20" i="21" s="1"/>
  <c r="AD20" i="14"/>
  <c r="L20" i="21" s="1"/>
  <c r="AH20" i="14"/>
  <c r="P20" i="21" s="1"/>
  <c r="AF20" i="14"/>
  <c r="N20" i="21" s="1"/>
  <c r="AJ16" i="14"/>
  <c r="R16" i="21" s="1"/>
  <c r="AC16" i="14"/>
  <c r="K16" i="21" s="1"/>
  <c r="AG16" i="14"/>
  <c r="O16" i="21" s="1"/>
  <c r="AF16" i="14"/>
  <c r="N16" i="21" s="1"/>
  <c r="AE16" i="14"/>
  <c r="M16" i="21" s="1"/>
  <c r="AI16" i="14"/>
  <c r="Q16" i="21" s="1"/>
  <c r="AD16" i="14"/>
  <c r="L16" i="21" s="1"/>
  <c r="AH16" i="14"/>
  <c r="P16" i="21" s="1"/>
  <c r="AJ26" i="14"/>
  <c r="R26" i="21" s="1"/>
  <c r="AC26" i="14"/>
  <c r="K26" i="21" s="1"/>
  <c r="AG26" i="14"/>
  <c r="O26" i="21" s="1"/>
  <c r="AE26" i="14"/>
  <c r="M26" i="21" s="1"/>
  <c r="AI26" i="14"/>
  <c r="Q26" i="21" s="1"/>
  <c r="AD26" i="14"/>
  <c r="L26" i="21" s="1"/>
  <c r="AH26" i="14"/>
  <c r="P26" i="21" s="1"/>
  <c r="AF26" i="14"/>
  <c r="N26" i="21" s="1"/>
  <c r="AI17" i="14"/>
  <c r="Q17" i="21" s="1"/>
  <c r="AD17" i="14"/>
  <c r="L17" i="21" s="1"/>
  <c r="AH17" i="14"/>
  <c r="P17" i="21" s="1"/>
  <c r="AC17" i="14"/>
  <c r="K17" i="21" s="1"/>
  <c r="AF17" i="14"/>
  <c r="N17" i="21" s="1"/>
  <c r="AJ17" i="14"/>
  <c r="R17" i="21" s="1"/>
  <c r="AE17" i="14"/>
  <c r="M17" i="21" s="1"/>
  <c r="AG17" i="14"/>
  <c r="O17" i="21" s="1"/>
  <c r="AJ18" i="14"/>
  <c r="R18" i="21" s="1"/>
  <c r="AC18" i="14"/>
  <c r="K18" i="21" s="1"/>
  <c r="AG18" i="14"/>
  <c r="O18" i="21" s="1"/>
  <c r="AF18" i="14"/>
  <c r="N18" i="21" s="1"/>
  <c r="AE18" i="14"/>
  <c r="M18" i="21" s="1"/>
  <c r="AI18" i="14"/>
  <c r="Q18" i="21" s="1"/>
  <c r="AD18" i="14"/>
  <c r="L18" i="21" s="1"/>
  <c r="AH18" i="14"/>
  <c r="P18" i="21" s="1"/>
  <c r="AI19" i="14"/>
  <c r="Q19" i="21" s="1"/>
  <c r="AD19" i="14"/>
  <c r="L19" i="21" s="1"/>
  <c r="AH19" i="14"/>
  <c r="P19" i="21" s="1"/>
  <c r="AG19" i="14"/>
  <c r="O19" i="21" s="1"/>
  <c r="AF19" i="14"/>
  <c r="N19" i="21" s="1"/>
  <c r="AJ19" i="14"/>
  <c r="R19" i="21" s="1"/>
  <c r="AE19" i="14"/>
  <c r="M19" i="21" s="1"/>
  <c r="AC19" i="14"/>
  <c r="K19" i="21" s="1"/>
  <c r="AJ23" i="14"/>
  <c r="R23" i="21" s="1"/>
  <c r="AI23" i="14"/>
  <c r="Q23" i="21" s="1"/>
  <c r="AE23" i="14"/>
  <c r="M23" i="21" s="1"/>
  <c r="AG23" i="14"/>
  <c r="O23" i="21" s="1"/>
  <c r="AC23" i="14"/>
  <c r="K23" i="21" s="1"/>
  <c r="AD23" i="14"/>
  <c r="L23" i="21" s="1"/>
  <c r="AH23" i="14"/>
  <c r="P23" i="21" s="1"/>
  <c r="AF23" i="14"/>
  <c r="N23" i="21" s="1"/>
  <c r="AJ24" i="14"/>
  <c r="R24" i="21" s="1"/>
  <c r="AE24" i="14"/>
  <c r="M24" i="21" s="1"/>
  <c r="AI24" i="14"/>
  <c r="Q24" i="21" s="1"/>
  <c r="AH24" i="14"/>
  <c r="P24" i="21" s="1"/>
  <c r="AC24" i="14"/>
  <c r="K24" i="21" s="1"/>
  <c r="AG24" i="14"/>
  <c r="O24" i="21" s="1"/>
  <c r="AF24" i="14"/>
  <c r="N24" i="21" s="1"/>
  <c r="AD24" i="14"/>
  <c r="L24" i="21" s="1"/>
  <c r="AI15" i="14"/>
  <c r="Q15" i="21" s="1"/>
  <c r="AD15" i="14"/>
  <c r="L15" i="21" s="1"/>
  <c r="AH15" i="14"/>
  <c r="P15" i="21" s="1"/>
  <c r="AG15" i="14"/>
  <c r="O15" i="21" s="1"/>
  <c r="AF15" i="14"/>
  <c r="N15" i="21" s="1"/>
  <c r="AJ15" i="14"/>
  <c r="R15" i="21" s="1"/>
  <c r="AE15" i="14"/>
  <c r="M15" i="21" s="1"/>
  <c r="AC15" i="14"/>
  <c r="K15" i="21" s="1"/>
  <c r="AJ22" i="14"/>
  <c r="R22" i="21" s="1"/>
  <c r="AC22" i="14"/>
  <c r="K22" i="21" s="1"/>
  <c r="AG22" i="14"/>
  <c r="O22" i="21" s="1"/>
  <c r="AF22" i="14"/>
  <c r="N22" i="21" s="1"/>
  <c r="AE22" i="14"/>
  <c r="M22" i="21" s="1"/>
  <c r="AI22" i="14"/>
  <c r="Q22" i="21" s="1"/>
  <c r="AD22" i="14"/>
  <c r="L22" i="21" s="1"/>
  <c r="AH22" i="14"/>
  <c r="P22" i="21" s="1"/>
  <c r="H12" i="14" l="1" a="1"/>
  <c r="H17" i="14" l="1"/>
  <c r="H14" i="14"/>
  <c r="H16" i="14"/>
  <c r="H12" i="14"/>
  <c r="H19" i="14"/>
  <c r="H18" i="14"/>
  <c r="H13" i="14"/>
  <c r="H15" i="14"/>
  <c r="H22" i="14" l="1" a="1"/>
  <c r="H25" i="14" l="1"/>
  <c r="H29" i="14"/>
  <c r="H27" i="14"/>
  <c r="H22" i="14"/>
  <c r="H24" i="14"/>
  <c r="H23" i="14"/>
  <c r="H28" i="14"/>
  <c r="H26" i="14"/>
  <c r="H32" i="14" l="1" a="1"/>
  <c r="H39" i="14" l="1"/>
  <c r="H37" i="14"/>
  <c r="H35" i="14"/>
  <c r="H32" i="14"/>
  <c r="H36" i="14"/>
  <c r="H33" i="14"/>
  <c r="H38" i="14"/>
  <c r="H34" i="14"/>
  <c r="H42" i="14" l="1" a="1"/>
  <c r="H49" i="14" l="1"/>
  <c r="H44" i="14"/>
  <c r="H47" i="14"/>
  <c r="H42" i="14"/>
  <c r="H48" i="14"/>
  <c r="H43" i="14"/>
  <c r="H45" i="14"/>
  <c r="H46" i="14"/>
  <c r="H52" i="14" l="1" a="1"/>
  <c r="H58" i="14" l="1"/>
  <c r="H52" i="14"/>
  <c r="H57" i="14"/>
  <c r="H53" i="14"/>
  <c r="H56" i="14"/>
  <c r="H59" i="14"/>
  <c r="H55" i="14"/>
  <c r="H54" i="14"/>
  <c r="AC38" i="14" l="1" a="1"/>
  <c r="AC28" i="14" a="1"/>
  <c r="AC30" i="14" a="1"/>
  <c r="AC32" i="14" a="1"/>
  <c r="AC29" i="14" a="1"/>
  <c r="AC31" i="14" a="1"/>
  <c r="AC35" i="14" a="1"/>
  <c r="AC27" i="14" a="1"/>
  <c r="AC36" i="14" a="1"/>
  <c r="AC34" i="14" a="1"/>
  <c r="AC37" i="14" a="1"/>
  <c r="AC33" i="14" a="1"/>
  <c r="AJ37" i="14" l="1"/>
  <c r="R37" i="21" s="1"/>
  <c r="AG37" i="14"/>
  <c r="O37" i="21" s="1"/>
  <c r="AC37" i="14"/>
  <c r="K37" i="21" s="1"/>
  <c r="AI37" i="14"/>
  <c r="Q37" i="21" s="1"/>
  <c r="AE37" i="14"/>
  <c r="M37" i="21" s="1"/>
  <c r="AF37" i="14"/>
  <c r="N37" i="21" s="1"/>
  <c r="AD37" i="14"/>
  <c r="L37" i="21" s="1"/>
  <c r="AH37" i="14"/>
  <c r="P37" i="21" s="1"/>
  <c r="AI33" i="14"/>
  <c r="Q33" i="21" s="1"/>
  <c r="AG33" i="14"/>
  <c r="O33" i="21" s="1"/>
  <c r="AC33" i="14"/>
  <c r="K33" i="21" s="1"/>
  <c r="AE33" i="14"/>
  <c r="M33" i="21" s="1"/>
  <c r="AF33" i="14"/>
  <c r="N33" i="21" s="1"/>
  <c r="AJ33" i="14"/>
  <c r="R33" i="21" s="1"/>
  <c r="AD33" i="14"/>
  <c r="L33" i="21" s="1"/>
  <c r="AH33" i="14"/>
  <c r="P33" i="21" s="1"/>
  <c r="AJ34" i="14"/>
  <c r="R34" i="21" s="1"/>
  <c r="AE34" i="14"/>
  <c r="M34" i="21" s="1"/>
  <c r="AI34" i="14"/>
  <c r="Q34" i="21" s="1"/>
  <c r="AF34" i="14"/>
  <c r="N34" i="21" s="1"/>
  <c r="AC34" i="14"/>
  <c r="K34" i="21" s="1"/>
  <c r="AG34" i="14"/>
  <c r="O34" i="21" s="1"/>
  <c r="AD34" i="14"/>
  <c r="L34" i="21" s="1"/>
  <c r="AH34" i="14"/>
  <c r="P34" i="21" s="1"/>
  <c r="AJ27" i="14"/>
  <c r="R27" i="21" s="1"/>
  <c r="AI27" i="14"/>
  <c r="Q27" i="21" s="1"/>
  <c r="AE27" i="14"/>
  <c r="M27" i="21" s="1"/>
  <c r="AG27" i="14"/>
  <c r="O27" i="21" s="1"/>
  <c r="AC27" i="14"/>
  <c r="K27" i="21" s="1"/>
  <c r="AF27" i="14"/>
  <c r="N27" i="21" s="1"/>
  <c r="AD27" i="14"/>
  <c r="L27" i="21" s="1"/>
  <c r="AH27" i="14"/>
  <c r="P27" i="21" s="1"/>
  <c r="AI31" i="14"/>
  <c r="Q31" i="21" s="1"/>
  <c r="AE31" i="14"/>
  <c r="M31" i="21" s="1"/>
  <c r="AG31" i="14"/>
  <c r="O31" i="21" s="1"/>
  <c r="AC31" i="14"/>
  <c r="K31" i="21" s="1"/>
  <c r="AF31" i="14"/>
  <c r="N31" i="21" s="1"/>
  <c r="AJ31" i="14"/>
  <c r="R31" i="21" s="1"/>
  <c r="AD31" i="14"/>
  <c r="L31" i="21" s="1"/>
  <c r="AH31" i="14"/>
  <c r="P31" i="21" s="1"/>
  <c r="AJ32" i="14"/>
  <c r="R32" i="21" s="1"/>
  <c r="AE32" i="14"/>
  <c r="M32" i="21" s="1"/>
  <c r="AI32" i="14"/>
  <c r="Q32" i="21" s="1"/>
  <c r="AD32" i="14"/>
  <c r="L32" i="21" s="1"/>
  <c r="AH32" i="14"/>
  <c r="P32" i="21" s="1"/>
  <c r="AC32" i="14"/>
  <c r="K32" i="21" s="1"/>
  <c r="AG32" i="14"/>
  <c r="O32" i="21" s="1"/>
  <c r="AF32" i="14"/>
  <c r="N32" i="21" s="1"/>
  <c r="AJ28" i="14"/>
  <c r="R28" i="21" s="1"/>
  <c r="AC28" i="14"/>
  <c r="K28" i="21" s="1"/>
  <c r="AG28" i="14"/>
  <c r="O28" i="21" s="1"/>
  <c r="AD28" i="14"/>
  <c r="L28" i="21" s="1"/>
  <c r="AH28" i="14"/>
  <c r="P28" i="21" s="1"/>
  <c r="AE28" i="14"/>
  <c r="M28" i="21" s="1"/>
  <c r="AI28" i="14"/>
  <c r="Q28" i="21" s="1"/>
  <c r="AF28" i="14"/>
  <c r="N28" i="21" s="1"/>
  <c r="AJ36" i="14"/>
  <c r="R36" i="21" s="1"/>
  <c r="AE36" i="14"/>
  <c r="M36" i="21" s="1"/>
  <c r="AI36" i="14"/>
  <c r="Q36" i="21" s="1"/>
  <c r="AD36" i="14"/>
  <c r="L36" i="21" s="1"/>
  <c r="AH36" i="14"/>
  <c r="P36" i="21" s="1"/>
  <c r="AC36" i="14"/>
  <c r="K36" i="21" s="1"/>
  <c r="AG36" i="14"/>
  <c r="O36" i="21" s="1"/>
  <c r="AF36" i="14"/>
  <c r="N36" i="21" s="1"/>
  <c r="AI35" i="14"/>
  <c r="Q35" i="21" s="1"/>
  <c r="AE35" i="14"/>
  <c r="M35" i="21" s="1"/>
  <c r="AG35" i="14"/>
  <c r="O35" i="21" s="1"/>
  <c r="AC35" i="14"/>
  <c r="K35" i="21" s="1"/>
  <c r="AF35" i="14"/>
  <c r="N35" i="21" s="1"/>
  <c r="AJ35" i="14"/>
  <c r="R35" i="21" s="1"/>
  <c r="AD35" i="14"/>
  <c r="L35" i="21" s="1"/>
  <c r="AH35" i="14"/>
  <c r="P35" i="21" s="1"/>
  <c r="AJ29" i="14"/>
  <c r="R29" i="21" s="1"/>
  <c r="AI29" i="14"/>
  <c r="Q29" i="21" s="1"/>
  <c r="AE29" i="14"/>
  <c r="M29" i="21" s="1"/>
  <c r="AG29" i="14"/>
  <c r="O29" i="21" s="1"/>
  <c r="AC29" i="14"/>
  <c r="K29" i="21" s="1"/>
  <c r="AD29" i="14"/>
  <c r="L29" i="21" s="1"/>
  <c r="AH29" i="14"/>
  <c r="P29" i="21" s="1"/>
  <c r="AF29" i="14"/>
  <c r="N29" i="21" s="1"/>
  <c r="AJ30" i="14"/>
  <c r="R30" i="21" s="1"/>
  <c r="AE30" i="14"/>
  <c r="M30" i="21" s="1"/>
  <c r="AI30" i="14"/>
  <c r="Q30" i="21" s="1"/>
  <c r="AF30" i="14"/>
  <c r="N30" i="21" s="1"/>
  <c r="AC30" i="14"/>
  <c r="K30" i="21" s="1"/>
  <c r="AG30" i="14"/>
  <c r="O30" i="21" s="1"/>
  <c r="AD30" i="14"/>
  <c r="L30" i="21" s="1"/>
  <c r="AH30" i="14"/>
  <c r="P30" i="21" s="1"/>
  <c r="AJ38" i="14"/>
  <c r="R38" i="21" s="1"/>
  <c r="AC38" i="14"/>
  <c r="K38" i="21" s="1"/>
  <c r="AG38" i="14"/>
  <c r="O38" i="21" s="1"/>
  <c r="AF38" i="14"/>
  <c r="N38" i="21" s="1"/>
  <c r="AE38" i="14"/>
  <c r="M38" i="21" s="1"/>
  <c r="AI38" i="14"/>
  <c r="Q38" i="21" s="1"/>
  <c r="AD38" i="14"/>
  <c r="L38" i="21" s="1"/>
  <c r="AH38" i="14"/>
  <c r="P38" i="21" s="1"/>
  <c r="I12" i="14" l="1" a="1"/>
  <c r="I14" i="14" l="1"/>
  <c r="I18" i="14"/>
  <c r="I19" i="14"/>
  <c r="I15" i="14"/>
  <c r="I12" i="14"/>
  <c r="I17" i="14"/>
  <c r="I16" i="14"/>
  <c r="I13" i="14"/>
  <c r="I22" i="14" l="1" a="1"/>
  <c r="I28" i="14" l="1"/>
  <c r="I26" i="14"/>
  <c r="I23" i="14"/>
  <c r="I27" i="14"/>
  <c r="I25" i="14"/>
  <c r="I22" i="14"/>
  <c r="I29" i="14"/>
  <c r="I24" i="14"/>
  <c r="I32" i="14" l="1" a="1"/>
  <c r="I36" i="14" l="1"/>
  <c r="I39" i="14"/>
  <c r="I38" i="14"/>
  <c r="I37" i="14"/>
  <c r="I32" i="14"/>
  <c r="I34" i="14"/>
  <c r="I33" i="14"/>
  <c r="I35" i="14"/>
  <c r="I42" i="14" l="1" a="1"/>
  <c r="I47" i="14" l="1"/>
  <c r="I42" i="14"/>
  <c r="I44" i="14"/>
  <c r="I46" i="14"/>
  <c r="I45" i="14"/>
  <c r="I49" i="14"/>
  <c r="I43" i="14"/>
  <c r="I48" i="14"/>
  <c r="I52" i="14" l="1" a="1"/>
  <c r="I52" i="14" l="1"/>
  <c r="I57" i="14"/>
  <c r="I55" i="14"/>
  <c r="I54" i="14"/>
  <c r="I53" i="14"/>
  <c r="I59" i="14"/>
  <c r="I58" i="14"/>
  <c r="I56" i="14"/>
  <c r="AC50" i="14" l="1" a="1"/>
  <c r="AC49" i="14" a="1"/>
  <c r="AC41" i="14" a="1"/>
  <c r="AC39" i="14" a="1"/>
  <c r="AC40" i="14" a="1"/>
  <c r="AC44" i="14" a="1"/>
  <c r="AC45" i="14" a="1"/>
  <c r="AC42" i="14" a="1"/>
  <c r="AC48" i="14" a="1"/>
  <c r="AC46" i="14" a="1"/>
  <c r="AC43" i="14" a="1"/>
  <c r="AC47" i="14" a="1"/>
  <c r="AJ43" i="14" l="1"/>
  <c r="R43" i="21" s="1"/>
  <c r="AI43" i="14"/>
  <c r="Q43" i="21" s="1"/>
  <c r="AE43" i="14"/>
  <c r="M43" i="21" s="1"/>
  <c r="AG43" i="14"/>
  <c r="O43" i="21" s="1"/>
  <c r="AC43" i="14"/>
  <c r="K43" i="21" s="1"/>
  <c r="AF43" i="14"/>
  <c r="N43" i="21" s="1"/>
  <c r="AH43" i="14"/>
  <c r="P43" i="21" s="1"/>
  <c r="AD43" i="14"/>
  <c r="L43" i="21" s="1"/>
  <c r="AJ47" i="14"/>
  <c r="R47" i="21" s="1"/>
  <c r="AI47" i="14"/>
  <c r="Q47" i="21" s="1"/>
  <c r="AE47" i="14"/>
  <c r="M47" i="21" s="1"/>
  <c r="AG47" i="14"/>
  <c r="O47" i="21" s="1"/>
  <c r="AC47" i="14"/>
  <c r="K47" i="21" s="1"/>
  <c r="AF47" i="14"/>
  <c r="N47" i="21" s="1"/>
  <c r="AD47" i="14"/>
  <c r="L47" i="21" s="1"/>
  <c r="AH47" i="14"/>
  <c r="P47" i="21" s="1"/>
  <c r="AJ46" i="14"/>
  <c r="R46" i="21" s="1"/>
  <c r="AE46" i="14"/>
  <c r="M46" i="21" s="1"/>
  <c r="AI46" i="14"/>
  <c r="Q46" i="21" s="1"/>
  <c r="AD46" i="14"/>
  <c r="L46" i="21" s="1"/>
  <c r="AH46" i="14"/>
  <c r="P46" i="21" s="1"/>
  <c r="AC46" i="14"/>
  <c r="K46" i="21" s="1"/>
  <c r="AF46" i="14"/>
  <c r="N46" i="21" s="1"/>
  <c r="AG46" i="14"/>
  <c r="O46" i="21" s="1"/>
  <c r="AJ42" i="14"/>
  <c r="R42" i="21" s="1"/>
  <c r="AE42" i="14"/>
  <c r="M42" i="21" s="1"/>
  <c r="AI42" i="14"/>
  <c r="Q42" i="21" s="1"/>
  <c r="AD42" i="14"/>
  <c r="L42" i="21" s="1"/>
  <c r="AH42" i="14"/>
  <c r="P42" i="21" s="1"/>
  <c r="AG42" i="14"/>
  <c r="O42" i="21" s="1"/>
  <c r="AC42" i="14"/>
  <c r="K42" i="21" s="1"/>
  <c r="AF42" i="14"/>
  <c r="N42" i="21" s="1"/>
  <c r="AJ44" i="14"/>
  <c r="R44" i="21" s="1"/>
  <c r="AC44" i="14"/>
  <c r="K44" i="21" s="1"/>
  <c r="AG44" i="14"/>
  <c r="O44" i="21" s="1"/>
  <c r="AF44" i="14"/>
  <c r="N44" i="21" s="1"/>
  <c r="AI44" i="14"/>
  <c r="Q44" i="21" s="1"/>
  <c r="AD44" i="14"/>
  <c r="L44" i="21" s="1"/>
  <c r="AE44" i="14"/>
  <c r="M44" i="21" s="1"/>
  <c r="AH44" i="14"/>
  <c r="P44" i="21" s="1"/>
  <c r="AJ39" i="14"/>
  <c r="R39" i="21" s="1"/>
  <c r="AG39" i="14"/>
  <c r="O39" i="21" s="1"/>
  <c r="AC39" i="14"/>
  <c r="K39" i="21" s="1"/>
  <c r="AI39" i="14"/>
  <c r="Q39" i="21" s="1"/>
  <c r="AE39" i="14"/>
  <c r="M39" i="21" s="1"/>
  <c r="AD39" i="14"/>
  <c r="L39" i="21" s="1"/>
  <c r="AH39" i="14"/>
  <c r="P39" i="21" s="1"/>
  <c r="AF39" i="14"/>
  <c r="N39" i="21" s="1"/>
  <c r="AJ49" i="14"/>
  <c r="R49" i="21" s="1"/>
  <c r="AI49" i="14"/>
  <c r="Q49" i="21" s="1"/>
  <c r="AE49" i="14"/>
  <c r="M49" i="21" s="1"/>
  <c r="AG49" i="14"/>
  <c r="O49" i="21" s="1"/>
  <c r="AC49" i="14"/>
  <c r="K49" i="21" s="1"/>
  <c r="AD49" i="14"/>
  <c r="L49" i="21" s="1"/>
  <c r="AH49" i="14"/>
  <c r="P49" i="21" s="1"/>
  <c r="AF49" i="14"/>
  <c r="N49" i="21" s="1"/>
  <c r="AJ48" i="14"/>
  <c r="R48" i="21" s="1"/>
  <c r="AC48" i="14"/>
  <c r="K48" i="21" s="1"/>
  <c r="AG48" i="14"/>
  <c r="O48" i="21" s="1"/>
  <c r="AF48" i="14"/>
  <c r="N48" i="21" s="1"/>
  <c r="AE48" i="14"/>
  <c r="M48" i="21" s="1"/>
  <c r="AH48" i="14"/>
  <c r="P48" i="21" s="1"/>
  <c r="AI48" i="14"/>
  <c r="Q48" i="21" s="1"/>
  <c r="AD48" i="14"/>
  <c r="L48" i="21" s="1"/>
  <c r="AJ45" i="14"/>
  <c r="R45" i="21" s="1"/>
  <c r="AI45" i="14"/>
  <c r="Q45" i="21" s="1"/>
  <c r="AE45" i="14"/>
  <c r="M45" i="21" s="1"/>
  <c r="AG45" i="14"/>
  <c r="O45" i="21" s="1"/>
  <c r="AC45" i="14"/>
  <c r="K45" i="21" s="1"/>
  <c r="AD45" i="14"/>
  <c r="L45" i="21" s="1"/>
  <c r="AH45" i="14"/>
  <c r="P45" i="21" s="1"/>
  <c r="AF45" i="14"/>
  <c r="N45" i="21" s="1"/>
  <c r="AJ40" i="14"/>
  <c r="R40" i="21" s="1"/>
  <c r="AE40" i="14"/>
  <c r="M40" i="21" s="1"/>
  <c r="AI40" i="14"/>
  <c r="Q40" i="21" s="1"/>
  <c r="AF40" i="14"/>
  <c r="N40" i="21" s="1"/>
  <c r="AG40" i="14"/>
  <c r="O40" i="21" s="1"/>
  <c r="AH40" i="14"/>
  <c r="P40" i="21" s="1"/>
  <c r="AC40" i="14"/>
  <c r="K40" i="21" s="1"/>
  <c r="AD40" i="14"/>
  <c r="L40" i="21" s="1"/>
  <c r="AI41" i="14"/>
  <c r="Q41" i="21" s="1"/>
  <c r="AG41" i="14"/>
  <c r="O41" i="21" s="1"/>
  <c r="AC41" i="14"/>
  <c r="K41" i="21" s="1"/>
  <c r="AE41" i="14"/>
  <c r="M41" i="21" s="1"/>
  <c r="AF41" i="14"/>
  <c r="N41" i="21" s="1"/>
  <c r="AJ41" i="14"/>
  <c r="R41" i="21" s="1"/>
  <c r="AH41" i="14"/>
  <c r="P41" i="21" s="1"/>
  <c r="AD41" i="14"/>
  <c r="L41" i="21" s="1"/>
  <c r="AJ50" i="14"/>
  <c r="R50" i="21" s="1"/>
  <c r="AE50" i="14"/>
  <c r="M50" i="21" s="1"/>
  <c r="AI50" i="14"/>
  <c r="Q50" i="21" s="1"/>
  <c r="AD50" i="14"/>
  <c r="L50" i="21" s="1"/>
  <c r="AG50" i="14"/>
  <c r="O50" i="21" s="1"/>
  <c r="AH50" i="14"/>
  <c r="P50" i="21" s="1"/>
  <c r="AC50" i="14"/>
  <c r="K50" i="21" s="1"/>
  <c r="AF50" i="14"/>
  <c r="N50" i="21" s="1"/>
  <c r="J12" i="14" l="1" a="1"/>
  <c r="J17" i="14" l="1"/>
  <c r="J19" i="14"/>
  <c r="J13" i="14"/>
  <c r="J16" i="14"/>
  <c r="J12" i="14"/>
  <c r="J15" i="14"/>
  <c r="J18" i="14"/>
  <c r="J14" i="14"/>
  <c r="J22" i="14" l="1" a="1"/>
  <c r="J23" i="14" l="1"/>
  <c r="J22" i="14"/>
  <c r="J27" i="14"/>
  <c r="J24" i="14"/>
  <c r="J25" i="14"/>
  <c r="J26" i="14"/>
  <c r="J28" i="14"/>
  <c r="J29" i="14"/>
  <c r="J32" i="14" l="1" a="1"/>
  <c r="J39" i="14" l="1"/>
  <c r="J37" i="14"/>
  <c r="J34" i="14"/>
  <c r="J36" i="14"/>
  <c r="J38" i="14"/>
  <c r="J35" i="14"/>
  <c r="J32" i="14"/>
  <c r="J33" i="14"/>
  <c r="J42" i="14" l="1" a="1"/>
  <c r="J45" i="14" l="1"/>
  <c r="J43" i="14"/>
  <c r="J47" i="14"/>
  <c r="J42" i="14"/>
  <c r="J48" i="14"/>
  <c r="J49" i="14"/>
  <c r="J46" i="14"/>
  <c r="J44" i="14"/>
  <c r="J52" i="14" l="1" a="1"/>
  <c r="J52" i="14" l="1"/>
  <c r="J54" i="14"/>
  <c r="J53" i="14"/>
  <c r="J58" i="14"/>
  <c r="J57" i="14"/>
  <c r="J56" i="14"/>
  <c r="J59" i="14"/>
  <c r="J55" i="14"/>
  <c r="AC56" i="14" l="1" a="1"/>
  <c r="AC53" i="14" a="1"/>
  <c r="AC51" i="14" a="1"/>
  <c r="AC61" i="14" a="1"/>
  <c r="AC55" i="14" a="1"/>
  <c r="AC57" i="14" a="1"/>
  <c r="AC62" i="14" a="1"/>
  <c r="AC59" i="14" a="1"/>
  <c r="AC58" i="14" a="1"/>
  <c r="AC60" i="14" a="1"/>
  <c r="AC52" i="14" a="1"/>
  <c r="AC54" i="14" a="1"/>
  <c r="AJ52" i="14" l="1"/>
  <c r="R52" i="21" s="1"/>
  <c r="AG52" i="14"/>
  <c r="O52" i="21" s="1"/>
  <c r="AC52" i="14"/>
  <c r="K52" i="21" s="1"/>
  <c r="AI52" i="14"/>
  <c r="Q52" i="21" s="1"/>
  <c r="AE52" i="14"/>
  <c r="M52" i="21" s="1"/>
  <c r="AF52" i="14"/>
  <c r="N52" i="21" s="1"/>
  <c r="AH52" i="14"/>
  <c r="P52" i="21" s="1"/>
  <c r="AD52" i="14"/>
  <c r="L52" i="21" s="1"/>
  <c r="AJ54" i="14"/>
  <c r="R54" i="21" s="1"/>
  <c r="AG54" i="14"/>
  <c r="O54" i="21" s="1"/>
  <c r="AC54" i="14"/>
  <c r="K54" i="21" s="1"/>
  <c r="AI54" i="14"/>
  <c r="Q54" i="21" s="1"/>
  <c r="AE54" i="14"/>
  <c r="M54" i="21" s="1"/>
  <c r="AF54" i="14"/>
  <c r="N54" i="21" s="1"/>
  <c r="AD54" i="14"/>
  <c r="L54" i="21" s="1"/>
  <c r="AH54" i="14"/>
  <c r="P54" i="21" s="1"/>
  <c r="AJ60" i="14"/>
  <c r="R60" i="21" s="1"/>
  <c r="AI60" i="14"/>
  <c r="Q60" i="21" s="1"/>
  <c r="AE60" i="14"/>
  <c r="M60" i="21" s="1"/>
  <c r="AG60" i="14"/>
  <c r="O60" i="21" s="1"/>
  <c r="AC60" i="14"/>
  <c r="K60" i="21" s="1"/>
  <c r="AF60" i="14"/>
  <c r="N60" i="21" s="1"/>
  <c r="AH60" i="14"/>
  <c r="P60" i="21" s="1"/>
  <c r="AD60" i="14"/>
  <c r="L60" i="21" s="1"/>
  <c r="AI59" i="14"/>
  <c r="Q59" i="21" s="1"/>
  <c r="AD59" i="14"/>
  <c r="L59" i="21" s="1"/>
  <c r="AH59" i="14"/>
  <c r="P59" i="21" s="1"/>
  <c r="AC59" i="14"/>
  <c r="K59" i="21" s="1"/>
  <c r="AG59" i="14"/>
  <c r="O59" i="21" s="1"/>
  <c r="AF59" i="14"/>
  <c r="N59" i="21" s="1"/>
  <c r="AE59" i="14"/>
  <c r="M59" i="21" s="1"/>
  <c r="AJ59" i="14"/>
  <c r="R59" i="21" s="1"/>
  <c r="AI57" i="14"/>
  <c r="Q57" i="21" s="1"/>
  <c r="AD57" i="14"/>
  <c r="L57" i="21" s="1"/>
  <c r="AH57" i="14"/>
  <c r="P57" i="21" s="1"/>
  <c r="AC57" i="14"/>
  <c r="K57" i="21" s="1"/>
  <c r="AG57" i="14"/>
  <c r="O57" i="21" s="1"/>
  <c r="AF57" i="14"/>
  <c r="N57" i="21" s="1"/>
  <c r="AJ57" i="14"/>
  <c r="R57" i="21" s="1"/>
  <c r="AE57" i="14"/>
  <c r="M57" i="21" s="1"/>
  <c r="AI61" i="14"/>
  <c r="Q61" i="21" s="1"/>
  <c r="AD61" i="14"/>
  <c r="L61" i="21" s="1"/>
  <c r="AH61" i="14"/>
  <c r="P61" i="21" s="1"/>
  <c r="AC61" i="14"/>
  <c r="K61" i="21" s="1"/>
  <c r="AG61" i="14"/>
  <c r="O61" i="21" s="1"/>
  <c r="AF61" i="14"/>
  <c r="N61" i="21" s="1"/>
  <c r="AJ61" i="14"/>
  <c r="R61" i="21" s="1"/>
  <c r="AE61" i="14"/>
  <c r="M61" i="21" s="1"/>
  <c r="AI53" i="14"/>
  <c r="Q53" i="21" s="1"/>
  <c r="AD53" i="14"/>
  <c r="L53" i="21" s="1"/>
  <c r="AH53" i="14"/>
  <c r="P53" i="21" s="1"/>
  <c r="AC53" i="14"/>
  <c r="K53" i="21" s="1"/>
  <c r="AG53" i="14"/>
  <c r="O53" i="21" s="1"/>
  <c r="AF53" i="14"/>
  <c r="N53" i="21" s="1"/>
  <c r="AJ53" i="14"/>
  <c r="R53" i="21" s="1"/>
  <c r="AE53" i="14"/>
  <c r="M53" i="21" s="1"/>
  <c r="AJ58" i="14"/>
  <c r="R58" i="21" s="1"/>
  <c r="AI58" i="14"/>
  <c r="Q58" i="21" s="1"/>
  <c r="AG58" i="14"/>
  <c r="O58" i="21" s="1"/>
  <c r="AC58" i="14"/>
  <c r="K58" i="21" s="1"/>
  <c r="AE58" i="14"/>
  <c r="M58" i="21" s="1"/>
  <c r="AF58" i="14"/>
  <c r="N58" i="21" s="1"/>
  <c r="AD58" i="14"/>
  <c r="L58" i="21" s="1"/>
  <c r="AH58" i="14"/>
  <c r="P58" i="21" s="1"/>
  <c r="AJ62" i="14"/>
  <c r="R62" i="21" s="1"/>
  <c r="AI62" i="14"/>
  <c r="Q62" i="21" s="1"/>
  <c r="AE62" i="14"/>
  <c r="M62" i="21" s="1"/>
  <c r="AG62" i="14"/>
  <c r="O62" i="21" s="1"/>
  <c r="AC62" i="14"/>
  <c r="K62" i="21" s="1"/>
  <c r="AF62" i="14"/>
  <c r="N62" i="21" s="1"/>
  <c r="AD62" i="14"/>
  <c r="L62" i="21" s="1"/>
  <c r="AH62" i="14"/>
  <c r="P62" i="21" s="1"/>
  <c r="AI55" i="14"/>
  <c r="Q55" i="21" s="1"/>
  <c r="AD55" i="14"/>
  <c r="L55" i="21" s="1"/>
  <c r="AH55" i="14"/>
  <c r="P55" i="21" s="1"/>
  <c r="AC55" i="14"/>
  <c r="K55" i="21" s="1"/>
  <c r="AG55" i="14"/>
  <c r="O55" i="21" s="1"/>
  <c r="AF55" i="14"/>
  <c r="N55" i="21" s="1"/>
  <c r="AE55" i="14"/>
  <c r="M55" i="21" s="1"/>
  <c r="AJ55" i="14"/>
  <c r="R55" i="21" s="1"/>
  <c r="AI51" i="14"/>
  <c r="Q51" i="21" s="1"/>
  <c r="AD51" i="14"/>
  <c r="L51" i="21" s="1"/>
  <c r="AH51" i="14"/>
  <c r="P51" i="21" s="1"/>
  <c r="AC51" i="14"/>
  <c r="K51" i="21" s="1"/>
  <c r="AG51" i="14"/>
  <c r="O51" i="21" s="1"/>
  <c r="AF51" i="14"/>
  <c r="N51" i="21" s="1"/>
  <c r="AE51" i="14"/>
  <c r="M51" i="21" s="1"/>
  <c r="AJ51" i="14"/>
  <c r="R51" i="21" s="1"/>
  <c r="AJ56" i="14"/>
  <c r="R56" i="21" s="1"/>
  <c r="AG56" i="14"/>
  <c r="O56" i="21" s="1"/>
  <c r="AC56" i="14"/>
  <c r="K56" i="21" s="1"/>
  <c r="AI56" i="14"/>
  <c r="Q56" i="21" s="1"/>
  <c r="AE56" i="14"/>
  <c r="M56" i="21" s="1"/>
  <c r="AF56" i="14"/>
  <c r="N56" i="21" s="1"/>
  <c r="AH56" i="14"/>
  <c r="P56" i="21" s="1"/>
  <c r="AD56" i="14"/>
  <c r="L56" i="21" s="1"/>
  <c r="K12" i="14" l="1" a="1"/>
  <c r="K18" i="14" l="1"/>
  <c r="K15" i="14"/>
  <c r="K13" i="14"/>
  <c r="K19" i="14"/>
  <c r="K17" i="14"/>
  <c r="K14" i="14"/>
  <c r="K16" i="14"/>
  <c r="K12" i="14"/>
  <c r="K22" i="14" l="1" a="1"/>
  <c r="K27" i="14" l="1"/>
  <c r="K22" i="14"/>
  <c r="K29" i="14"/>
  <c r="K26" i="14"/>
  <c r="K28" i="14"/>
  <c r="K24" i="14"/>
  <c r="K23" i="14"/>
  <c r="K25" i="14"/>
  <c r="K32" i="14" l="1" a="1"/>
  <c r="K38" i="14" l="1"/>
  <c r="K33" i="14"/>
  <c r="K32" i="14"/>
  <c r="K36" i="14"/>
  <c r="K34" i="14"/>
  <c r="K37" i="14"/>
  <c r="K35" i="14"/>
  <c r="K39" i="14"/>
  <c r="K42" i="14" l="1" a="1"/>
  <c r="K43" i="14" l="1"/>
  <c r="K48" i="14"/>
  <c r="K49" i="14"/>
  <c r="K45" i="14"/>
  <c r="K42" i="14"/>
  <c r="K46" i="14"/>
  <c r="K44" i="14"/>
  <c r="K47" i="14"/>
  <c r="K52" i="14" l="1" a="1"/>
  <c r="K59" i="14" l="1"/>
  <c r="K57" i="14"/>
  <c r="K56" i="14"/>
  <c r="K58" i="14"/>
  <c r="K52" i="14"/>
  <c r="K55" i="14"/>
  <c r="K54" i="14"/>
  <c r="K53" i="14"/>
  <c r="AC70" i="14" l="1" a="1"/>
  <c r="AC67" i="14" a="1"/>
  <c r="AC65" i="14" a="1"/>
  <c r="AC69" i="14" a="1"/>
  <c r="AC66" i="14" a="1"/>
  <c r="AC72" i="14" a="1"/>
  <c r="AC73" i="14" a="1"/>
  <c r="AC63" i="14" a="1"/>
  <c r="AC74" i="14" a="1"/>
  <c r="AC71" i="14" a="1"/>
  <c r="AC64" i="14" a="1"/>
  <c r="AC68" i="14" a="1"/>
  <c r="AJ74" i="14" l="1"/>
  <c r="R74" i="21" s="1"/>
  <c r="AC74" i="14"/>
  <c r="K74" i="21" s="1"/>
  <c r="AG74" i="14"/>
  <c r="O74" i="21" s="1"/>
  <c r="AE74" i="14"/>
  <c r="M74" i="21" s="1"/>
  <c r="AI74" i="14"/>
  <c r="Q74" i="21" s="1"/>
  <c r="AF74" i="14"/>
  <c r="N74" i="21" s="1"/>
  <c r="AD74" i="14"/>
  <c r="L74" i="21" s="1"/>
  <c r="AH74" i="14"/>
  <c r="P74" i="21" s="1"/>
  <c r="AJ73" i="14"/>
  <c r="R73" i="21" s="1"/>
  <c r="AI73" i="14"/>
  <c r="Q73" i="21" s="1"/>
  <c r="AE73" i="14"/>
  <c r="M73" i="21" s="1"/>
  <c r="AG73" i="14"/>
  <c r="O73" i="21" s="1"/>
  <c r="AC73" i="14"/>
  <c r="K73" i="21" s="1"/>
  <c r="AF73" i="14"/>
  <c r="N73" i="21" s="1"/>
  <c r="AD73" i="14"/>
  <c r="L73" i="21" s="1"/>
  <c r="AH73" i="14"/>
  <c r="P73" i="21" s="1"/>
  <c r="AJ66" i="14"/>
  <c r="R66" i="21" s="1"/>
  <c r="AC66" i="14"/>
  <c r="K66" i="21" s="1"/>
  <c r="AG66" i="14"/>
  <c r="O66" i="21" s="1"/>
  <c r="AE66" i="14"/>
  <c r="M66" i="21" s="1"/>
  <c r="AI66" i="14"/>
  <c r="Q66" i="21" s="1"/>
  <c r="AD66" i="14"/>
  <c r="L66" i="21" s="1"/>
  <c r="AH66" i="14"/>
  <c r="P66" i="21" s="1"/>
  <c r="AF66" i="14"/>
  <c r="N66" i="21" s="1"/>
  <c r="AI65" i="14"/>
  <c r="Q65" i="21" s="1"/>
  <c r="AC65" i="14"/>
  <c r="K65" i="21" s="1"/>
  <c r="AE65" i="14"/>
  <c r="M65" i="21" s="1"/>
  <c r="AD65" i="14"/>
  <c r="L65" i="21" s="1"/>
  <c r="AH65" i="14"/>
  <c r="P65" i="21" s="1"/>
  <c r="AF65" i="14"/>
  <c r="N65" i="21" s="1"/>
  <c r="AJ65" i="14"/>
  <c r="R65" i="21" s="1"/>
  <c r="AG65" i="14"/>
  <c r="O65" i="21" s="1"/>
  <c r="AJ70" i="14"/>
  <c r="R70" i="21" s="1"/>
  <c r="AC70" i="14"/>
  <c r="K70" i="21" s="1"/>
  <c r="AG70" i="14"/>
  <c r="O70" i="21" s="1"/>
  <c r="AE70" i="14"/>
  <c r="M70" i="21" s="1"/>
  <c r="AI70" i="14"/>
  <c r="Q70" i="21" s="1"/>
  <c r="AF70" i="14"/>
  <c r="N70" i="21" s="1"/>
  <c r="AH70" i="14"/>
  <c r="P70" i="21" s="1"/>
  <c r="AD70" i="14"/>
  <c r="L70" i="21" s="1"/>
  <c r="AJ68" i="14"/>
  <c r="R68" i="21" s="1"/>
  <c r="AC68" i="14"/>
  <c r="K68" i="21" s="1"/>
  <c r="AG68" i="14"/>
  <c r="O68" i="21" s="1"/>
  <c r="AE68" i="14"/>
  <c r="M68" i="21" s="1"/>
  <c r="AI68" i="14"/>
  <c r="Q68" i="21" s="1"/>
  <c r="AF68" i="14"/>
  <c r="N68" i="21" s="1"/>
  <c r="AH68" i="14"/>
  <c r="P68" i="21" s="1"/>
  <c r="AD68" i="14"/>
  <c r="L68" i="21" s="1"/>
  <c r="AJ71" i="14"/>
  <c r="R71" i="21" s="1"/>
  <c r="AI71" i="14"/>
  <c r="Q71" i="21" s="1"/>
  <c r="AE71" i="14"/>
  <c r="M71" i="21" s="1"/>
  <c r="AG71" i="14"/>
  <c r="O71" i="21" s="1"/>
  <c r="AC71" i="14"/>
  <c r="K71" i="21" s="1"/>
  <c r="AD71" i="14"/>
  <c r="L71" i="21" s="1"/>
  <c r="AH71" i="14"/>
  <c r="P71" i="21" s="1"/>
  <c r="AF71" i="14"/>
  <c r="N71" i="21" s="1"/>
  <c r="AI63" i="14"/>
  <c r="Q63" i="21" s="1"/>
  <c r="AC63" i="14"/>
  <c r="K63" i="21" s="1"/>
  <c r="AE63" i="14"/>
  <c r="M63" i="21" s="1"/>
  <c r="AD63" i="14"/>
  <c r="L63" i="21" s="1"/>
  <c r="AH63" i="14"/>
  <c r="P63" i="21" s="1"/>
  <c r="AG63" i="14"/>
  <c r="O63" i="21" s="1"/>
  <c r="AF63" i="14"/>
  <c r="N63" i="21" s="1"/>
  <c r="AJ63" i="14"/>
  <c r="R63" i="21" s="1"/>
  <c r="AJ72" i="14"/>
  <c r="R72" i="21" s="1"/>
  <c r="AE72" i="14"/>
  <c r="M72" i="21" s="1"/>
  <c r="AI72" i="14"/>
  <c r="Q72" i="21" s="1"/>
  <c r="AC72" i="14"/>
  <c r="K72" i="21" s="1"/>
  <c r="AG72" i="14"/>
  <c r="O72" i="21" s="1"/>
  <c r="AD72" i="14"/>
  <c r="L72" i="21" s="1"/>
  <c r="AH72" i="14"/>
  <c r="P72" i="21" s="1"/>
  <c r="AF72" i="14"/>
  <c r="N72" i="21" s="1"/>
  <c r="AI69" i="14"/>
  <c r="Q69" i="21" s="1"/>
  <c r="AE69" i="14"/>
  <c r="M69" i="21" s="1"/>
  <c r="AC69" i="14"/>
  <c r="K69" i="21" s="1"/>
  <c r="AD69" i="14"/>
  <c r="L69" i="21" s="1"/>
  <c r="AH69" i="14"/>
  <c r="P69" i="21" s="1"/>
  <c r="AF69" i="14"/>
  <c r="N69" i="21" s="1"/>
  <c r="AJ69" i="14"/>
  <c r="R69" i="21" s="1"/>
  <c r="AG69" i="14"/>
  <c r="O69" i="21" s="1"/>
  <c r="AI67" i="14"/>
  <c r="Q67" i="21" s="1"/>
  <c r="AC67" i="14"/>
  <c r="K67" i="21" s="1"/>
  <c r="AD67" i="14"/>
  <c r="L67" i="21" s="1"/>
  <c r="AH67" i="14"/>
  <c r="P67" i="21" s="1"/>
  <c r="AF67" i="14"/>
  <c r="N67" i="21" s="1"/>
  <c r="AJ67" i="14"/>
  <c r="R67" i="21" s="1"/>
  <c r="AG67" i="14"/>
  <c r="O67" i="21" s="1"/>
  <c r="AE67" i="14"/>
  <c r="M67" i="21" s="1"/>
  <c r="AJ64" i="14"/>
  <c r="R64" i="21" s="1"/>
  <c r="AC64" i="14"/>
  <c r="K64" i="21" s="1"/>
  <c r="AG64" i="14"/>
  <c r="O64" i="21" s="1"/>
  <c r="AF64" i="14"/>
  <c r="N64" i="21" s="1"/>
  <c r="AE64" i="14"/>
  <c r="M64" i="21" s="1"/>
  <c r="AI64" i="14"/>
  <c r="Q64" i="21" s="1"/>
  <c r="AD64" i="14"/>
  <c r="L64" i="21" s="1"/>
  <c r="AH64" i="14"/>
  <c r="P64" i="21" s="1"/>
  <c r="L12" i="14" l="1" a="1"/>
  <c r="L18" i="14" l="1"/>
  <c r="L14" i="14"/>
  <c r="L17" i="14"/>
  <c r="L13" i="14"/>
  <c r="L12" i="14"/>
  <c r="L16" i="14"/>
  <c r="L19" i="14"/>
  <c r="L15" i="14"/>
  <c r="L22" i="14" l="1" a="1"/>
  <c r="L29" i="14" l="1"/>
  <c r="L23" i="14"/>
  <c r="L26" i="14"/>
  <c r="L22" i="14"/>
  <c r="L24" i="14"/>
  <c r="L25" i="14"/>
  <c r="L27" i="14"/>
  <c r="L28" i="14"/>
  <c r="L32" i="14" l="1" a="1"/>
  <c r="L35" i="14" l="1"/>
  <c r="L38" i="14"/>
  <c r="L37" i="14"/>
  <c r="L39" i="14"/>
  <c r="L34" i="14"/>
  <c r="L33" i="14"/>
  <c r="L36" i="14"/>
  <c r="L32" i="14"/>
  <c r="L42" i="14" l="1" a="1"/>
  <c r="L45" i="14" l="1"/>
  <c r="L43" i="14"/>
  <c r="L49" i="14"/>
  <c r="L47" i="14"/>
  <c r="L42" i="14"/>
  <c r="L48" i="14"/>
  <c r="L44" i="14"/>
  <c r="L46" i="14"/>
  <c r="L52" i="14" l="1" a="1"/>
  <c r="L59" i="14" l="1"/>
  <c r="L56" i="14"/>
  <c r="L58" i="14"/>
  <c r="L55" i="14"/>
  <c r="L52" i="14"/>
  <c r="L54" i="14"/>
  <c r="L57" i="14"/>
  <c r="L53" i="14"/>
  <c r="AC78" i="14" l="1" a="1"/>
  <c r="AC85" i="14" a="1"/>
  <c r="AC75" i="14" a="1"/>
  <c r="AC80" i="14" a="1"/>
  <c r="AC86" i="14" a="1"/>
  <c r="AC81" i="14" a="1"/>
  <c r="AC82" i="14" a="1"/>
  <c r="AC83" i="14" a="1"/>
  <c r="AC76" i="14" a="1"/>
  <c r="AC79" i="14" a="1"/>
  <c r="AC77" i="14" a="1"/>
  <c r="AC84" i="14" a="1"/>
  <c r="AI77" i="14" l="1"/>
  <c r="Q77" i="21" s="1"/>
  <c r="AE77" i="14"/>
  <c r="M77" i="21" s="1"/>
  <c r="AG77" i="14"/>
  <c r="O77" i="21" s="1"/>
  <c r="AC77" i="14"/>
  <c r="K77" i="21" s="1"/>
  <c r="AD77" i="14"/>
  <c r="L77" i="21" s="1"/>
  <c r="AH77" i="14"/>
  <c r="P77" i="21" s="1"/>
  <c r="AF77" i="14"/>
  <c r="N77" i="21" s="1"/>
  <c r="AJ77" i="14"/>
  <c r="R77" i="21" s="1"/>
  <c r="AJ84" i="14"/>
  <c r="R84" i="21" s="1"/>
  <c r="AE84" i="14"/>
  <c r="M84" i="21" s="1"/>
  <c r="AI84" i="14"/>
  <c r="Q84" i="21" s="1"/>
  <c r="AD84" i="14"/>
  <c r="L84" i="21" s="1"/>
  <c r="AH84" i="14"/>
  <c r="P84" i="21" s="1"/>
  <c r="AC84" i="14"/>
  <c r="K84" i="21" s="1"/>
  <c r="AG84" i="14"/>
  <c r="O84" i="21" s="1"/>
  <c r="AF84" i="14"/>
  <c r="N84" i="21" s="1"/>
  <c r="AI79" i="14"/>
  <c r="Q79" i="21" s="1"/>
  <c r="AG79" i="14"/>
  <c r="O79" i="21" s="1"/>
  <c r="AC79" i="14"/>
  <c r="K79" i="21" s="1"/>
  <c r="AE79" i="14"/>
  <c r="M79" i="21" s="1"/>
  <c r="AD79" i="14"/>
  <c r="L79" i="21" s="1"/>
  <c r="AH79" i="14"/>
  <c r="P79" i="21" s="1"/>
  <c r="AF79" i="14"/>
  <c r="N79" i="21" s="1"/>
  <c r="AJ79" i="14"/>
  <c r="R79" i="21" s="1"/>
  <c r="AJ83" i="14"/>
  <c r="R83" i="21" s="1"/>
  <c r="AG83" i="14"/>
  <c r="O83" i="21" s="1"/>
  <c r="AC83" i="14"/>
  <c r="K83" i="21" s="1"/>
  <c r="AI83" i="14"/>
  <c r="Q83" i="21" s="1"/>
  <c r="AE83" i="14"/>
  <c r="M83" i="21" s="1"/>
  <c r="AD83" i="14"/>
  <c r="L83" i="21" s="1"/>
  <c r="AH83" i="14"/>
  <c r="P83" i="21" s="1"/>
  <c r="AF83" i="14"/>
  <c r="N83" i="21" s="1"/>
  <c r="AI81" i="14"/>
  <c r="Q81" i="21" s="1"/>
  <c r="AE81" i="14"/>
  <c r="M81" i="21" s="1"/>
  <c r="AG81" i="14"/>
  <c r="O81" i="21" s="1"/>
  <c r="AC81" i="14"/>
  <c r="K81" i="21" s="1"/>
  <c r="AD81" i="14"/>
  <c r="L81" i="21" s="1"/>
  <c r="AH81" i="14"/>
  <c r="P81" i="21" s="1"/>
  <c r="AF81" i="14"/>
  <c r="N81" i="21" s="1"/>
  <c r="AJ81" i="14"/>
  <c r="R81" i="21" s="1"/>
  <c r="AJ80" i="14"/>
  <c r="R80" i="21" s="1"/>
  <c r="AC80" i="14"/>
  <c r="K80" i="21" s="1"/>
  <c r="AG80" i="14"/>
  <c r="O80" i="21" s="1"/>
  <c r="AD80" i="14"/>
  <c r="L80" i="21" s="1"/>
  <c r="AH80" i="14"/>
  <c r="P80" i="21" s="1"/>
  <c r="AE80" i="14"/>
  <c r="M80" i="21" s="1"/>
  <c r="AI80" i="14"/>
  <c r="Q80" i="21" s="1"/>
  <c r="AF80" i="14"/>
  <c r="N80" i="21" s="1"/>
  <c r="AJ85" i="14"/>
  <c r="R85" i="21" s="1"/>
  <c r="AG85" i="14"/>
  <c r="O85" i="21" s="1"/>
  <c r="AC85" i="14"/>
  <c r="K85" i="21" s="1"/>
  <c r="AI85" i="14"/>
  <c r="Q85" i="21" s="1"/>
  <c r="AE85" i="14"/>
  <c r="M85" i="21" s="1"/>
  <c r="AF85" i="14"/>
  <c r="N85" i="21" s="1"/>
  <c r="AD85" i="14"/>
  <c r="L85" i="21" s="1"/>
  <c r="AH85" i="14"/>
  <c r="P85" i="21" s="1"/>
  <c r="AJ76" i="14"/>
  <c r="R76" i="21" s="1"/>
  <c r="AC76" i="14"/>
  <c r="K76" i="21" s="1"/>
  <c r="AG76" i="14"/>
  <c r="O76" i="21" s="1"/>
  <c r="AD76" i="14"/>
  <c r="L76" i="21" s="1"/>
  <c r="AH76" i="14"/>
  <c r="P76" i="21" s="1"/>
  <c r="AE76" i="14"/>
  <c r="M76" i="21" s="1"/>
  <c r="AI76" i="14"/>
  <c r="Q76" i="21" s="1"/>
  <c r="AF76" i="14"/>
  <c r="N76" i="21" s="1"/>
  <c r="AJ82" i="14"/>
  <c r="R82" i="21" s="1"/>
  <c r="AC82" i="14"/>
  <c r="K82" i="21" s="1"/>
  <c r="AG82" i="14"/>
  <c r="O82" i="21" s="1"/>
  <c r="AF82" i="14"/>
  <c r="N82" i="21" s="1"/>
  <c r="AE82" i="14"/>
  <c r="M82" i="21" s="1"/>
  <c r="AI82" i="14"/>
  <c r="Q82" i="21" s="1"/>
  <c r="AD82" i="14"/>
  <c r="L82" i="21" s="1"/>
  <c r="AH82" i="14"/>
  <c r="P82" i="21" s="1"/>
  <c r="AJ86" i="14"/>
  <c r="R86" i="21" s="1"/>
  <c r="AC86" i="14"/>
  <c r="K86" i="21" s="1"/>
  <c r="AG86" i="14"/>
  <c r="O86" i="21" s="1"/>
  <c r="AF86" i="14"/>
  <c r="N86" i="21" s="1"/>
  <c r="AE86" i="14"/>
  <c r="M86" i="21" s="1"/>
  <c r="AI86" i="14"/>
  <c r="Q86" i="21" s="1"/>
  <c r="AD86" i="14"/>
  <c r="L86" i="21" s="1"/>
  <c r="AH86" i="14"/>
  <c r="P86" i="21" s="1"/>
  <c r="AJ75" i="14"/>
  <c r="R75" i="21" s="1"/>
  <c r="AI75" i="14"/>
  <c r="Q75" i="21" s="1"/>
  <c r="AE75" i="14"/>
  <c r="M75" i="21" s="1"/>
  <c r="AG75" i="14"/>
  <c r="O75" i="21" s="1"/>
  <c r="AC75" i="14"/>
  <c r="K75" i="21" s="1"/>
  <c r="AF75" i="14"/>
  <c r="N75" i="21" s="1"/>
  <c r="AD75" i="14"/>
  <c r="L75" i="21" s="1"/>
  <c r="AH75" i="14"/>
  <c r="P75" i="21" s="1"/>
  <c r="AJ78" i="14"/>
  <c r="R78" i="21" s="1"/>
  <c r="AC78" i="14"/>
  <c r="K78" i="21" s="1"/>
  <c r="AG78" i="14"/>
  <c r="O78" i="21" s="1"/>
  <c r="AF78" i="14"/>
  <c r="N78" i="21" s="1"/>
  <c r="AE78" i="14"/>
  <c r="M78" i="21" s="1"/>
  <c r="AI78" i="14"/>
  <c r="Q78" i="21" s="1"/>
  <c r="AD78" i="14"/>
  <c r="L78" i="21" s="1"/>
  <c r="AH78" i="14"/>
  <c r="P78" i="21" s="1"/>
  <c r="M12" i="14" l="1" a="1"/>
  <c r="M14" i="14" l="1"/>
  <c r="M13" i="14"/>
  <c r="M12" i="14"/>
  <c r="M15" i="14"/>
  <c r="M18" i="14"/>
  <c r="M19" i="14"/>
  <c r="M16" i="14"/>
  <c r="M17" i="14"/>
  <c r="M22" i="14" l="1" a="1"/>
  <c r="M25" i="14" l="1"/>
  <c r="M29" i="14"/>
  <c r="M22" i="14"/>
  <c r="M24" i="14"/>
  <c r="M28" i="14"/>
  <c r="M23" i="14"/>
  <c r="M26" i="14"/>
  <c r="M27" i="14"/>
  <c r="M32" i="14" l="1" a="1"/>
  <c r="M37" i="14" l="1"/>
  <c r="M39" i="14"/>
  <c r="M32" i="14"/>
  <c r="M33" i="14"/>
  <c r="M35" i="14"/>
  <c r="M34" i="14"/>
  <c r="M36" i="14"/>
  <c r="M38" i="14"/>
  <c r="M42" i="14" l="1" a="1"/>
  <c r="M44" i="14" l="1"/>
  <c r="M49" i="14"/>
  <c r="M45" i="14"/>
  <c r="M46" i="14"/>
  <c r="M42" i="14"/>
  <c r="M47" i="14"/>
  <c r="M43" i="14"/>
  <c r="M48" i="14"/>
  <c r="M52" i="14" l="1" a="1"/>
  <c r="M57" i="14" l="1"/>
  <c r="M55" i="14"/>
  <c r="M59" i="14"/>
  <c r="M52" i="14"/>
  <c r="M53" i="14"/>
  <c r="M58" i="14"/>
  <c r="M54" i="14"/>
  <c r="M56" i="14"/>
  <c r="AC96" i="14" l="1" a="1"/>
  <c r="AC92" i="14" a="1"/>
  <c r="AC89" i="14" a="1"/>
  <c r="AC87" i="14" a="1"/>
  <c r="AC97" i="14" a="1"/>
  <c r="AC94" i="14" a="1"/>
  <c r="AC95" i="14" a="1"/>
  <c r="AC88" i="14" a="1"/>
  <c r="AC98" i="14" a="1"/>
  <c r="AC93" i="14" a="1"/>
  <c r="AC91" i="14" a="1"/>
  <c r="AC90" i="14" a="1"/>
  <c r="AJ91" i="14" l="1"/>
  <c r="R91" i="21" s="1"/>
  <c r="AI91" i="14"/>
  <c r="Q91" i="21" s="1"/>
  <c r="AE91" i="14"/>
  <c r="M91" i="21" s="1"/>
  <c r="AG91" i="14"/>
  <c r="O91" i="21" s="1"/>
  <c r="AC91" i="14"/>
  <c r="K91" i="21" s="1"/>
  <c r="AD91" i="14"/>
  <c r="L91" i="21" s="1"/>
  <c r="AH91" i="14"/>
  <c r="P91" i="21" s="1"/>
  <c r="AF91" i="14"/>
  <c r="N91" i="21" s="1"/>
  <c r="AJ90" i="14"/>
  <c r="R90" i="21" s="1"/>
  <c r="AC90" i="14"/>
  <c r="K90" i="21" s="1"/>
  <c r="AG90" i="14"/>
  <c r="O90" i="21" s="1"/>
  <c r="AI90" i="14"/>
  <c r="Q90" i="21" s="1"/>
  <c r="AD90" i="14"/>
  <c r="L90" i="21" s="1"/>
  <c r="AH90" i="14"/>
  <c r="P90" i="21" s="1"/>
  <c r="AE90" i="14"/>
  <c r="M90" i="21" s="1"/>
  <c r="AF90" i="14"/>
  <c r="N90" i="21" s="1"/>
  <c r="AJ93" i="14"/>
  <c r="R93" i="21" s="1"/>
  <c r="AI93" i="14"/>
  <c r="Q93" i="21" s="1"/>
  <c r="AE93" i="14"/>
  <c r="M93" i="21" s="1"/>
  <c r="AG93" i="14"/>
  <c r="O93" i="21" s="1"/>
  <c r="AC93" i="14"/>
  <c r="K93" i="21" s="1"/>
  <c r="AF93" i="14"/>
  <c r="N93" i="21" s="1"/>
  <c r="AD93" i="14"/>
  <c r="L93" i="21" s="1"/>
  <c r="AH93" i="14"/>
  <c r="P93" i="21" s="1"/>
  <c r="AJ88" i="14"/>
  <c r="R88" i="21" s="1"/>
  <c r="AC88" i="14"/>
  <c r="K88" i="21" s="1"/>
  <c r="AG88" i="14"/>
  <c r="O88" i="21" s="1"/>
  <c r="AI88" i="14"/>
  <c r="Q88" i="21" s="1"/>
  <c r="AF88" i="14"/>
  <c r="N88" i="21" s="1"/>
  <c r="AE88" i="14"/>
  <c r="M88" i="21" s="1"/>
  <c r="AD88" i="14"/>
  <c r="L88" i="21" s="1"/>
  <c r="AH88" i="14"/>
  <c r="P88" i="21" s="1"/>
  <c r="AJ94" i="14"/>
  <c r="R94" i="21" s="1"/>
  <c r="AC94" i="14"/>
  <c r="K94" i="21" s="1"/>
  <c r="AG94" i="14"/>
  <c r="O94" i="21" s="1"/>
  <c r="AE94" i="14"/>
  <c r="M94" i="21" s="1"/>
  <c r="AD94" i="14"/>
  <c r="L94" i="21" s="1"/>
  <c r="AH94" i="14"/>
  <c r="P94" i="21" s="1"/>
  <c r="AI94" i="14"/>
  <c r="Q94" i="21" s="1"/>
  <c r="AF94" i="14"/>
  <c r="N94" i="21" s="1"/>
  <c r="AJ87" i="14"/>
  <c r="R87" i="21" s="1"/>
  <c r="AG87" i="14"/>
  <c r="O87" i="21" s="1"/>
  <c r="AC87" i="14"/>
  <c r="K87" i="21" s="1"/>
  <c r="AI87" i="14"/>
  <c r="Q87" i="21" s="1"/>
  <c r="AE87" i="14"/>
  <c r="M87" i="21" s="1"/>
  <c r="AF87" i="14"/>
  <c r="N87" i="21" s="1"/>
  <c r="AH87" i="14"/>
  <c r="P87" i="21" s="1"/>
  <c r="AD87" i="14"/>
  <c r="L87" i="21" s="1"/>
  <c r="AJ92" i="14"/>
  <c r="R92" i="21" s="1"/>
  <c r="AE92" i="14"/>
  <c r="M92" i="21" s="1"/>
  <c r="AI92" i="14"/>
  <c r="Q92" i="21" s="1"/>
  <c r="AC92" i="14"/>
  <c r="K92" i="21" s="1"/>
  <c r="AF92" i="14"/>
  <c r="N92" i="21" s="1"/>
  <c r="AG92" i="14"/>
  <c r="O92" i="21" s="1"/>
  <c r="AD92" i="14"/>
  <c r="L92" i="21" s="1"/>
  <c r="AH92" i="14"/>
  <c r="P92" i="21" s="1"/>
  <c r="AJ98" i="14"/>
  <c r="R98" i="21" s="1"/>
  <c r="AE98" i="14"/>
  <c r="M98" i="21" s="1"/>
  <c r="AI98" i="14"/>
  <c r="Q98" i="21" s="1"/>
  <c r="AD98" i="14"/>
  <c r="L98" i="21" s="1"/>
  <c r="AH98" i="14"/>
  <c r="P98" i="21" s="1"/>
  <c r="AC98" i="14"/>
  <c r="K98" i="21" s="1"/>
  <c r="AG98" i="14"/>
  <c r="O98" i="21" s="1"/>
  <c r="AF98" i="14"/>
  <c r="N98" i="21" s="1"/>
  <c r="AI95" i="14"/>
  <c r="Q95" i="21" s="1"/>
  <c r="AE95" i="14"/>
  <c r="M95" i="21" s="1"/>
  <c r="AG95" i="14"/>
  <c r="O95" i="21" s="1"/>
  <c r="AC95" i="14"/>
  <c r="K95" i="21" s="1"/>
  <c r="AD95" i="14"/>
  <c r="L95" i="21" s="1"/>
  <c r="AH95" i="14"/>
  <c r="P95" i="21" s="1"/>
  <c r="AF95" i="14"/>
  <c r="N95" i="21" s="1"/>
  <c r="AJ95" i="14"/>
  <c r="R95" i="21" s="1"/>
  <c r="AJ97" i="14"/>
  <c r="R97" i="21" s="1"/>
  <c r="AG97" i="14"/>
  <c r="O97" i="21" s="1"/>
  <c r="AC97" i="14"/>
  <c r="K97" i="21" s="1"/>
  <c r="AI97" i="14"/>
  <c r="Q97" i="21" s="1"/>
  <c r="AE97" i="14"/>
  <c r="M97" i="21" s="1"/>
  <c r="AD97" i="14"/>
  <c r="L97" i="21" s="1"/>
  <c r="AH97" i="14"/>
  <c r="P97" i="21" s="1"/>
  <c r="AF97" i="14"/>
  <c r="N97" i="21" s="1"/>
  <c r="AI89" i="14"/>
  <c r="Q89" i="21" s="1"/>
  <c r="AG89" i="14"/>
  <c r="O89" i="21" s="1"/>
  <c r="AC89" i="14"/>
  <c r="K89" i="21" s="1"/>
  <c r="AE89" i="14"/>
  <c r="M89" i="21" s="1"/>
  <c r="AD89" i="14"/>
  <c r="L89" i="21" s="1"/>
  <c r="AH89" i="14"/>
  <c r="P89" i="21" s="1"/>
  <c r="AJ89" i="14"/>
  <c r="R89" i="21" s="1"/>
  <c r="AF89" i="14"/>
  <c r="N89" i="21" s="1"/>
  <c r="AJ96" i="14"/>
  <c r="R96" i="21" s="1"/>
  <c r="AC96" i="14"/>
  <c r="K96" i="21" s="1"/>
  <c r="AG96" i="14"/>
  <c r="O96" i="21" s="1"/>
  <c r="AE96" i="14"/>
  <c r="M96" i="21" s="1"/>
  <c r="AF96" i="14"/>
  <c r="N96" i="21" s="1"/>
  <c r="AI96" i="14"/>
  <c r="Q96" i="21" s="1"/>
  <c r="AD96" i="14"/>
  <c r="L96" i="21" s="1"/>
  <c r="AH96" i="14"/>
  <c r="P96" i="21" s="1"/>
  <c r="N12" i="14" l="1" a="1"/>
  <c r="N16" i="14" l="1"/>
  <c r="N12" i="14"/>
  <c r="N14" i="14"/>
  <c r="N15" i="14"/>
  <c r="N19" i="14"/>
  <c r="N13" i="14"/>
  <c r="N18" i="14"/>
  <c r="N17" i="14"/>
  <c r="N22" i="14" l="1" a="1"/>
  <c r="N29" i="14" l="1"/>
  <c r="N22" i="14"/>
  <c r="N23" i="14"/>
  <c r="N25" i="14"/>
  <c r="N26" i="14"/>
  <c r="N28" i="14"/>
  <c r="N24" i="14"/>
  <c r="N27" i="14"/>
  <c r="N32" i="14" l="1" a="1"/>
  <c r="N38" i="14" l="1"/>
  <c r="N33" i="14"/>
  <c r="N32" i="14"/>
  <c r="N36" i="14"/>
  <c r="N39" i="14"/>
  <c r="N37" i="14"/>
  <c r="N35" i="14"/>
  <c r="N34" i="14"/>
  <c r="N42" i="14" l="1" a="1"/>
  <c r="P12" i="14" a="1"/>
  <c r="P15" i="14" s="1"/>
  <c r="N43" i="14" l="1"/>
  <c r="N47" i="14"/>
  <c r="N44" i="14"/>
  <c r="N48" i="14"/>
  <c r="N42" i="14"/>
  <c r="N49" i="14"/>
  <c r="N45" i="14"/>
  <c r="N46" i="14"/>
  <c r="P14" i="14"/>
  <c r="P16" i="14"/>
  <c r="P19" i="14"/>
  <c r="P13" i="14"/>
  <c r="P17" i="14"/>
  <c r="P18" i="14"/>
  <c r="P12" i="14"/>
  <c r="P22" i="14" s="1" a="1"/>
  <c r="N52" i="14" l="1" a="1"/>
  <c r="P22" i="14"/>
  <c r="P24" i="14"/>
  <c r="P25" i="14"/>
  <c r="P27" i="14"/>
  <c r="P28" i="14"/>
  <c r="P29" i="14"/>
  <c r="P23" i="14"/>
  <c r="P26" i="14"/>
  <c r="N54" i="14" l="1"/>
  <c r="N55" i="14"/>
  <c r="N52" i="14"/>
  <c r="N58" i="14"/>
  <c r="N59" i="14"/>
  <c r="N56" i="14"/>
  <c r="N53" i="14"/>
  <c r="N57" i="14"/>
  <c r="P32" i="14" a="1"/>
  <c r="AC100" i="14" l="1" a="1"/>
  <c r="AC110" i="14" a="1"/>
  <c r="AC101" i="14" a="1"/>
  <c r="AC99" i="14" a="1"/>
  <c r="AC102" i="14" a="1"/>
  <c r="AC104" i="14" a="1"/>
  <c r="AC107" i="14" a="1"/>
  <c r="AC103" i="14" a="1"/>
  <c r="AC109" i="14" a="1"/>
  <c r="AC106" i="14" a="1"/>
  <c r="AC105" i="14" a="1"/>
  <c r="AC108" i="14" a="1"/>
  <c r="P32" i="14"/>
  <c r="P33" i="14"/>
  <c r="P36" i="14"/>
  <c r="P34" i="14"/>
  <c r="P37" i="14"/>
  <c r="P35" i="14"/>
  <c r="P38" i="14"/>
  <c r="P39" i="14"/>
  <c r="AJ105" i="14" l="1"/>
  <c r="R105" i="21" s="1"/>
  <c r="AI105" i="14"/>
  <c r="Q105" i="21" s="1"/>
  <c r="AE105" i="14"/>
  <c r="M105" i="21" s="1"/>
  <c r="AG105" i="14"/>
  <c r="O105" i="21" s="1"/>
  <c r="AC105" i="14"/>
  <c r="K105" i="21" s="1"/>
  <c r="AF105" i="14"/>
  <c r="N105" i="21" s="1"/>
  <c r="AD105" i="14"/>
  <c r="L105" i="21" s="1"/>
  <c r="AH105" i="14"/>
  <c r="P105" i="21" s="1"/>
  <c r="AJ108" i="14"/>
  <c r="R108" i="21" s="1"/>
  <c r="AC108" i="14"/>
  <c r="K108" i="21" s="1"/>
  <c r="AG108" i="14"/>
  <c r="O108" i="21" s="1"/>
  <c r="AF108" i="14"/>
  <c r="N108" i="21" s="1"/>
  <c r="AE108" i="14"/>
  <c r="M108" i="21" s="1"/>
  <c r="AD108" i="14"/>
  <c r="L108" i="21" s="1"/>
  <c r="AI108" i="14"/>
  <c r="Q108" i="21" s="1"/>
  <c r="AH108" i="14"/>
  <c r="P108" i="21" s="1"/>
  <c r="AJ106" i="14"/>
  <c r="R106" i="21" s="1"/>
  <c r="AC106" i="14"/>
  <c r="K106" i="21" s="1"/>
  <c r="AG106" i="14"/>
  <c r="O106" i="21" s="1"/>
  <c r="AD106" i="14"/>
  <c r="L106" i="21" s="1"/>
  <c r="AH106" i="14"/>
  <c r="P106" i="21" s="1"/>
  <c r="AE106" i="14"/>
  <c r="M106" i="21" s="1"/>
  <c r="AI106" i="14"/>
  <c r="Q106" i="21" s="1"/>
  <c r="AF106" i="14"/>
  <c r="N106" i="21" s="1"/>
  <c r="AI103" i="14"/>
  <c r="Q103" i="21" s="1"/>
  <c r="AG103" i="14"/>
  <c r="O103" i="21" s="1"/>
  <c r="AC103" i="14"/>
  <c r="K103" i="21" s="1"/>
  <c r="AE103" i="14"/>
  <c r="M103" i="21" s="1"/>
  <c r="AF103" i="14"/>
  <c r="N103" i="21" s="1"/>
  <c r="AJ103" i="14"/>
  <c r="R103" i="21" s="1"/>
  <c r="AD103" i="14"/>
  <c r="L103" i="21" s="1"/>
  <c r="AH103" i="14"/>
  <c r="P103" i="21" s="1"/>
  <c r="AJ104" i="14"/>
  <c r="R104" i="21" s="1"/>
  <c r="AE104" i="14"/>
  <c r="M104" i="21" s="1"/>
  <c r="AI104" i="14"/>
  <c r="Q104" i="21" s="1"/>
  <c r="AF104" i="14"/>
  <c r="N104" i="21" s="1"/>
  <c r="AC104" i="14"/>
  <c r="K104" i="21" s="1"/>
  <c r="AH104" i="14"/>
  <c r="P104" i="21" s="1"/>
  <c r="AG104" i="14"/>
  <c r="O104" i="21" s="1"/>
  <c r="AD104" i="14"/>
  <c r="L104" i="21" s="1"/>
  <c r="AI99" i="14"/>
  <c r="Q99" i="21" s="1"/>
  <c r="AC99" i="14"/>
  <c r="K99" i="21" s="1"/>
  <c r="AE99" i="14"/>
  <c r="M99" i="21" s="1"/>
  <c r="AF99" i="14"/>
  <c r="N99" i="21" s="1"/>
  <c r="AJ99" i="14"/>
  <c r="R99" i="21" s="1"/>
  <c r="AD99" i="14"/>
  <c r="L99" i="21" s="1"/>
  <c r="AH99" i="14"/>
  <c r="P99" i="21" s="1"/>
  <c r="AG99" i="14"/>
  <c r="O99" i="21" s="1"/>
  <c r="AJ110" i="14"/>
  <c r="R110" i="21" s="1"/>
  <c r="AE110" i="14"/>
  <c r="M110" i="21" s="1"/>
  <c r="AI110" i="14"/>
  <c r="Q110" i="21" s="1"/>
  <c r="AD110" i="14"/>
  <c r="L110" i="21" s="1"/>
  <c r="AH110" i="14"/>
  <c r="P110" i="21" s="1"/>
  <c r="AG110" i="14"/>
  <c r="O110" i="21" s="1"/>
  <c r="AF110" i="14"/>
  <c r="N110" i="21" s="1"/>
  <c r="AC110" i="14"/>
  <c r="K110" i="21" s="1"/>
  <c r="AJ109" i="14"/>
  <c r="R109" i="21" s="1"/>
  <c r="AG109" i="14"/>
  <c r="O109" i="21" s="1"/>
  <c r="AC109" i="14"/>
  <c r="K109" i="21" s="1"/>
  <c r="AI109" i="14"/>
  <c r="Q109" i="21" s="1"/>
  <c r="AE109" i="14"/>
  <c r="M109" i="21" s="1"/>
  <c r="AD109" i="14"/>
  <c r="L109" i="21" s="1"/>
  <c r="AH109" i="14"/>
  <c r="P109" i="21" s="1"/>
  <c r="AF109" i="14"/>
  <c r="N109" i="21" s="1"/>
  <c r="AI107" i="14"/>
  <c r="Q107" i="21" s="1"/>
  <c r="AE107" i="14"/>
  <c r="M107" i="21" s="1"/>
  <c r="AG107" i="14"/>
  <c r="O107" i="21" s="1"/>
  <c r="AC107" i="14"/>
  <c r="K107" i="21" s="1"/>
  <c r="AD107" i="14"/>
  <c r="L107" i="21" s="1"/>
  <c r="AH107" i="14"/>
  <c r="P107" i="21" s="1"/>
  <c r="AF107" i="14"/>
  <c r="N107" i="21" s="1"/>
  <c r="AJ107" i="14"/>
  <c r="R107" i="21" s="1"/>
  <c r="AJ102" i="14"/>
  <c r="R102" i="21" s="1"/>
  <c r="AE102" i="14"/>
  <c r="M102" i="21" s="1"/>
  <c r="AI102" i="14"/>
  <c r="Q102" i="21" s="1"/>
  <c r="AD102" i="14"/>
  <c r="L102" i="21" s="1"/>
  <c r="AH102" i="14"/>
  <c r="P102" i="21" s="1"/>
  <c r="AC102" i="14"/>
  <c r="K102" i="21" s="1"/>
  <c r="AF102" i="14"/>
  <c r="N102" i="21" s="1"/>
  <c r="AG102" i="14"/>
  <c r="O102" i="21" s="1"/>
  <c r="AI101" i="14"/>
  <c r="Q101" i="21" s="1"/>
  <c r="AC101" i="14"/>
  <c r="K101" i="21" s="1"/>
  <c r="AE101" i="14"/>
  <c r="M101" i="21" s="1"/>
  <c r="AF101" i="14"/>
  <c r="N101" i="21" s="1"/>
  <c r="AJ101" i="14"/>
  <c r="R101" i="21" s="1"/>
  <c r="AD101" i="14"/>
  <c r="L101" i="21" s="1"/>
  <c r="AH101" i="14"/>
  <c r="P101" i="21" s="1"/>
  <c r="AG101" i="14"/>
  <c r="O101" i="21" s="1"/>
  <c r="AJ100" i="14"/>
  <c r="R100" i="21" s="1"/>
  <c r="AE100" i="14"/>
  <c r="M100" i="21" s="1"/>
  <c r="AI100" i="14"/>
  <c r="Q100" i="21" s="1"/>
  <c r="AD100" i="14"/>
  <c r="L100" i="21" s="1"/>
  <c r="AH100" i="14"/>
  <c r="P100" i="21" s="1"/>
  <c r="AC100" i="14"/>
  <c r="K100" i="21" s="1"/>
  <c r="AF100" i="14"/>
  <c r="N100" i="21" s="1"/>
  <c r="AG100" i="14"/>
  <c r="O100" i="21" s="1"/>
  <c r="P42" i="14" a="1"/>
  <c r="O12" i="14" l="1" a="1"/>
  <c r="P43" i="14"/>
  <c r="P48" i="14"/>
  <c r="P46" i="14"/>
  <c r="P47" i="14"/>
  <c r="P45" i="14"/>
  <c r="P49" i="14"/>
  <c r="P44" i="14"/>
  <c r="P42" i="14"/>
  <c r="O17" i="14" l="1"/>
  <c r="O16" i="14"/>
  <c r="O15" i="14"/>
  <c r="O14" i="14"/>
  <c r="O19" i="14"/>
  <c r="O13" i="14"/>
  <c r="O12" i="14"/>
  <c r="O18" i="14"/>
  <c r="P52" i="14" a="1"/>
  <c r="O22" i="14" l="1" a="1"/>
  <c r="P52" i="14"/>
  <c r="P53" i="14"/>
  <c r="P58" i="14"/>
  <c r="P54" i="14"/>
  <c r="P57" i="14"/>
  <c r="P59" i="14"/>
  <c r="P56" i="14"/>
  <c r="P55" i="14"/>
  <c r="O24" i="14" l="1"/>
  <c r="O28" i="14"/>
  <c r="O27" i="14"/>
  <c r="O22" i="14"/>
  <c r="O29" i="14"/>
  <c r="O26" i="14"/>
  <c r="O25" i="14"/>
  <c r="O23" i="14"/>
  <c r="O32" i="14" l="1" a="1"/>
  <c r="O32" i="14" l="1"/>
  <c r="O33" i="14"/>
  <c r="O35" i="14"/>
  <c r="O38" i="14"/>
  <c r="O34" i="14"/>
  <c r="O37" i="14"/>
  <c r="O36" i="14"/>
  <c r="O39" i="14"/>
  <c r="O42" i="14" l="1" a="1"/>
  <c r="O43" i="14" l="1"/>
  <c r="O45" i="14"/>
  <c r="O46" i="14"/>
  <c r="O47" i="14"/>
  <c r="O49" i="14"/>
  <c r="O44" i="14"/>
  <c r="O48" i="14"/>
  <c r="O42" i="14"/>
  <c r="O52" i="14" l="1" a="1"/>
  <c r="O57" i="14" l="1"/>
  <c r="O56" i="14"/>
  <c r="O55" i="14"/>
  <c r="O59" i="14"/>
  <c r="O58" i="14"/>
  <c r="O52" i="14"/>
  <c r="O53" i="14"/>
  <c r="O54" i="14"/>
  <c r="AC121" i="14" l="1" a="1"/>
  <c r="AC116" i="14" a="1"/>
  <c r="AC120" i="14" a="1"/>
  <c r="AC118" i="14" a="1"/>
  <c r="AC111" i="14" a="1"/>
  <c r="AC113" i="14" a="1"/>
  <c r="AC115" i="14" a="1"/>
  <c r="AC114" i="14" a="1"/>
  <c r="AC117" i="14" a="1"/>
  <c r="AC122" i="14" a="1"/>
  <c r="AC119" i="14" a="1"/>
  <c r="AC112" i="14" a="1"/>
  <c r="AJ119" i="14" l="1"/>
  <c r="R119" i="21" s="1"/>
  <c r="AG119" i="14"/>
  <c r="O119" i="21" s="1"/>
  <c r="AC119" i="14"/>
  <c r="K119" i="21" s="1"/>
  <c r="AI119" i="14"/>
  <c r="Q119" i="21" s="1"/>
  <c r="AE119" i="14"/>
  <c r="M119" i="21" s="1"/>
  <c r="AD119" i="14"/>
  <c r="L119" i="21" s="1"/>
  <c r="AH119" i="14"/>
  <c r="P119" i="21" s="1"/>
  <c r="AF119" i="14"/>
  <c r="N119" i="21" s="1"/>
  <c r="AJ112" i="14"/>
  <c r="R112" i="21" s="1"/>
  <c r="AC112" i="14"/>
  <c r="K112" i="21" s="1"/>
  <c r="AG112" i="14"/>
  <c r="O112" i="21" s="1"/>
  <c r="AE112" i="14"/>
  <c r="M112" i="21" s="1"/>
  <c r="AI112" i="14"/>
  <c r="Q112" i="21" s="1"/>
  <c r="AD112" i="14"/>
  <c r="L112" i="21" s="1"/>
  <c r="AH112" i="14"/>
  <c r="P112" i="21" s="1"/>
  <c r="AF112" i="14"/>
  <c r="N112" i="21" s="1"/>
  <c r="AJ122" i="14"/>
  <c r="R122" i="21" s="1"/>
  <c r="AE122" i="14"/>
  <c r="M122" i="21" s="1"/>
  <c r="AI122" i="14"/>
  <c r="Q122" i="21" s="1"/>
  <c r="AD122" i="14"/>
  <c r="L122" i="21" s="1"/>
  <c r="AH122" i="14"/>
  <c r="P122" i="21" s="1"/>
  <c r="AC122" i="14"/>
  <c r="K122" i="21" s="1"/>
  <c r="AG122" i="14"/>
  <c r="O122" i="21" s="1"/>
  <c r="AF122" i="14"/>
  <c r="N122" i="21" s="1"/>
  <c r="AJ114" i="14"/>
  <c r="R114" i="21" s="1"/>
  <c r="AC114" i="14"/>
  <c r="K114" i="21" s="1"/>
  <c r="AG114" i="14"/>
  <c r="O114" i="21" s="1"/>
  <c r="AE114" i="14"/>
  <c r="M114" i="21" s="1"/>
  <c r="AI114" i="14"/>
  <c r="Q114" i="21" s="1"/>
  <c r="AD114" i="14"/>
  <c r="L114" i="21" s="1"/>
  <c r="AH114" i="14"/>
  <c r="P114" i="21" s="1"/>
  <c r="AF114" i="14"/>
  <c r="N114" i="21" s="1"/>
  <c r="AI113" i="14"/>
  <c r="Q113" i="21" s="1"/>
  <c r="AC113" i="14"/>
  <c r="K113" i="21" s="1"/>
  <c r="AE113" i="14"/>
  <c r="M113" i="21" s="1"/>
  <c r="AD113" i="14"/>
  <c r="L113" i="21" s="1"/>
  <c r="AH113" i="14"/>
  <c r="P113" i="21" s="1"/>
  <c r="AF113" i="14"/>
  <c r="N113" i="21" s="1"/>
  <c r="AJ113" i="14"/>
  <c r="R113" i="21" s="1"/>
  <c r="AG113" i="14"/>
  <c r="O113" i="21" s="1"/>
  <c r="AJ118" i="14"/>
  <c r="R118" i="21" s="1"/>
  <c r="AC118" i="14"/>
  <c r="K118" i="21" s="1"/>
  <c r="AG118" i="14"/>
  <c r="O118" i="21" s="1"/>
  <c r="AE118" i="14"/>
  <c r="M118" i="21" s="1"/>
  <c r="AI118" i="14"/>
  <c r="Q118" i="21" s="1"/>
  <c r="AD118" i="14"/>
  <c r="L118" i="21" s="1"/>
  <c r="AH118" i="14"/>
  <c r="P118" i="21" s="1"/>
  <c r="AF118" i="14"/>
  <c r="N118" i="21" s="1"/>
  <c r="AJ116" i="14"/>
  <c r="R116" i="21" s="1"/>
  <c r="AE116" i="14"/>
  <c r="M116" i="21" s="1"/>
  <c r="AI116" i="14"/>
  <c r="Q116" i="21" s="1"/>
  <c r="AC116" i="14"/>
  <c r="K116" i="21" s="1"/>
  <c r="AG116" i="14"/>
  <c r="O116" i="21" s="1"/>
  <c r="AF116" i="14"/>
  <c r="N116" i="21" s="1"/>
  <c r="AD116" i="14"/>
  <c r="L116" i="21" s="1"/>
  <c r="AH116" i="14"/>
  <c r="P116" i="21" s="1"/>
  <c r="AJ117" i="14"/>
  <c r="R117" i="21" s="1"/>
  <c r="AG117" i="14"/>
  <c r="O117" i="21" s="1"/>
  <c r="AC117" i="14"/>
  <c r="K117" i="21" s="1"/>
  <c r="AI117" i="14"/>
  <c r="Q117" i="21" s="1"/>
  <c r="AE117" i="14"/>
  <c r="M117" i="21" s="1"/>
  <c r="AF117" i="14"/>
  <c r="N117" i="21" s="1"/>
  <c r="AD117" i="14"/>
  <c r="L117" i="21" s="1"/>
  <c r="AH117" i="14"/>
  <c r="P117" i="21" s="1"/>
  <c r="AJ115" i="14"/>
  <c r="R115" i="21" s="1"/>
  <c r="AG115" i="14"/>
  <c r="O115" i="21" s="1"/>
  <c r="AC115" i="14"/>
  <c r="K115" i="21" s="1"/>
  <c r="AI115" i="14"/>
  <c r="Q115" i="21" s="1"/>
  <c r="AE115" i="14"/>
  <c r="M115" i="21" s="1"/>
  <c r="AD115" i="14"/>
  <c r="L115" i="21" s="1"/>
  <c r="AH115" i="14"/>
  <c r="P115" i="21" s="1"/>
  <c r="AF115" i="14"/>
  <c r="N115" i="21" s="1"/>
  <c r="AI111" i="14"/>
  <c r="Q111" i="21" s="1"/>
  <c r="AC111" i="14"/>
  <c r="K111" i="21" s="1"/>
  <c r="AE111" i="14"/>
  <c r="M111" i="21" s="1"/>
  <c r="AD111" i="14"/>
  <c r="L111" i="21" s="1"/>
  <c r="AH111" i="14"/>
  <c r="P111" i="21" s="1"/>
  <c r="AF111" i="14"/>
  <c r="N111" i="21" s="1"/>
  <c r="AJ111" i="14"/>
  <c r="R111" i="21" s="1"/>
  <c r="AG111" i="14"/>
  <c r="O111" i="21" s="1"/>
  <c r="AJ120" i="14"/>
  <c r="R120" i="21" s="1"/>
  <c r="AE120" i="14"/>
  <c r="M120" i="21" s="1"/>
  <c r="AC120" i="14"/>
  <c r="K120" i="21" s="1"/>
  <c r="AG120" i="14"/>
  <c r="O120" i="21" s="1"/>
  <c r="AF120" i="14"/>
  <c r="N120" i="21" s="1"/>
  <c r="AI120" i="14"/>
  <c r="Q120" i="21" s="1"/>
  <c r="AH120" i="14"/>
  <c r="P120" i="21" s="1"/>
  <c r="AD120" i="14"/>
  <c r="L120" i="21" s="1"/>
  <c r="AJ121" i="14"/>
  <c r="R121" i="21" s="1"/>
  <c r="AG121" i="14"/>
  <c r="O121" i="21" s="1"/>
  <c r="AC121" i="14"/>
  <c r="K121" i="21" s="1"/>
  <c r="AI121" i="14"/>
  <c r="Q121" i="21" s="1"/>
  <c r="AE121" i="14"/>
  <c r="M121" i="21" s="1"/>
  <c r="AD121" i="14"/>
  <c r="L121" i="21" s="1"/>
  <c r="AH121" i="14"/>
  <c r="P121" i="21" s="1"/>
  <c r="AF121" i="14"/>
  <c r="N121" i="21" s="1"/>
  <c r="H36" i="1" l="1"/>
</calcChain>
</file>

<file path=xl/sharedStrings.xml><?xml version="1.0" encoding="utf-8"?>
<sst xmlns="http://schemas.openxmlformats.org/spreadsheetml/2006/main" count="961" uniqueCount="316">
  <si>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</si>
  <si>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</si>
  <si>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</si>
  <si>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</si>
  <si>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</si>
  <si>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</si>
  <si>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</si>
  <si>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</si>
  <si>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</si>
  <si>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</si>
  <si>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</si>
  <si>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</si>
  <si>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</si>
  <si>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</si>
  <si>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</si>
  <si>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</si>
  <si>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</si>
  <si>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</si>
  <si>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</si>
  <si>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</si>
  <si>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</si>
  <si>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</si>
  <si>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</si>
  <si>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</si>
  <si>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</si>
  <si>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</si>
  <si>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</si>
  <si>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</si>
  <si>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</si>
  <si>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</si>
  <si>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</si>
  <si>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</si>
  <si>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</si>
  <si>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</si>
  <si>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</si>
  <si>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</si>
  <si>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</si>
  <si>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</si>
  <si>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</si>
  <si>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</si>
  <si>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</si>
  <si>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</si>
  <si>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</si>
  <si>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</si>
  <si>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</si>
  <si>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</si>
  <si>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</si>
  <si>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</si>
  <si>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</si>
  <si>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</si>
  <si>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</si>
  <si>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</si>
  <si>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</si>
  <si>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</si>
  <si>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</si>
  <si>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</si>
  <si>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</si>
  <si>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</si>
  <si>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</si>
  <si>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</si>
  <si>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</si>
  <si>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</si>
  <si>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</si>
  <si>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</si>
  <si>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</si>
  <si>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</si>
  <si>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</si>
  <si>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</si>
  <si>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</si>
  <si>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</si>
  <si>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</si>
  <si>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</si>
  <si>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</si>
  <si>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</si>
  <si>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</si>
  <si>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</si>
  <si>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</si>
  <si>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</si>
  <si>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</si>
  <si>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</si>
  <si>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</si>
  <si>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</si>
  <si>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</si>
  <si>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</si>
  <si>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</si>
  <si>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</si>
  <si>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</si>
  <si>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</si>
  <si>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</si>
  <si>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</si>
  <si>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</si>
  <si>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</si>
  <si>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</si>
  <si>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</si>
  <si>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</si>
  <si>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</si>
  <si>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</si>
  <si>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</si>
  <si>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</si>
  <si>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</si>
  <si>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</si>
  <si>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</si>
  <si>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</si>
  <si>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</si>
  <si>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</si>
  <si>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</si>
  <si>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</si>
  <si>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</si>
  <si>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</si>
  <si>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</si>
  <si>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</si>
  <si>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</si>
  <si>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</si>
  <si>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</si>
  <si>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</si>
  <si>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</si>
  <si>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</si>
  <si>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</si>
  <si>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</si>
  <si>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</si>
  <si>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</si>
  <si>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</si>
  <si>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</si>
  <si>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</si>
  <si>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</si>
  <si>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</si>
  <si>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</si>
  <si>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</si>
  <si>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</si>
  <si>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</si>
  <si>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</si>
  <si>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</si>
  <si>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</si>
  <si>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</si>
  <si>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</si>
  <si>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</si>
  <si>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</si>
  <si>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</si>
  <si>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</si>
  <si>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</si>
  <si>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</si>
  <si>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</si>
  <si>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Section macro de capture (cm-1)</t>
  </si>
  <si>
    <t>Val</t>
  </si>
  <si>
    <t xml:space="preserve">sensibilité </t>
  </si>
  <si>
    <t>fiss.</t>
  </si>
  <si>
    <t>capt.</t>
  </si>
  <si>
    <t>Y'=M.Y</t>
  </si>
  <si>
    <t>M=</t>
  </si>
  <si>
    <t>Y=</t>
  </si>
  <si>
    <t>Y''=M.Y'</t>
  </si>
  <si>
    <t>Y(3)=M.Y(2)</t>
  </si>
  <si>
    <t>Y(4)=M.Y(3)</t>
  </si>
  <si>
    <t>Y(5)=M.Y(4)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</si>
  <si>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</si>
  <si>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</si>
  <si>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</si>
  <si>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</si>
  <si>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</si>
  <si>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</si>
  <si>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</si>
  <si>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</si>
  <si>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</si>
  <si>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</si>
  <si>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t0</t>
  </si>
  <si>
    <t>Taylor (O5)</t>
  </si>
  <si>
    <t>Meth. Expl. O5</t>
  </si>
  <si>
    <t>Meth. Math.</t>
  </si>
  <si>
    <t>Exact</t>
  </si>
  <si>
    <t>M-1=</t>
  </si>
  <si>
    <t>ALPHA1</t>
  </si>
  <si>
    <t>ALPHA2</t>
  </si>
  <si>
    <t>ALPHA3</t>
  </si>
  <si>
    <t>ALPHA4</t>
  </si>
  <si>
    <t>ALPHA5</t>
  </si>
  <si>
    <t>ALPHA6</t>
  </si>
  <si>
    <t>ALPHA7</t>
  </si>
  <si>
    <t>ALPHA8</t>
  </si>
  <si>
    <t>M*coeff=</t>
  </si>
  <si>
    <t>polchar</t>
  </si>
  <si>
    <t>polchroot</t>
  </si>
  <si>
    <t>r</t>
  </si>
  <si>
    <t>A1</t>
  </si>
  <si>
    <t>A2</t>
  </si>
  <si>
    <t>A3</t>
  </si>
  <si>
    <t>A4</t>
  </si>
  <si>
    <t>A5</t>
  </si>
  <si>
    <t>A6</t>
  </si>
  <si>
    <t>A7</t>
  </si>
  <si>
    <t>A8</t>
  </si>
  <si>
    <t>A=</t>
  </si>
  <si>
    <t>A(-1)=</t>
  </si>
  <si>
    <t>K</t>
  </si>
  <si>
    <t>Y1</t>
  </si>
  <si>
    <t>Y2</t>
  </si>
  <si>
    <t>Y3</t>
  </si>
  <si>
    <t>Y4</t>
  </si>
  <si>
    <t>Y5</t>
  </si>
  <si>
    <t>Y6</t>
  </si>
  <si>
    <t>Y7</t>
  </si>
  <si>
    <t>Y8</t>
  </si>
  <si>
    <t>k=1</t>
  </si>
  <si>
    <t>k+2</t>
  </si>
  <si>
    <t>i=1</t>
  </si>
  <si>
    <t>i=2</t>
  </si>
  <si>
    <t>k=8</t>
  </si>
  <si>
    <t xml:space="preserve">time </t>
  </si>
  <si>
    <t>DRAGON - U235</t>
  </si>
  <si>
    <t>DRAGON - U238</t>
  </si>
  <si>
    <t>DRAGON - Am241</t>
  </si>
  <si>
    <t>DRAGON - Pu242</t>
  </si>
  <si>
    <t>DRAGON - Pu241</t>
  </si>
  <si>
    <t>DRAGON - Pu240</t>
  </si>
  <si>
    <t>DRAGON - Pu239</t>
  </si>
  <si>
    <t>DRAGON - Pu238</t>
  </si>
  <si>
    <t>t(a)</t>
  </si>
  <si>
    <t>t(j)</t>
  </si>
  <si>
    <t>DRAGON</t>
  </si>
  <si>
    <t xml:space="preserve">VESTA - U235 </t>
  </si>
  <si>
    <t xml:space="preserve">VESTA - U238 </t>
  </si>
  <si>
    <t xml:space="preserve">VESTA - Pu238 </t>
  </si>
  <si>
    <t xml:space="preserve">VESTA - Pu239 </t>
  </si>
  <si>
    <t xml:space="preserve">VESTA - Pu240 </t>
  </si>
  <si>
    <t xml:space="preserve">VESTA - Pu241 </t>
  </si>
  <si>
    <t xml:space="preserve">VESTA - Pu242 </t>
  </si>
  <si>
    <t xml:space="preserve">VESTA - Am241 </t>
  </si>
  <si>
    <t>kg</t>
  </si>
  <si>
    <t>O5 N(Pu238)</t>
  </si>
  <si>
    <t>O5 N(Pu239)</t>
  </si>
  <si>
    <t>O5 N(Pu240)</t>
  </si>
  <si>
    <t>O5 N(Pu241)</t>
  </si>
  <si>
    <t>O5 N(Pu242)</t>
  </si>
  <si>
    <t>O5 N(Am241)</t>
  </si>
  <si>
    <t>O5 N(U235)</t>
  </si>
  <si>
    <t>O5 N(U238)</t>
  </si>
  <si>
    <t xml:space="preserve">  N(Pu238)</t>
  </si>
  <si>
    <t xml:space="preserve">  N(Pu239)</t>
  </si>
  <si>
    <t xml:space="preserve">  N(Pu240)</t>
  </si>
  <si>
    <t xml:space="preserve">  N(Pu241)</t>
  </si>
  <si>
    <t xml:space="preserve">  N(Pu242)</t>
  </si>
  <si>
    <t xml:space="preserve">  N(Am241)</t>
  </si>
  <si>
    <t xml:space="preserve">  N(U235)</t>
  </si>
  <si>
    <t xml:space="preserve">  N(U238)</t>
  </si>
  <si>
    <t>durée (années)</t>
  </si>
  <si>
    <t>RK1 - Pu238</t>
  </si>
  <si>
    <t>RK1 - Pu239</t>
  </si>
  <si>
    <t>RK1 - Pu240</t>
  </si>
  <si>
    <t>RK1 - Pu241</t>
  </si>
  <si>
    <t>RK1 - Pu242</t>
  </si>
  <si>
    <t>RK1 - Am241</t>
  </si>
  <si>
    <t>RK1 - U235</t>
  </si>
  <si>
    <t>RK1 - U238</t>
  </si>
  <si>
    <t>MPU</t>
  </si>
  <si>
    <t>titre</t>
  </si>
  <si>
    <t>x</t>
  </si>
  <si>
    <t>y</t>
  </si>
  <si>
    <t>Temps (années)</t>
  </si>
  <si>
    <t>Noyau</t>
  </si>
  <si>
    <t>O5</t>
  </si>
  <si>
    <t>Dragon</t>
  </si>
  <si>
    <t>Vesta</t>
  </si>
  <si>
    <t>B</t>
  </si>
  <si>
    <t>AF</t>
  </si>
  <si>
    <t>AR</t>
  </si>
  <si>
    <t>C</t>
  </si>
  <si>
    <t>L</t>
  </si>
  <si>
    <t>X</t>
  </si>
  <si>
    <t>AT</t>
  </si>
  <si>
    <t>AG</t>
  </si>
  <si>
    <t>AS</t>
  </si>
  <si>
    <t>D</t>
  </si>
  <si>
    <t>E</t>
  </si>
  <si>
    <t>F</t>
  </si>
  <si>
    <t>G</t>
  </si>
  <si>
    <t>H</t>
  </si>
  <si>
    <t>I</t>
  </si>
  <si>
    <t>M</t>
  </si>
  <si>
    <t xml:space="preserve">N </t>
  </si>
  <si>
    <t>O</t>
  </si>
  <si>
    <t>P</t>
  </si>
  <si>
    <t>Q</t>
  </si>
  <si>
    <t>R</t>
  </si>
  <si>
    <t>Z</t>
  </si>
  <si>
    <t>AA</t>
  </si>
  <si>
    <t>AB</t>
  </si>
  <si>
    <t>AC</t>
  </si>
  <si>
    <t>AD</t>
  </si>
  <si>
    <t>AH</t>
  </si>
  <si>
    <t>AI</t>
  </si>
  <si>
    <t>AJ</t>
  </si>
  <si>
    <t>AK</t>
  </si>
  <si>
    <t>AL</t>
  </si>
  <si>
    <t>AM</t>
  </si>
  <si>
    <t>AU</t>
  </si>
  <si>
    <t>AV</t>
  </si>
  <si>
    <t>AW</t>
  </si>
  <si>
    <t>AQ</t>
  </si>
  <si>
    <t>AP</t>
  </si>
  <si>
    <t>O5 - N(Pu240)</t>
  </si>
  <si>
    <r>
      <t>Concentration en at/cm</t>
    </r>
    <r>
      <rPr>
        <b/>
        <vertAlign val="superscript"/>
        <sz val="11"/>
        <color rgb="FF000000"/>
        <rFont val="Liberation Sans"/>
      </rPr>
      <t>3</t>
    </r>
  </si>
  <si>
    <t>O5 - Pu238</t>
  </si>
  <si>
    <t>O5 - Pu239</t>
  </si>
  <si>
    <t>O5 - Pu241</t>
  </si>
  <si>
    <t>O5 - Pu242</t>
  </si>
  <si>
    <t>O5 - Am241</t>
  </si>
  <si>
    <t>O5 - U235</t>
  </si>
  <si>
    <t>O5 - U238</t>
  </si>
  <si>
    <t>Exact Simpl. - Pu238</t>
  </si>
  <si>
    <t>Exact Simpl. - Pu239</t>
  </si>
  <si>
    <t>Exact Simpl. - Pu240</t>
  </si>
  <si>
    <t>Exact Simpl. - Pu241</t>
  </si>
  <si>
    <t xml:space="preserve"> Exact Simpl. - Pu242</t>
  </si>
  <si>
    <t xml:space="preserve"> Exact Simpl. - Am241</t>
  </si>
  <si>
    <t xml:space="preserve"> Exact Simpl. - U235</t>
  </si>
  <si>
    <t xml:space="preserve"> Exact Simpl. - U238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</si>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</sst>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\ _€_-;\-* #,##0.00\ _€_-;_-* &quot;-&quot;??\ _€_-;_-@_-"/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  <numFmt numFmtId="172" formatCode="_-* #,##0\ _€_-;\-* #,##0\ _€_-;_-* &quot;-&quot;??\ _€_-;_-@_-"/>
    <numFmt numFmtId="173" formatCode="0.0E+00"/>
    <numFmt numFmtId="174" formatCode="0.0%"/>
  </numFmts>
  <fonts count="26">
    <font>
      <sz val="11"/>
      <color rgb="FF000000"/>
      <name val="Liberation Sans"/>
    </font>
    <font>
      <sz val="11"/>
      <color theme="1"/>
      <name val="Calibri"/>
      <family val="2"/>
      <scheme val="minor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  <font>
      <sz val="8"/>
      <color rgb="FF000000"/>
      <name val="Liberation Sans"/>
    </font>
    <font>
      <sz val="11"/>
      <color rgb="FF000000"/>
      <name val="Liberation Sans"/>
    </font>
    <font>
      <b/>
      <sz val="11"/>
      <color theme="1"/>
      <name val="Calibri"/>
      <family val="2"/>
      <scheme val="minor"/>
    </font>
    <font>
      <b/>
      <sz val="9"/>
      <color rgb="FF000000"/>
      <name val="Liberation Sans"/>
    </font>
    <font>
      <sz val="10"/>
      <color rgb="FF000000"/>
      <name val="Courier"/>
      <family val="3"/>
    </font>
    <font>
      <b/>
      <sz val="8"/>
      <color rgb="FF000000"/>
      <name val="Liberation Sans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rgb="FF000000"/>
      <name val="Liberation Sans"/>
    </font>
    <font>
      <sz val="9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vertAlign val="superscript"/>
      <sz val="11"/>
      <color rgb="FF000000"/>
      <name val="Liberation Sans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2" fillId="0" borderId="0" applyNumberFormat="0" applyBorder="0" applyProtection="0">
      <alignment horizontal="center"/>
    </xf>
    <xf numFmtId="0" fontId="2" fillId="0" borderId="0" applyNumberFormat="0" applyBorder="0" applyProtection="0">
      <alignment horizontal="center" textRotation="90"/>
    </xf>
    <xf numFmtId="0" fontId="3" fillId="0" borderId="0" applyNumberFormat="0" applyBorder="0" applyProtection="0"/>
    <xf numFmtId="166" fontId="3" fillId="0" borderId="0" applyBorder="0" applyProtection="0"/>
    <xf numFmtId="43" fontId="15" fillId="0" borderId="0" applyFont="0" applyFill="0" applyBorder="0" applyAlignment="0" applyProtection="0"/>
    <xf numFmtId="0" fontId="1" fillId="0" borderId="0"/>
  </cellStyleXfs>
  <cellXfs count="170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4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4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4" fillId="3" borderId="16" xfId="0" applyNumberFormat="1" applyFont="1" applyFill="1" applyBorder="1" applyAlignment="1">
      <alignment horizontal="center" wrapText="1"/>
    </xf>
    <xf numFmtId="164" fontId="4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4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4" fillId="3" borderId="27" xfId="0" applyNumberFormat="1" applyFont="1" applyFill="1" applyBorder="1" applyAlignment="1">
      <alignment horizontal="center" wrapText="1"/>
    </xf>
    <xf numFmtId="164" fontId="4" fillId="3" borderId="26" xfId="0" applyNumberFormat="1" applyFont="1" applyFill="1" applyBorder="1" applyAlignment="1">
      <alignment horizontal="center" wrapText="1"/>
    </xf>
    <xf numFmtId="2" fontId="4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4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4" fillId="2" borderId="10" xfId="0" applyFont="1" applyFill="1" applyBorder="1" applyAlignment="1">
      <alignment wrapText="1"/>
    </xf>
    <xf numFmtId="0" fontId="4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2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1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8" fillId="9" borderId="4" xfId="0" applyFont="1" applyFill="1" applyBorder="1" applyAlignment="1">
      <alignment horizontal="center" wrapText="1"/>
    </xf>
    <xf numFmtId="165" fontId="8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9" fillId="9" borderId="4" xfId="0" applyNumberFormat="1" applyFont="1" applyFill="1" applyBorder="1" applyAlignment="1">
      <alignment horizontal="center" vertical="center" wrapText="1"/>
    </xf>
    <xf numFmtId="11" fontId="9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4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4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4" fillId="12" borderId="10" xfId="0" applyFont="1" applyFill="1" applyBorder="1" applyAlignment="1">
      <alignment horizontal="center" wrapText="1"/>
    </xf>
    <xf numFmtId="0" fontId="13" fillId="12" borderId="10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4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4" fillId="8" borderId="10" xfId="0" applyFont="1" applyFill="1" applyBorder="1" applyAlignment="1">
      <alignment wrapText="1"/>
    </xf>
    <xf numFmtId="11" fontId="4" fillId="8" borderId="10" xfId="0" applyNumberFormat="1" applyFont="1" applyFill="1" applyBorder="1" applyAlignment="1">
      <alignment wrapText="1"/>
    </xf>
    <xf numFmtId="164" fontId="4" fillId="13" borderId="1" xfId="0" applyNumberFormat="1" applyFont="1" applyFill="1" applyBorder="1" applyAlignment="1">
      <alignment horizontal="center" wrapText="1"/>
    </xf>
    <xf numFmtId="167" fontId="4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4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4" fillId="2" borderId="10" xfId="0" applyFont="1" applyFill="1" applyBorder="1" applyAlignment="1">
      <alignment horizontal="center" wrapText="1"/>
    </xf>
    <xf numFmtId="0" fontId="4" fillId="9" borderId="16" xfId="0" applyFont="1" applyFill="1" applyBorder="1" applyAlignment="1">
      <alignment wrapText="1"/>
    </xf>
    <xf numFmtId="0" fontId="0" fillId="9" borderId="34" xfId="0" applyFill="1" applyBorder="1" applyAlignment="1">
      <alignment wrapText="1"/>
    </xf>
    <xf numFmtId="10" fontId="4" fillId="2" borderId="10" xfId="0" applyNumberFormat="1" applyFont="1" applyFill="1" applyBorder="1" applyAlignment="1">
      <alignment horizontal="center" wrapText="1"/>
    </xf>
    <xf numFmtId="164" fontId="4" fillId="3" borderId="28" xfId="0" applyNumberFormat="1" applyFont="1" applyFill="1" applyBorder="1" applyAlignment="1">
      <alignment horizontal="center" wrapText="1"/>
    </xf>
    <xf numFmtId="0" fontId="0" fillId="0" borderId="21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164" fontId="4" fillId="0" borderId="0" xfId="0" applyNumberFormat="1" applyFont="1" applyFill="1" applyBorder="1" applyAlignment="1">
      <alignment horizontal="center" wrapText="1"/>
    </xf>
    <xf numFmtId="164" fontId="4" fillId="0" borderId="0" xfId="0" applyNumberFormat="1" applyFont="1" applyFill="1" applyBorder="1" applyAlignment="1">
      <alignment horizontal="center"/>
    </xf>
    <xf numFmtId="11" fontId="14" fillId="0" borderId="0" xfId="0" applyNumberFormat="1" applyFont="1" applyFill="1" applyBorder="1" applyAlignment="1">
      <alignment horizontal="center"/>
    </xf>
    <xf numFmtId="11" fontId="14" fillId="0" borderId="10" xfId="0" applyNumberFormat="1" applyFont="1" applyFill="1" applyBorder="1" applyAlignment="1">
      <alignment horizontal="center"/>
    </xf>
    <xf numFmtId="0" fontId="14" fillId="0" borderId="10" xfId="0" applyNumberFormat="1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 wrapText="1"/>
    </xf>
    <xf numFmtId="11" fontId="0" fillId="0" borderId="0" xfId="0" applyNumberFormat="1" applyFont="1" applyFill="1" applyBorder="1" applyAlignment="1">
      <alignment horizontal="center"/>
    </xf>
    <xf numFmtId="0" fontId="14" fillId="0" borderId="0" xfId="0" applyNumberFormat="1" applyFont="1" applyFill="1" applyBorder="1" applyAlignment="1">
      <alignment horizontal="center"/>
    </xf>
    <xf numFmtId="172" fontId="4" fillId="3" borderId="27" xfId="5" applyNumberFormat="1" applyFont="1" applyFill="1" applyBorder="1" applyAlignment="1">
      <alignment horizontal="center" wrapText="1"/>
    </xf>
    <xf numFmtId="173" fontId="0" fillId="0" borderId="0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0" fillId="7" borderId="30" xfId="0" applyNumberFormat="1" applyFill="1" applyBorder="1" applyAlignment="1">
      <alignment horizontal="center"/>
    </xf>
    <xf numFmtId="164" fontId="17" fillId="0" borderId="0" xfId="0" applyNumberFormat="1" applyFont="1" applyFill="1" applyBorder="1" applyAlignment="1">
      <alignment horizontal="center"/>
    </xf>
    <xf numFmtId="0" fontId="18" fillId="0" borderId="0" xfId="0" applyFont="1"/>
    <xf numFmtId="11" fontId="19" fillId="0" borderId="0" xfId="0" applyNumberFormat="1" applyFont="1" applyFill="1" applyBorder="1" applyAlignment="1">
      <alignment horizontal="center"/>
    </xf>
    <xf numFmtId="11" fontId="18" fillId="0" borderId="0" xfId="0" applyNumberFormat="1" applyFont="1"/>
    <xf numFmtId="11" fontId="14" fillId="4" borderId="10" xfId="0" applyNumberFormat="1" applyFont="1" applyFill="1" applyBorder="1" applyAlignment="1">
      <alignment horizontal="center"/>
    </xf>
    <xf numFmtId="0" fontId="14" fillId="4" borderId="10" xfId="0" applyNumberFormat="1" applyFont="1" applyFill="1" applyBorder="1" applyAlignment="1">
      <alignment horizontal="center"/>
    </xf>
    <xf numFmtId="0" fontId="1" fillId="0" borderId="0" xfId="6"/>
    <xf numFmtId="11" fontId="1" fillId="0" borderId="0" xfId="6" applyNumberFormat="1"/>
    <xf numFmtId="0" fontId="20" fillId="0" borderId="0" xfId="6" applyFont="1"/>
    <xf numFmtId="11" fontId="20" fillId="0" borderId="0" xfId="6" applyNumberFormat="1" applyFont="1"/>
    <xf numFmtId="0" fontId="21" fillId="0" borderId="0" xfId="6" applyFont="1" applyAlignment="1">
      <alignment wrapText="1"/>
    </xf>
    <xf numFmtId="0" fontId="20" fillId="0" borderId="0" xfId="6" applyFont="1" applyAlignment="1">
      <alignment wrapText="1"/>
    </xf>
    <xf numFmtId="0" fontId="1" fillId="0" borderId="0" xfId="6" applyAlignment="1">
      <alignment wrapText="1"/>
    </xf>
    <xf numFmtId="0" fontId="16" fillId="0" borderId="0" xfId="6" applyFont="1" applyAlignment="1">
      <alignment wrapText="1"/>
    </xf>
    <xf numFmtId="2" fontId="1" fillId="0" borderId="0" xfId="6" applyNumberFormat="1"/>
    <xf numFmtId="2" fontId="4" fillId="0" borderId="0" xfId="0" applyNumberFormat="1" applyFont="1" applyFill="1" applyBorder="1" applyAlignment="1">
      <alignment horizontal="center" wrapText="1"/>
    </xf>
    <xf numFmtId="164" fontId="14" fillId="0" borderId="10" xfId="0" applyNumberFormat="1" applyFont="1" applyFill="1" applyBorder="1" applyAlignment="1">
      <alignment horizontal="center"/>
    </xf>
    <xf numFmtId="164" fontId="8" fillId="0" borderId="0" xfId="0" applyNumberFormat="1" applyFont="1"/>
    <xf numFmtId="164" fontId="22" fillId="0" borderId="0" xfId="0" applyNumberFormat="1" applyFont="1" applyAlignment="1">
      <alignment horizontal="center" wrapText="1"/>
    </xf>
    <xf numFmtId="164" fontId="17" fillId="3" borderId="11" xfId="0" applyNumberFormat="1" applyFont="1" applyFill="1" applyBorder="1" applyAlignment="1">
      <alignment horizontal="center" wrapText="1"/>
    </xf>
    <xf numFmtId="164" fontId="17" fillId="3" borderId="28" xfId="0" applyNumberFormat="1" applyFont="1" applyFill="1" applyBorder="1" applyAlignment="1">
      <alignment horizontal="center" wrapText="1"/>
    </xf>
    <xf numFmtId="164" fontId="17" fillId="0" borderId="0" xfId="0" applyNumberFormat="1" applyFont="1" applyFill="1" applyBorder="1" applyAlignment="1">
      <alignment horizontal="center" wrapText="1"/>
    </xf>
    <xf numFmtId="164" fontId="17" fillId="3" borderId="27" xfId="0" applyNumberFormat="1" applyFont="1" applyFill="1" applyBorder="1" applyAlignment="1">
      <alignment horizontal="center" wrapText="1"/>
    </xf>
    <xf numFmtId="164" fontId="23" fillId="0" borderId="0" xfId="6" applyNumberFormat="1" applyFont="1" applyAlignment="1">
      <alignment wrapText="1"/>
    </xf>
    <xf numFmtId="164" fontId="24" fillId="0" borderId="0" xfId="6" applyNumberFormat="1" applyFont="1"/>
    <xf numFmtId="164" fontId="22" fillId="0" borderId="0" xfId="0" applyNumberFormat="1" applyFont="1"/>
    <xf numFmtId="164" fontId="22" fillId="0" borderId="0" xfId="0" applyNumberFormat="1" applyFont="1" applyAlignment="1">
      <alignment horizontal="center"/>
    </xf>
    <xf numFmtId="164" fontId="22" fillId="6" borderId="29" xfId="0" applyNumberFormat="1" applyFont="1" applyFill="1" applyBorder="1" applyAlignment="1">
      <alignment horizontal="center"/>
    </xf>
    <xf numFmtId="164" fontId="22" fillId="7" borderId="29" xfId="0" applyNumberFormat="1" applyFont="1" applyFill="1" applyBorder="1" applyAlignment="1">
      <alignment horizontal="center"/>
    </xf>
    <xf numFmtId="164" fontId="22" fillId="0" borderId="0" xfId="0" applyNumberFormat="1" applyFont="1" applyFill="1" applyBorder="1" applyAlignment="1">
      <alignment horizontal="center"/>
    </xf>
    <xf numFmtId="164" fontId="22" fillId="7" borderId="0" xfId="0" applyNumberFormat="1" applyFont="1" applyFill="1" applyBorder="1" applyAlignment="1">
      <alignment horizontal="center"/>
    </xf>
    <xf numFmtId="164" fontId="22" fillId="0" borderId="21" xfId="0" applyNumberFormat="1" applyFont="1" applyFill="1" applyBorder="1" applyAlignment="1">
      <alignment horizontal="center"/>
    </xf>
    <xf numFmtId="164" fontId="24" fillId="0" borderId="0" xfId="6" applyNumberFormat="1" applyFont="1" applyBorder="1"/>
    <xf numFmtId="164" fontId="22" fillId="0" borderId="0" xfId="0" applyNumberFormat="1" applyFont="1" applyFill="1" applyAlignment="1">
      <alignment horizontal="center"/>
    </xf>
    <xf numFmtId="174" fontId="1" fillId="0" borderId="0" xfId="6" applyNumberFormat="1"/>
    <xf numFmtId="10" fontId="1" fillId="0" borderId="0" xfId="6" applyNumberFormat="1"/>
    <xf numFmtId="10" fontId="1" fillId="0" borderId="0" xfId="6" applyNumberFormat="1" applyAlignment="1">
      <alignment wrapText="1"/>
    </xf>
    <xf numFmtId="11" fontId="4" fillId="3" borderId="11" xfId="0" applyNumberFormat="1" applyFont="1" applyFill="1" applyBorder="1" applyAlignment="1">
      <alignment horizontal="center" wrapText="1"/>
    </xf>
    <xf numFmtId="11" fontId="4" fillId="3" borderId="28" xfId="0" applyNumberFormat="1" applyFont="1" applyFill="1" applyBorder="1" applyAlignment="1">
      <alignment horizontal="center" wrapText="1"/>
    </xf>
    <xf numFmtId="11" fontId="0" fillId="7" borderId="30" xfId="0" applyNumberFormat="1" applyFill="1" applyBorder="1" applyAlignment="1">
      <alignment horizontal="center"/>
    </xf>
    <xf numFmtId="11" fontId="0" fillId="0" borderId="0" xfId="0" applyNumberFormat="1" applyAlignment="1">
      <alignment horizontal="center"/>
    </xf>
    <xf numFmtId="0" fontId="6" fillId="0" borderId="0" xfId="0" applyFont="1" applyAlignment="1">
      <alignment horizontal="center" vertical="center" readingOrder="1"/>
    </xf>
    <xf numFmtId="0" fontId="4" fillId="2" borderId="14" xfId="0" applyFont="1" applyFill="1" applyBorder="1" applyAlignment="1">
      <alignment horizontal="center" wrapText="1"/>
    </xf>
    <xf numFmtId="0" fontId="4" fillId="2" borderId="33" xfId="0" applyFont="1" applyFill="1" applyBorder="1" applyAlignment="1">
      <alignment horizontal="center" wrapText="1"/>
    </xf>
    <xf numFmtId="0" fontId="4" fillId="13" borderId="0" xfId="0" applyFont="1" applyFill="1" applyAlignment="1">
      <alignment horizontal="center" wrapText="1"/>
    </xf>
    <xf numFmtId="0" fontId="4" fillId="2" borderId="10" xfId="0" applyFont="1" applyFill="1" applyBorder="1" applyAlignment="1">
      <alignment horizontal="center" wrapText="1"/>
    </xf>
    <xf numFmtId="0" fontId="4" fillId="2" borderId="31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  <xf numFmtId="0" fontId="4" fillId="0" borderId="0" xfId="0" applyFont="1" applyAlignment="1">
      <alignment horizontal="center" vertical="center" readingOrder="1"/>
    </xf>
  </cellXfs>
  <cellStyles count="7">
    <cellStyle name="Heading" xfId="1"/>
    <cellStyle name="Heading1" xfId="2"/>
    <cellStyle name="Milliers" xfId="5" builtinId="3"/>
    <cellStyle name="Normal" xfId="0" builtinId="0" customBuiltin="1"/>
    <cellStyle name="Normal 2" xfId="6"/>
    <cellStyle name="Result" xfId="3"/>
    <cellStyle name="Result2" xfId="4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4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2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3.xml"/><Relationship Id="rId23" Type="http://schemas.openxmlformats.org/officeDocument/2006/relationships/externalLink" Target="externalLinks/externalLink4.xml"/><Relationship Id="rId28" Type="http://schemas.microsoft.com/office/2006/relationships/vbaProject" Target="vbaProject.bin"/><Relationship Id="rId10" Type="http://schemas.openxmlformats.org/officeDocument/2006/relationships/chartsheet" Target="chartsheets/sheet1.xml"/><Relationship Id="rId19" Type="http://schemas.openxmlformats.org/officeDocument/2006/relationships/worksheet" Target="worksheets/sheet1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2.xml"/><Relationship Id="rId22" Type="http://schemas.openxmlformats.org/officeDocument/2006/relationships/externalLink" Target="externalLinks/externalLink3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69792"/>
        <c:axId val="67971328"/>
      </c:barChart>
      <c:catAx>
        <c:axId val="67969792"/>
        <c:scaling>
          <c:orientation val="minMax"/>
        </c:scaling>
        <c:delete val="0"/>
        <c:axPos val="b"/>
        <c:majorTickMark val="out"/>
        <c:minorTickMark val="none"/>
        <c:tickLblPos val="nextTo"/>
        <c:crossAx val="67971328"/>
        <c:crosses val="autoZero"/>
        <c:auto val="1"/>
        <c:lblAlgn val="ctr"/>
        <c:lblOffset val="100"/>
        <c:noMultiLvlLbl val="0"/>
      </c:catAx>
      <c:valAx>
        <c:axId val="67971328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67969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-1.113320079522917E-3</c:v>
                </c:pt>
                <c:pt idx="1">
                  <c:v>-1.1375270162666817E-3</c:v>
                </c:pt>
                <c:pt idx="2">
                  <c:v>4.3648003103857747E-4</c:v>
                </c:pt>
                <c:pt idx="3">
                  <c:v>-2.0098441345365314E-3</c:v>
                </c:pt>
                <c:pt idx="4">
                  <c:v>5.0118614053262789E-4</c:v>
                </c:pt>
                <c:pt idx="5">
                  <c:v>3.6295245322870429E-4</c:v>
                </c:pt>
                <c:pt idx="6">
                  <c:v>-2.1225644933057231E-3</c:v>
                </c:pt>
                <c:pt idx="7">
                  <c:v>4.8404662982526325E-4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-4.7829654385719289E-3</c:v>
                </c:pt>
                <c:pt idx="1">
                  <c:v>-3.956091729159894E-3</c:v>
                </c:pt>
                <c:pt idx="2">
                  <c:v>-2.6504282303463356E-3</c:v>
                </c:pt>
                <c:pt idx="3">
                  <c:v>-3.3815350389322374E-3</c:v>
                </c:pt>
                <c:pt idx="4">
                  <c:v>-3.4991530712311647E-3</c:v>
                </c:pt>
                <c:pt idx="5">
                  <c:v>-3.0758310658938193E-3</c:v>
                </c:pt>
                <c:pt idx="6">
                  <c:v>-3.8248304904668906E-3</c:v>
                </c:pt>
                <c:pt idx="7">
                  <c:v>4.6170148349984341E-3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1124864"/>
        <c:axId val="91126400"/>
      </c:barChart>
      <c:catAx>
        <c:axId val="91124864"/>
        <c:scaling>
          <c:orientation val="minMax"/>
        </c:scaling>
        <c:delete val="0"/>
        <c:axPos val="b"/>
        <c:majorTickMark val="out"/>
        <c:minorTickMark val="none"/>
        <c:tickLblPos val="nextTo"/>
        <c:crossAx val="91126400"/>
        <c:crosses val="autoZero"/>
        <c:auto val="1"/>
        <c:lblAlgn val="ctr"/>
        <c:lblOffset val="100"/>
        <c:noMultiLvlLbl val="0"/>
      </c:catAx>
      <c:valAx>
        <c:axId val="9112640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911248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mod.O5!$AC$1</c:f>
              <c:strCache>
                <c:ptCount val="1"/>
                <c:pt idx="0">
                  <c:v>O5 N(Pu238)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mod.O5!$AC$2:$AC$136</c:f>
              <c:numCache>
                <c:formatCode>General</c:formatCode>
                <c:ptCount val="135"/>
                <c:pt idx="0" formatCode="0.00">
                  <c:v>1.2032336397210882E+19</c:v>
                </c:pt>
                <c:pt idx="1">
                  <c:v>1.2596543937684191E+19</c:v>
                </c:pt>
                <c:pt idx="2">
                  <c:v>1.314285138892204E+19</c:v>
                </c:pt>
                <c:pt idx="3">
                  <c:v>1.3671672617136284E+19</c:v>
                </c:pt>
                <c:pt idx="4">
                  <c:v>1.418341442422512E+19</c:v>
                </c:pt>
                <c:pt idx="5">
                  <c:v>1.4678476591997563E+19</c:v>
                </c:pt>
                <c:pt idx="6">
                  <c:v>1.5157251926397983E+19</c:v>
                </c:pt>
                <c:pt idx="7">
                  <c:v>1.5620126301730623E+19</c:v>
                </c:pt>
                <c:pt idx="8">
                  <c:v>1.6067478704884113E+19</c:v>
                </c:pt>
                <c:pt idx="9">
                  <c:v>1.6499681279555987E+19</c:v>
                </c:pt>
                <c:pt idx="10">
                  <c:v>1.6917099370477197E+19</c:v>
                </c:pt>
                <c:pt idx="11">
                  <c:v>1.732009156763664E+19</c:v>
                </c:pt>
                <c:pt idx="12">
                  <c:v>1.7709009750505669E+19</c:v>
                </c:pt>
                <c:pt idx="13">
                  <c:v>1.8084206790398081E+19</c:v>
                </c:pt>
                <c:pt idx="14">
                  <c:v>1.8446016719520647E+19</c:v>
                </c:pt>
                <c:pt idx="15">
                  <c:v>1.8794772575702479E+19</c:v>
                </c:pt>
                <c:pt idx="16">
                  <c:v>1.9130801085002007E+19</c:v>
                </c:pt>
                <c:pt idx="17">
                  <c:v>1.9454422730904166E+19</c:v>
                </c:pt>
                <c:pt idx="18">
                  <c:v>1.9765951823517495E+19</c:v>
                </c:pt>
                <c:pt idx="19">
                  <c:v>2.0065696568771265E+19</c:v>
                </c:pt>
                <c:pt idx="20">
                  <c:v>2.0353959137612653E+19</c:v>
                </c:pt>
                <c:pt idx="21">
                  <c:v>2.0631035735203795E+19</c:v>
                </c:pt>
                <c:pt idx="22">
                  <c:v>2.0897216670119018E+19</c:v>
                </c:pt>
                <c:pt idx="23">
                  <c:v>2.1152786423541907E+19</c:v>
                </c:pt>
                <c:pt idx="24">
                  <c:v>2.1398023718462448E+19</c:v>
                </c:pt>
                <c:pt idx="25">
                  <c:v>2.1633204611790545E+19</c:v>
                </c:pt>
                <c:pt idx="26">
                  <c:v>2.1858594623160435E+19</c:v>
                </c:pt>
                <c:pt idx="27">
                  <c:v>2.2074455981244969E+19</c:v>
                </c:pt>
                <c:pt idx="28">
                  <c:v>2.2281045508420997E+19</c:v>
                </c:pt>
                <c:pt idx="29">
                  <c:v>2.2478614697759318E+19</c:v>
                </c:pt>
                <c:pt idx="30">
                  <c:v>2.2667409790014497E+19</c:v>
                </c:pt>
                <c:pt idx="31">
                  <c:v>2.2847671850614768E+19</c:v>
                </c:pt>
                <c:pt idx="32">
                  <c:v>2.3019636846651912E+19</c:v>
                </c:pt>
                <c:pt idx="33">
                  <c:v>2.3183535723871146E+19</c:v>
                </c:pt>
                <c:pt idx="34">
                  <c:v>2.333959448366098E+19</c:v>
                </c:pt>
                <c:pt idx="35">
                  <c:v>2.3488034260043112E+19</c:v>
                </c:pt>
                <c:pt idx="36">
                  <c:v>2.3629071396662321E+19</c:v>
                </c:pt>
                <c:pt idx="37">
                  <c:v>2.3762917868079403E+19</c:v>
                </c:pt>
                <c:pt idx="38">
                  <c:v>2.3889780324963009E+19</c:v>
                </c:pt>
                <c:pt idx="39">
                  <c:v>2.4009861190591513E+19</c:v>
                </c:pt>
                <c:pt idx="40">
                  <c:v>2.4123358397672296E+19</c:v>
                </c:pt>
                <c:pt idx="41">
                  <c:v>2.423046546345096E+19</c:v>
                </c:pt>
                <c:pt idx="42">
                  <c:v>2.4331371564820513E+19</c:v>
                </c:pt>
                <c:pt idx="43">
                  <c:v>2.4426261613430649E+19</c:v>
                </c:pt>
                <c:pt idx="44">
                  <c:v>2.4515316330796904E+19</c:v>
                </c:pt>
                <c:pt idx="45">
                  <c:v>2.4598712323409953E+19</c:v>
                </c:pt>
                <c:pt idx="46">
                  <c:v>2.4676622157844754E+19</c:v>
                </c:pt>
                <c:pt idx="47">
                  <c:v>2.4749214435869831E+19</c:v>
                </c:pt>
                <c:pt idx="48">
                  <c:v>2.481665386955647E+19</c:v>
                </c:pt>
                <c:pt idx="49">
                  <c:v>2.4879100257572585E+19</c:v>
                </c:pt>
                <c:pt idx="50">
                  <c:v>2.4936711261319193E+19</c:v>
                </c:pt>
                <c:pt idx="51">
                  <c:v>2.4989640165015855E+19</c:v>
                </c:pt>
                <c:pt idx="52">
                  <c:v>2.5038036612025692E+19</c:v>
                </c:pt>
                <c:pt idx="53">
                  <c:v>2.5082046673107005E+19</c:v>
                </c:pt>
                <c:pt idx="54">
                  <c:v>2.5121812914664894E+19</c:v>
                </c:pt>
                <c:pt idx="55">
                  <c:v>2.5157474467002839E+19</c:v>
                </c:pt>
                <c:pt idx="56">
                  <c:v>2.5189167092574368E+19</c:v>
                </c:pt>
                <c:pt idx="57">
                  <c:v>2.5217023254234624E+19</c:v>
                </c:pt>
                <c:pt idx="58">
                  <c:v>2.5241172183492002E+19</c:v>
                </c:pt>
                <c:pt idx="59">
                  <c:v>2.5261739948759761E+19</c:v>
                </c:pt>
                <c:pt idx="60">
                  <c:v>2.5278849523607638E+19</c:v>
                </c:pt>
                <c:pt idx="61">
                  <c:v>2.5292619075303313E+19</c:v>
                </c:pt>
                <c:pt idx="62">
                  <c:v>2.5303166505971208E+19</c:v>
                </c:pt>
                <c:pt idx="63">
                  <c:v>2.5310605615625998E+19</c:v>
                </c:pt>
                <c:pt idx="64">
                  <c:v>2.5315047311750672E+19</c:v>
                </c:pt>
                <c:pt idx="65">
                  <c:v>2.5316599668574077E+19</c:v>
                </c:pt>
                <c:pt idx="66">
                  <c:v>2.5315367986348536E+19</c:v>
                </c:pt>
                <c:pt idx="67">
                  <c:v>2.5311454850627351E+19</c:v>
                </c:pt>
                <c:pt idx="68">
                  <c:v>2.5304960191542432E+19</c:v>
                </c:pt>
                <c:pt idx="69">
                  <c:v>2.5295981343081812E+19</c:v>
                </c:pt>
                <c:pt idx="70">
                  <c:v>2.5284613102367257E+19</c:v>
                </c:pt>
                <c:pt idx="71">
                  <c:v>2.5270947788931817E+19</c:v>
                </c:pt>
                <c:pt idx="72">
                  <c:v>2.5255075303997342E+19</c:v>
                </c:pt>
                <c:pt idx="73">
                  <c:v>2.5237081184178864E+19</c:v>
                </c:pt>
                <c:pt idx="74">
                  <c:v>2.5217051733436129E+19</c:v>
                </c:pt>
                <c:pt idx="75">
                  <c:v>2.5195069630603432E+19</c:v>
                </c:pt>
                <c:pt idx="76">
                  <c:v>2.5171215297860641E+19</c:v>
                </c:pt>
                <c:pt idx="77">
                  <c:v>2.5145566950595908E+19</c:v>
                </c:pt>
                <c:pt idx="78">
                  <c:v>2.5118200647268413E+19</c:v>
                </c:pt>
                <c:pt idx="79">
                  <c:v>2.5089190339271029E+19</c:v>
                </c:pt>
                <c:pt idx="80">
                  <c:v>2.5058607920793072E+19</c:v>
                </c:pt>
                <c:pt idx="81">
                  <c:v>2.5026523278682993E+19</c:v>
                </c:pt>
                <c:pt idx="82">
                  <c:v>2.4993004342311072E+19</c:v>
                </c:pt>
                <c:pt idx="83">
                  <c:v>2.4958117133432164E+19</c:v>
                </c:pt>
                <c:pt idx="84">
                  <c:v>2.4921925816048378E+19</c:v>
                </c:pt>
                <c:pt idx="85">
                  <c:v>2.4884490773279646E+19</c:v>
                </c:pt>
                <c:pt idx="86">
                  <c:v>2.4845873662625366E+19</c:v>
                </c:pt>
                <c:pt idx="87">
                  <c:v>2.4806133062407373E+19</c:v>
                </c:pt>
                <c:pt idx="88">
                  <c:v>2.4765325820404527E+19</c:v>
                </c:pt>
                <c:pt idx="89">
                  <c:v>2.4723507094782747E+19</c:v>
                </c:pt>
                <c:pt idx="90">
                  <c:v>2.468073039502506E+19</c:v>
                </c:pt>
                <c:pt idx="91">
                  <c:v>2.4637047622861672E+19</c:v>
                </c:pt>
                <c:pt idx="92">
                  <c:v>2.4592509113199976E+19</c:v>
                </c:pt>
                <c:pt idx="93">
                  <c:v>2.4547163675054653E+19</c:v>
                </c:pt>
                <c:pt idx="94">
                  <c:v>2.4501058632477688E+19</c:v>
                </c:pt>
                <c:pt idx="95">
                  <c:v>2.4454239865488421E+19</c:v>
                </c:pt>
                <c:pt idx="96">
                  <c:v>2.4406751851003613E+19</c:v>
                </c:pt>
                <c:pt idx="97">
                  <c:v>2.4358635898320036E+19</c:v>
                </c:pt>
                <c:pt idx="98">
                  <c:v>2.4309934778589184E+19</c:v>
                </c:pt>
                <c:pt idx="99">
                  <c:v>2.4260688723264397E+19</c:v>
                </c:pt>
                <c:pt idx="100">
                  <c:v>2.421093665938781E+19</c:v>
                </c:pt>
                <c:pt idx="101">
                  <c:v>2.4160716242524951E+19</c:v>
                </c:pt>
                <c:pt idx="102">
                  <c:v>2.4110063889699303E+19</c:v>
                </c:pt>
                <c:pt idx="103">
                  <c:v>2.4059014812326941E+19</c:v>
                </c:pt>
                <c:pt idx="104">
                  <c:v>2.4007603049151082E+19</c:v>
                </c:pt>
                <c:pt idx="105">
                  <c:v>2.3955861499176653E+19</c:v>
                </c:pt>
                <c:pt idx="106">
                  <c:v>2.3903821954604958E+19</c:v>
                </c:pt>
                <c:pt idx="107">
                  <c:v>2.3851515133768159E+19</c:v>
                </c:pt>
                <c:pt idx="108">
                  <c:v>2.379897071406395E+19</c:v>
                </c:pt>
                <c:pt idx="109">
                  <c:v>2.3746215786343199E+19</c:v>
                </c:pt>
                <c:pt idx="110">
                  <c:v>2.3693278904525246E+19</c:v>
                </c:pt>
                <c:pt idx="111">
                  <c:v>2.3640186576478614E+19</c:v>
                </c:pt>
                <c:pt idx="112">
                  <c:v>2.3586964344651661E+19</c:v>
                </c:pt>
                <c:pt idx="113">
                  <c:v>2.3533636812121375E+19</c:v>
                </c:pt>
                <c:pt idx="114">
                  <c:v>2.3480227668642218E+19</c:v>
                </c:pt>
                <c:pt idx="115">
                  <c:v>2.3426759716694897E+19</c:v>
                </c:pt>
                <c:pt idx="116">
                  <c:v>2.3373254897535222E+19</c:v>
                </c:pt>
                <c:pt idx="117">
                  <c:v>2.3319734317242884E+19</c:v>
                </c:pt>
                <c:pt idx="118">
                  <c:v>2.3266218272770273E+19</c:v>
                </c:pt>
                <c:pt idx="119">
                  <c:v>2.3212726277991305E+19</c:v>
                </c:pt>
                <c:pt idx="120">
                  <c:v>2.3159277089750217E+19</c:v>
                </c:pt>
              </c:numCache>
            </c:numRef>
          </c:val>
        </c:ser>
        <c:ser>
          <c:idx val="2"/>
          <c:order val="1"/>
          <c:tx>
            <c:strRef>
              <c:f>mod.O5!$AD$1</c:f>
              <c:strCache>
                <c:ptCount val="1"/>
                <c:pt idx="0">
                  <c:v>O5 N(Pu239)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mod.O5!$AD$2:$AD$136</c:f>
              <c:numCache>
                <c:formatCode>0.00</c:formatCode>
                <c:ptCount val="135"/>
                <c:pt idx="0">
                  <c:v>2.1782E+21</c:v>
                </c:pt>
                <c:pt idx="1">
                  <c:v>2.1746598337089951E+21</c:v>
                </c:pt>
                <c:pt idx="2">
                  <c:v>2.1710791878641288E+21</c:v>
                </c:pt>
                <c:pt idx="3">
                  <c:v>2.1674591149753316E+21</c:v>
                </c:pt>
                <c:pt idx="4">
                  <c:v>2.1638006474764777E+21</c:v>
                </c:pt>
                <c:pt idx="5">
                  <c:v>2.160104798116242E+21</c:v>
                </c:pt>
                <c:pt idx="6">
                  <c:v>2.1563725603489603E+21</c:v>
                </c:pt>
                <c:pt idx="7">
                  <c:v>2.1526049087254873E+21</c:v>
                </c:pt>
                <c:pt idx="8">
                  <c:v>2.1488027992840575E+21</c:v>
                </c:pt>
                <c:pt idx="9">
                  <c:v>2.1449671699411454E+21</c:v>
                </c:pt>
                <c:pt idx="10">
                  <c:v>2.1410989408823232E+21</c:v>
                </c:pt>
                <c:pt idx="11">
                  <c:v>2.1371990149531194E+21</c:v>
                </c:pt>
                <c:pt idx="12">
                  <c:v>2.1332682780498812E+21</c:v>
                </c:pt>
                <c:pt idx="13">
                  <c:v>2.129307580049966E+21</c:v>
                </c:pt>
                <c:pt idx="14">
                  <c:v>2.1253177848968239E+21</c:v>
                </c:pt>
                <c:pt idx="15">
                  <c:v>2.1212997270427148E+21</c:v>
                </c:pt>
                <c:pt idx="16">
                  <c:v>2.117254224883242E+21</c:v>
                </c:pt>
                <c:pt idx="17">
                  <c:v>2.113182081066967E+21</c:v>
                </c:pt>
                <c:pt idx="18">
                  <c:v>2.1090840828050284E+21</c:v>
                </c:pt>
                <c:pt idx="19">
                  <c:v>2.1049610021807587E+21</c:v>
                </c:pt>
                <c:pt idx="20">
                  <c:v>2.1008135964593003E+21</c:v>
                </c:pt>
                <c:pt idx="21">
                  <c:v>2.0966426083972235E+21</c:v>
                </c:pt>
                <c:pt idx="22">
                  <c:v>2.0924487665521428E+21</c:v>
                </c:pt>
                <c:pt idx="23">
                  <c:v>2.0882327855923336E+21</c:v>
                </c:pt>
                <c:pt idx="24">
                  <c:v>2.0839953666063511E+21</c:v>
                </c:pt>
                <c:pt idx="25">
                  <c:v>2.0797371823802873E+21</c:v>
                </c:pt>
                <c:pt idx="26">
                  <c:v>2.0754589160807643E+21</c:v>
                </c:pt>
                <c:pt idx="27">
                  <c:v>2.0711612276372283E+21</c:v>
                </c:pt>
                <c:pt idx="28">
                  <c:v>2.0668447641179343E+21</c:v>
                </c:pt>
                <c:pt idx="29">
                  <c:v>2.0625101599765268E+21</c:v>
                </c:pt>
                <c:pt idx="30">
                  <c:v>2.0581580372986212E+21</c:v>
                </c:pt>
                <c:pt idx="31">
                  <c:v>2.053789006048385E+21</c:v>
                </c:pt>
                <c:pt idx="32">
                  <c:v>2.049403664315118E+21</c:v>
                </c:pt>
                <c:pt idx="33">
                  <c:v>2.0450025985598313E+21</c:v>
                </c:pt>
                <c:pt idx="34">
                  <c:v>2.0405863838618322E+21</c:v>
                </c:pt>
                <c:pt idx="35">
                  <c:v>2.0361555841653004E+21</c:v>
                </c:pt>
                <c:pt idx="36">
                  <c:v>2.0317107525258715E+21</c:v>
                </c:pt>
                <c:pt idx="37">
                  <c:v>2.0272524196295853E+21</c:v>
                </c:pt>
                <c:pt idx="38">
                  <c:v>2.0227811239678734E+21</c:v>
                </c:pt>
                <c:pt idx="39">
                  <c:v>2.0182973856295879E+21</c:v>
                </c:pt>
                <c:pt idx="40">
                  <c:v>2.0138017143945513E+21</c:v>
                </c:pt>
                <c:pt idx="41">
                  <c:v>2.0092946099307639E+21</c:v>
                </c:pt>
                <c:pt idx="42">
                  <c:v>2.0047765619916118E+21</c:v>
                </c:pt>
                <c:pt idx="43">
                  <c:v>2.0002480506130745E+21</c:v>
                </c:pt>
                <c:pt idx="44">
                  <c:v>1.9957095463109334E+21</c:v>
                </c:pt>
                <c:pt idx="45">
                  <c:v>1.9911615102779783E+21</c:v>
                </c:pt>
                <c:pt idx="46">
                  <c:v>1.9866043945812149E+21</c:v>
                </c:pt>
                <c:pt idx="47">
                  <c:v>1.9820386423590751E+21</c:v>
                </c:pt>
                <c:pt idx="48">
                  <c:v>1.9774646880186233E+21</c:v>
                </c:pt>
                <c:pt idx="49">
                  <c:v>1.9728829482031815E+21</c:v>
                </c:pt>
                <c:pt idx="50">
                  <c:v>1.9682938455369599E+21</c:v>
                </c:pt>
                <c:pt idx="51">
                  <c:v>1.9636977880123058E+21</c:v>
                </c:pt>
                <c:pt idx="52">
                  <c:v>1.9590951753580806E+21</c:v>
                </c:pt>
                <c:pt idx="53">
                  <c:v>1.9544863991978779E+21</c:v>
                </c:pt>
                <c:pt idx="54">
                  <c:v>1.9498718432082445E+21</c:v>
                </c:pt>
                <c:pt idx="55">
                  <c:v>1.9452518832768984E+21</c:v>
                </c:pt>
                <c:pt idx="56">
                  <c:v>1.94062688766095E+21</c:v>
                </c:pt>
                <c:pt idx="57">
                  <c:v>1.9359972171451227E+21</c:v>
                </c:pt>
                <c:pt idx="58">
                  <c:v>1.9313632251999717E+21</c:v>
                </c:pt>
                <c:pt idx="59">
                  <c:v>1.9267252581401022E+21</c:v>
                </c:pt>
                <c:pt idx="60">
                  <c:v>1.9220836552823928E+21</c:v>
                </c:pt>
                <c:pt idx="61">
                  <c:v>1.9174387417865084E+21</c:v>
                </c:pt>
                <c:pt idx="62">
                  <c:v>1.9127908474787529E+21</c:v>
                </c:pt>
                <c:pt idx="63">
                  <c:v>1.9081402905174257E+21</c:v>
                </c:pt>
                <c:pt idx="64">
                  <c:v>1.9034873824409876E+21</c:v>
                </c:pt>
                <c:pt idx="65">
                  <c:v>1.8988324282952791E+21</c:v>
                </c:pt>
                <c:pt idx="66">
                  <c:v>1.8941757267607455E+21</c:v>
                </c:pt>
                <c:pt idx="67">
                  <c:v>1.8895175702796535E+21</c:v>
                </c:pt>
                <c:pt idx="68">
                  <c:v>1.8848582451833162E+21</c:v>
                </c:pt>
                <c:pt idx="69">
                  <c:v>1.8801980318193138E+21</c:v>
                </c:pt>
                <c:pt idx="70">
                  <c:v>1.8755372046787137E+21</c:v>
                </c:pt>
                <c:pt idx="71">
                  <c:v>1.8708760325232929E+21</c:v>
                </c:pt>
                <c:pt idx="72">
                  <c:v>1.8662147785127588E+21</c:v>
                </c:pt>
                <c:pt idx="73">
                  <c:v>1.8615536944946078E+21</c:v>
                </c:pt>
                <c:pt idx="74">
                  <c:v>1.8568930360184115E+21</c:v>
                </c:pt>
                <c:pt idx="75">
                  <c:v>1.8522330493107257E+21</c:v>
                </c:pt>
                <c:pt idx="76">
                  <c:v>1.8475739753011814E+21</c:v>
                </c:pt>
                <c:pt idx="77">
                  <c:v>1.8429160497249182E+21</c:v>
                </c:pt>
                <c:pt idx="78">
                  <c:v>1.8382595032250277E+21</c:v>
                </c:pt>
                <c:pt idx="79">
                  <c:v>1.8336045614549875E+21</c:v>
                </c:pt>
                <c:pt idx="80">
                  <c:v>1.828951445181102E+21</c:v>
                </c:pt>
                <c:pt idx="81">
                  <c:v>1.8243003703849407E+21</c:v>
                </c:pt>
                <c:pt idx="82">
                  <c:v>1.8196515483657754E+21</c:v>
                </c:pt>
                <c:pt idx="83">
                  <c:v>1.815005185843017E+21</c:v>
                </c:pt>
                <c:pt idx="84">
                  <c:v>1.8103614850586591E+21</c:v>
                </c:pt>
                <c:pt idx="85">
                  <c:v>1.8057206392006391E+21</c:v>
                </c:pt>
                <c:pt idx="86">
                  <c:v>1.8010828444367357E+21</c:v>
                </c:pt>
                <c:pt idx="87">
                  <c:v>1.7964482894770356E+21</c:v>
                </c:pt>
                <c:pt idx="88">
                  <c:v>1.7918171588004356E+21</c:v>
                </c:pt>
                <c:pt idx="89">
                  <c:v>1.7871896327371817E+21</c:v>
                </c:pt>
                <c:pt idx="90">
                  <c:v>1.7825658875514066E+21</c:v>
                </c:pt>
                <c:pt idx="91">
                  <c:v>1.7779460955236705E+21</c:v>
                </c:pt>
                <c:pt idx="92">
                  <c:v>1.773330425033498E+21</c:v>
                </c:pt>
                <c:pt idx="93">
                  <c:v>1.7687190406419175E+21</c:v>
                </c:pt>
                <c:pt idx="94">
                  <c:v>1.7641121031739998E+21</c:v>
                </c:pt>
                <c:pt idx="95">
                  <c:v>1.7595097698013972E+21</c:v>
                </c:pt>
                <c:pt idx="96">
                  <c:v>1.7549121941248811E+21</c:v>
                </c:pt>
                <c:pt idx="97">
                  <c:v>1.7503195224924543E+21</c:v>
                </c:pt>
                <c:pt idx="98">
                  <c:v>1.7457319036800826E+21</c:v>
                </c:pt>
                <c:pt idx="99">
                  <c:v>1.7411494804960929E+21</c:v>
                </c:pt>
                <c:pt idx="100">
                  <c:v>1.7365723923764079E+21</c:v>
                </c:pt>
                <c:pt idx="101">
                  <c:v>1.7320007754510544E+21</c:v>
                </c:pt>
                <c:pt idx="102">
                  <c:v>1.7274347626106729E+21</c:v>
                </c:pt>
                <c:pt idx="103">
                  <c:v>1.7228744835730251E+21</c:v>
                </c:pt>
                <c:pt idx="104">
                  <c:v>1.718320064949505E+21</c:v>
                </c:pt>
                <c:pt idx="105">
                  <c:v>1.7137716303116449E+21</c:v>
                </c:pt>
                <c:pt idx="106">
                  <c:v>1.7092293002576281E+21</c:v>
                </c:pt>
                <c:pt idx="107">
                  <c:v>1.7046931924787939E+21</c:v>
                </c:pt>
                <c:pt idx="108">
                  <c:v>1.7001634218261514E+21</c:v>
                </c:pt>
                <c:pt idx="109">
                  <c:v>1.6956400973403041E+21</c:v>
                </c:pt>
                <c:pt idx="110">
                  <c:v>1.691123330059823E+21</c:v>
                </c:pt>
                <c:pt idx="111">
                  <c:v>1.6866132262497058E+21</c:v>
                </c:pt>
                <c:pt idx="112">
                  <c:v>1.6821098894943686E+21</c:v>
                </c:pt>
                <c:pt idx="113">
                  <c:v>1.677613420751212E+21</c:v>
                </c:pt>
                <c:pt idx="114">
                  <c:v>1.6731239184041892E+21</c:v>
                </c:pt>
                <c:pt idx="115">
                  <c:v>1.6686414783173739E+21</c:v>
                </c:pt>
                <c:pt idx="116">
                  <c:v>1.6641661938885282E+21</c:v>
                </c:pt>
                <c:pt idx="117">
                  <c:v>1.6596981561026696E+21</c:v>
                </c:pt>
                <c:pt idx="118">
                  <c:v>1.6552374535856403E+21</c:v>
                </c:pt>
                <c:pt idx="119">
                  <c:v>1.6507841726576725E+21</c:v>
                </c:pt>
                <c:pt idx="120">
                  <c:v>1.646338397386959E+21</c:v>
                </c:pt>
              </c:numCache>
            </c:numRef>
          </c:val>
        </c:ser>
        <c:ser>
          <c:idx val="3"/>
          <c:order val="2"/>
          <c:tx>
            <c:strRef>
              <c:f>mod.O5!$AE$1</c:f>
              <c:strCache>
                <c:ptCount val="1"/>
                <c:pt idx="0">
                  <c:v>O5 N(Pu240)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mod.O5!$AE$2:$AE$136</c:f>
              <c:numCache>
                <c:formatCode>0.00</c:formatCode>
                <c:ptCount val="135"/>
                <c:pt idx="0">
                  <c:v>7.2346005790387942E+20</c:v>
                </c:pt>
                <c:pt idx="1">
                  <c:v>7.2682807612617982E+20</c:v>
                </c:pt>
                <c:pt idx="2">
                  <c:v>7.3015473124125757E+20</c:v>
                </c:pt>
                <c:pt idx="3">
                  <c:v>7.3344018263798107E+20</c:v>
                </c:pt>
                <c:pt idx="4">
                  <c:v>7.3668459278687352E+20</c:v>
                </c:pt>
                <c:pt idx="5">
                  <c:v>7.3988812712671406E+20</c:v>
                </c:pt>
                <c:pt idx="6">
                  <c:v>7.4305095395113737E+20</c:v>
                </c:pt>
                <c:pt idx="7">
                  <c:v>7.4617324429523367E+20</c:v>
                </c:pt>
                <c:pt idx="8">
                  <c:v>7.492551718221493E+20</c:v>
                </c:pt>
                <c:pt idx="9">
                  <c:v>7.5229691270968653E+20</c:v>
                </c:pt>
                <c:pt idx="10">
                  <c:v>7.5529864553690431E+20</c:v>
                </c:pt>
                <c:pt idx="11">
                  <c:v>7.582605511707166E+20</c:v>
                </c:pt>
                <c:pt idx="12">
                  <c:v>7.6118281265249518E+20</c:v>
                </c:pt>
                <c:pt idx="13">
                  <c:v>7.640656214951896E+20</c:v>
                </c:pt>
                <c:pt idx="14">
                  <c:v>7.6690916120853873E+20</c:v>
                </c:pt>
                <c:pt idx="15">
                  <c:v>7.6971362164908543E+20</c:v>
                </c:pt>
                <c:pt idx="16">
                  <c:v>7.7247919461622691E+20</c:v>
                </c:pt>
                <c:pt idx="17">
                  <c:v>7.7520607376573871E+20</c:v>
                </c:pt>
                <c:pt idx="18">
                  <c:v>7.7789445452329412E+20</c:v>
                </c:pt>
                <c:pt idx="19">
                  <c:v>7.8054453399798966E+20</c:v>
                </c:pt>
                <c:pt idx="20">
                  <c:v>7.8315651089586507E+20</c:v>
                </c:pt>
                <c:pt idx="21">
                  <c:v>7.8573058543342636E+20</c:v>
                </c:pt>
                <c:pt idx="22">
                  <c:v>7.882669592511679E+20</c:v>
                </c:pt>
                <c:pt idx="23">
                  <c:v>7.9076583532709544E+20</c:v>
                </c:pt>
                <c:pt idx="24">
                  <c:v>7.9322741789024675E+20</c:v>
                </c:pt>
                <c:pt idx="25">
                  <c:v>7.9565191734551446E+20</c:v>
                </c:pt>
                <c:pt idx="26">
                  <c:v>7.9803953739769446E+20</c:v>
                </c:pt>
                <c:pt idx="27">
                  <c:v>8.0039048627031874E+20</c:v>
                </c:pt>
                <c:pt idx="28">
                  <c:v>8.0270497326566631E+20</c:v>
                </c:pt>
                <c:pt idx="29">
                  <c:v>8.0498320869934144E+20</c:v>
                </c:pt>
                <c:pt idx="30">
                  <c:v>8.0722540383485729E+20</c:v>
                </c:pt>
                <c:pt idx="31">
                  <c:v>8.0943177081821633E+20</c:v>
                </c:pt>
                <c:pt idx="32">
                  <c:v>8.1160252261248899E+20</c:v>
                </c:pt>
                <c:pt idx="33">
                  <c:v>8.1373787293239843E+20</c:v>
                </c:pt>
                <c:pt idx="34">
                  <c:v>8.1583803617889826E+20</c:v>
                </c:pt>
                <c:pt idx="35">
                  <c:v>8.179032273737557E+20</c:v>
                </c:pt>
                <c:pt idx="36">
                  <c:v>8.1993366209413133E+20</c:v>
                </c:pt>
                <c:pt idx="37">
                  <c:v>8.2192956032911986E+20</c:v>
                </c:pt>
                <c:pt idx="38">
                  <c:v>8.2389113640512612E+20</c:v>
                </c:pt>
                <c:pt idx="39">
                  <c:v>8.2581860776799909E+20</c:v>
                </c:pt>
                <c:pt idx="40">
                  <c:v>8.2771219229319365E+20</c:v>
                </c:pt>
                <c:pt idx="41">
                  <c:v>8.2957210823683159E+20</c:v>
                </c:pt>
                <c:pt idx="42">
                  <c:v>8.3139857418676575E+20</c:v>
                </c:pt>
                <c:pt idx="43">
                  <c:v>8.3319180901364086E+20</c:v>
                </c:pt>
                <c:pt idx="44">
                  <c:v>8.3495203182195717E+20</c:v>
                </c:pt>
                <c:pt idx="45">
                  <c:v>8.3667946190113263E+20</c:v>
                </c:pt>
                <c:pt idx="46">
                  <c:v>8.3837431867656477E+20</c:v>
                </c:pt>
                <c:pt idx="47">
                  <c:v>8.4003682166069304E+20</c:v>
                </c:pt>
                <c:pt idx="48">
                  <c:v>8.4166719040406251E+20</c:v>
                </c:pt>
                <c:pt idx="49">
                  <c:v>8.4326564751520236E+20</c:v>
                </c:pt>
                <c:pt idx="50">
                  <c:v>8.448324107795493E+20</c:v>
                </c:pt>
                <c:pt idx="51">
                  <c:v>8.463677000337971E+20</c:v>
                </c:pt>
                <c:pt idx="52">
                  <c:v>8.4787173506328114E+20</c:v>
                </c:pt>
                <c:pt idx="53">
                  <c:v>8.4934473556592833E+20</c:v>
                </c:pt>
                <c:pt idx="54">
                  <c:v>8.5078692111621004E+20</c:v>
                </c:pt>
                <c:pt idx="55">
                  <c:v>8.5219851112909216E+20</c:v>
                </c:pt>
                <c:pt idx="56">
                  <c:v>8.5357972482398736E+20</c:v>
                </c:pt>
                <c:pt idx="57">
                  <c:v>8.5493078118870483E+20</c:v>
                </c:pt>
                <c:pt idx="58">
                  <c:v>8.5625189894340438E+20</c:v>
                </c:pt>
                <c:pt idx="59">
                  <c:v>8.5754329650454449E+20</c:v>
                </c:pt>
                <c:pt idx="60">
                  <c:v>8.5880519194883575E+20</c:v>
                </c:pt>
                <c:pt idx="61">
                  <c:v>8.600378053747325E+20</c:v>
                </c:pt>
                <c:pt idx="62">
                  <c:v>8.6124135274700394E+20</c:v>
                </c:pt>
                <c:pt idx="63">
                  <c:v>8.6241605127025407E+20</c:v>
                </c:pt>
                <c:pt idx="64">
                  <c:v>8.6356211774811144E+20</c:v>
                </c:pt>
                <c:pt idx="65">
                  <c:v>8.6467976855723875E+20</c:v>
                </c:pt>
                <c:pt idx="66">
                  <c:v>8.6576921962134084E+20</c:v>
                </c:pt>
                <c:pt idx="67">
                  <c:v>8.66830686385175E+20</c:v>
                </c:pt>
                <c:pt idx="68">
                  <c:v>8.6786438378855858E+20</c:v>
                </c:pt>
                <c:pt idx="69">
                  <c:v>8.6887052624037911E+20</c:v>
                </c:pt>
                <c:pt idx="70">
                  <c:v>8.6984932759260208E+20</c:v>
                </c:pt>
                <c:pt idx="71">
                  <c:v>8.7080100111428026E+20</c:v>
                </c:pt>
                <c:pt idx="72">
                  <c:v>8.7172575946556414E+20</c:v>
                </c:pt>
                <c:pt idx="73">
                  <c:v>8.726238165392809E+20</c:v>
                </c:pt>
                <c:pt idx="74">
                  <c:v>8.7349538266765958E+20</c:v>
                </c:pt>
                <c:pt idx="75">
                  <c:v>8.7434066881102637E+20</c:v>
                </c:pt>
                <c:pt idx="76">
                  <c:v>8.7515988528138342E+20</c:v>
                </c:pt>
                <c:pt idx="77">
                  <c:v>8.7595324172423804E+20</c:v>
                </c:pt>
                <c:pt idx="78">
                  <c:v>8.7672094710043155E+20</c:v>
                </c:pt>
                <c:pt idx="79">
                  <c:v>8.7746320966796863E+20</c:v>
                </c:pt>
                <c:pt idx="80">
                  <c:v>8.7818023696384616E+20</c:v>
                </c:pt>
                <c:pt idx="81">
                  <c:v>8.7887223578588191E+20</c:v>
                </c:pt>
                <c:pt idx="82">
                  <c:v>8.7953941217454431E+20</c:v>
                </c:pt>
                <c:pt idx="83">
                  <c:v>8.8018197139478059E+20</c:v>
                </c:pt>
                <c:pt idx="84">
                  <c:v>8.8080011791784647E+20</c:v>
                </c:pt>
                <c:pt idx="85">
                  <c:v>8.8139405685140305E+20</c:v>
                </c:pt>
                <c:pt idx="86">
                  <c:v>8.8196399022376957E+20</c:v>
                </c:pt>
                <c:pt idx="87">
                  <c:v>8.8251012023514694E+20</c:v>
                </c:pt>
                <c:pt idx="88">
                  <c:v>8.8303264826932134E+20</c:v>
                </c:pt>
                <c:pt idx="89">
                  <c:v>8.8353177488154244E+20</c:v>
                </c:pt>
                <c:pt idx="90">
                  <c:v>8.840076997864004E+20</c:v>
                </c:pt>
                <c:pt idx="91">
                  <c:v>8.8446062184570461E+20</c:v>
                </c:pt>
                <c:pt idx="92">
                  <c:v>8.8489073905636042E+20</c:v>
                </c:pt>
                <c:pt idx="93">
                  <c:v>8.8529824853824753E+20</c:v>
                </c:pt>
                <c:pt idx="94">
                  <c:v>8.8568334652209837E+20</c:v>
                </c:pt>
                <c:pt idx="95">
                  <c:v>8.8604622833737413E+20</c:v>
                </c:pt>
                <c:pt idx="96">
                  <c:v>8.8638708840014453E+20</c:v>
                </c:pt>
                <c:pt idx="97">
                  <c:v>8.8670612131716216E+20</c:v>
                </c:pt>
                <c:pt idx="98">
                  <c:v>8.8700351902331686E+20</c:v>
                </c:pt>
                <c:pt idx="99">
                  <c:v>8.8727947329029656E+20</c:v>
                </c:pt>
                <c:pt idx="100">
                  <c:v>8.8753417496631955E+20</c:v>
                </c:pt>
                <c:pt idx="101">
                  <c:v>8.8776781396865883E+20</c:v>
                </c:pt>
                <c:pt idx="102">
                  <c:v>8.8798057927616496E+20</c:v>
                </c:pt>
                <c:pt idx="103">
                  <c:v>8.881726589217909E+20</c:v>
                </c:pt>
                <c:pt idx="104">
                  <c:v>8.8834423998511487E+20</c:v>
                </c:pt>
                <c:pt idx="105">
                  <c:v>8.8849550858486442E+20</c:v>
                </c:pt>
                <c:pt idx="106">
                  <c:v>8.8862664987144002E+20</c:v>
                </c:pt>
                <c:pt idx="107">
                  <c:v>8.8873784801943958E+20</c:v>
                </c:pt>
                <c:pt idx="108">
                  <c:v>8.8882928622018088E+20</c:v>
                </c:pt>
                <c:pt idx="109">
                  <c:v>8.8890114752747681E+20</c:v>
                </c:pt>
                <c:pt idx="110">
                  <c:v>8.8895361267056181E+20</c:v>
                </c:pt>
                <c:pt idx="111">
                  <c:v>8.8898686197459386E+20</c:v>
                </c:pt>
                <c:pt idx="112">
                  <c:v>8.8900107478081575E+20</c:v>
                </c:pt>
                <c:pt idx="113">
                  <c:v>8.8899642944261469E+20</c:v>
                </c:pt>
                <c:pt idx="114">
                  <c:v>8.8897310332158175E+20</c:v>
                </c:pt>
                <c:pt idx="115">
                  <c:v>8.8893127278357106E+20</c:v>
                </c:pt>
                <c:pt idx="116">
                  <c:v>8.8887111319475978E+20</c:v>
                </c:pt>
                <c:pt idx="117">
                  <c:v>8.8879279891770691E+20</c:v>
                </c:pt>
                <c:pt idx="118">
                  <c:v>8.8869650330741323E+20</c:v>
                </c:pt>
                <c:pt idx="119">
                  <c:v>8.8858239870737999E+20</c:v>
                </c:pt>
                <c:pt idx="120">
                  <c:v>8.8845065644566983E+20</c:v>
                </c:pt>
              </c:numCache>
            </c:numRef>
          </c:val>
        </c:ser>
        <c:ser>
          <c:idx val="4"/>
          <c:order val="3"/>
          <c:tx>
            <c:strRef>
              <c:f>mod.O5!$AF$1</c:f>
              <c:strCache>
                <c:ptCount val="1"/>
                <c:pt idx="0">
                  <c:v>O5 N(Pu241)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mod.O5!$AF$2:$AF$136</c:f>
              <c:numCache>
                <c:formatCode>0.00</c:formatCode>
                <c:ptCount val="135"/>
                <c:pt idx="0">
                  <c:v>1.5072084539664158E+20</c:v>
                </c:pt>
                <c:pt idx="1">
                  <c:v>1.4918954580360685E+20</c:v>
                </c:pt>
                <c:pt idx="2">
                  <c:v>1.4771760759109075E+20</c:v>
                </c:pt>
                <c:pt idx="3">
                  <c:v>1.4630309124551837E+20</c:v>
                </c:pt>
                <c:pt idx="4">
                  <c:v>1.4494411564531561E+20</c:v>
                </c:pt>
                <c:pt idx="5">
                  <c:v>1.4363885619323345E+20</c:v>
                </c:pt>
                <c:pt idx="6">
                  <c:v>1.423855429486727E+20</c:v>
                </c:pt>
                <c:pt idx="7">
                  <c:v>1.411824587600086E+20</c:v>
                </c:pt>
                <c:pt idx="8">
                  <c:v>1.400279373969154E+20</c:v>
                </c:pt>
                <c:pt idx="9">
                  <c:v>1.3892036168269103E+20</c:v>
                </c:pt>
                <c:pt idx="10">
                  <c:v>1.3785816162658163E+20</c:v>
                </c:pt>
                <c:pt idx="11">
                  <c:v>1.368398125561062E+20</c:v>
                </c:pt>
                <c:pt idx="12">
                  <c:v>1.3586383324938127E+20</c:v>
                </c:pt>
                <c:pt idx="13">
                  <c:v>1.34928925473288E+20</c:v>
                </c:pt>
                <c:pt idx="14">
                  <c:v>1.3403360989595522E+20</c:v>
                </c:pt>
                <c:pt idx="15">
                  <c:v>1.3317654533745525E+20</c:v>
                </c:pt>
                <c:pt idx="16">
                  <c:v>1.3235643132065641E+20</c:v>
                </c:pt>
                <c:pt idx="17">
                  <c:v>1.315720067684982E+20</c:v>
                </c:pt>
                <c:pt idx="18">
                  <c:v>1.308220487012659E+20</c:v>
                </c:pt>
                <c:pt idx="19">
                  <c:v>1.3010537093386576E+20</c:v>
                </c:pt>
                <c:pt idx="20">
                  <c:v>1.2942082277309968E+20</c:v>
                </c:pt>
                <c:pt idx="21">
                  <c:v>1.2876728771494011E+20</c:v>
                </c:pt>
                <c:pt idx="22">
                  <c:v>1.281436821418051E+20</c:v>
                </c:pt>
                <c:pt idx="23">
                  <c:v>1.2754895401983307E+20</c:v>
                </c:pt>
                <c:pt idx="24">
                  <c:v>1.2698208159615767E+20</c:v>
                </c:pt>
                <c:pt idx="25">
                  <c:v>1.2644217065221063E+20</c:v>
                </c:pt>
                <c:pt idx="26">
                  <c:v>1.2592820074582219E+20</c:v>
                </c:pt>
                <c:pt idx="27">
                  <c:v>1.2543924771577691E+20</c:v>
                </c:pt>
                <c:pt idx="28">
                  <c:v>1.2497441576297939E+20</c:v>
                </c:pt>
                <c:pt idx="29">
                  <c:v>1.2453283654153259E+20</c:v>
                </c:pt>
                <c:pt idx="30">
                  <c:v>1.2411366824981606E+20</c:v>
                </c:pt>
                <c:pt idx="31">
                  <c:v>1.2371609472156461E+20</c:v>
                </c:pt>
                <c:pt idx="32">
                  <c:v>1.2333932451694648E+20</c:v>
                </c:pt>
                <c:pt idx="33">
                  <c:v>1.2298259001364175E+20</c:v>
                </c:pt>
                <c:pt idx="34">
                  <c:v>1.2264514649792084E+20</c:v>
                </c:pt>
                <c:pt idx="35">
                  <c:v>1.223262712557227E+20</c:v>
                </c:pt>
                <c:pt idx="36">
                  <c:v>1.2202526266373336E+20</c:v>
                </c:pt>
                <c:pt idx="37">
                  <c:v>1.2174150799142347E+20</c:v>
                </c:pt>
                <c:pt idx="38">
                  <c:v>1.2147430648801806E+20</c:v>
                </c:pt>
                <c:pt idx="39">
                  <c:v>1.2122302450402745E+20</c:v>
                </c:pt>
                <c:pt idx="40">
                  <c:v>1.2098704814037488E+20</c:v>
                </c:pt>
                <c:pt idx="41">
                  <c:v>1.2076578261406381E+20</c:v>
                </c:pt>
                <c:pt idx="42">
                  <c:v>1.2055865162384469E+20</c:v>
                </c:pt>
                <c:pt idx="43">
                  <c:v>1.2036509671588217E+20</c:v>
                </c:pt>
                <c:pt idx="44">
                  <c:v>1.2018457664942232E+20</c:v>
                </c:pt>
                <c:pt idx="45">
                  <c:v>1.2001656676245935E+20</c:v>
                </c:pt>
                <c:pt idx="46">
                  <c:v>1.1986055833740298E+20</c:v>
                </c:pt>
                <c:pt idx="47">
                  <c:v>1.1971605796674534E+20</c:v>
                </c:pt>
                <c:pt idx="48">
                  <c:v>1.1958258691872797E+20</c:v>
                </c:pt>
                <c:pt idx="49">
                  <c:v>1.1945972842242671E+20</c:v>
                </c:pt>
                <c:pt idx="50">
                  <c:v>1.1934700428849652E+20</c:v>
                </c:pt>
                <c:pt idx="51">
                  <c:v>1.1924398308922679E+20</c:v>
                </c:pt>
                <c:pt idx="52">
                  <c:v>1.1915024713629491E+20</c:v>
                </c:pt>
                <c:pt idx="53">
                  <c:v>1.1906539203796266E+20</c:v>
                </c:pt>
                <c:pt idx="54">
                  <c:v>1.1898902625627251E+20</c:v>
                </c:pt>
                <c:pt idx="55">
                  <c:v>1.1892077066424389E+20</c:v>
                </c:pt>
                <c:pt idx="56">
                  <c:v>1.188602581030697E+20</c:v>
                </c:pt>
                <c:pt idx="57">
                  <c:v>1.1880713293931263E+20</c:v>
                </c:pt>
                <c:pt idx="58">
                  <c:v>1.1876105062210131E+20</c:v>
                </c:pt>
                <c:pt idx="59">
                  <c:v>1.1872167724032691E+20</c:v>
                </c:pt>
                <c:pt idx="60">
                  <c:v>1.1868868907983936E+20</c:v>
                </c:pt>
                <c:pt idx="61">
                  <c:v>1.1866180561210876E+20</c:v>
                </c:pt>
                <c:pt idx="62">
                  <c:v>1.1864070341822936E+20</c:v>
                </c:pt>
                <c:pt idx="63">
                  <c:v>1.186250916599216E+20</c:v>
                </c:pt>
                <c:pt idx="64">
                  <c:v>1.1861468904171969E+20</c:v>
                </c:pt>
                <c:pt idx="65">
                  <c:v>1.1860922350181283E+20</c:v>
                </c:pt>
                <c:pt idx="66">
                  <c:v>1.1860843190288674E+20</c:v>
                </c:pt>
                <c:pt idx="67">
                  <c:v>1.1861205972296478E+20</c:v>
                </c:pt>
                <c:pt idx="68">
                  <c:v>1.1861986074624945E+20</c:v>
                </c:pt>
                <c:pt idx="69">
                  <c:v>1.1863159675396347E+20</c:v>
                </c:pt>
                <c:pt idx="70">
                  <c:v>1.186470372151913E+20</c:v>
                </c:pt>
                <c:pt idx="71">
                  <c:v>1.1866595897772043E+20</c:v>
                </c:pt>
                <c:pt idx="72">
                  <c:v>1.1868814595888251E+20</c:v>
                </c:pt>
                <c:pt idx="73">
                  <c:v>1.1871341216949654E+20</c:v>
                </c:pt>
                <c:pt idx="74">
                  <c:v>1.1874154163880831E+20</c:v>
                </c:pt>
                <c:pt idx="75">
                  <c:v>1.1877234108723852E+20</c:v>
                </c:pt>
                <c:pt idx="76">
                  <c:v>1.188056238478662E+20</c:v>
                </c:pt>
                <c:pt idx="77">
                  <c:v>1.1884120965056289E+20</c:v>
                </c:pt>
                <c:pt idx="78">
                  <c:v>1.1887892440612676E+20</c:v>
                </c:pt>
                <c:pt idx="79">
                  <c:v>1.1891859999041726E+20</c:v>
                </c:pt>
                <c:pt idx="80">
                  <c:v>1.1896007402848926E+20</c:v>
                </c:pt>
                <c:pt idx="81">
                  <c:v>1.1900318967872725E+20</c:v>
                </c:pt>
                <c:pt idx="82">
                  <c:v>1.190477954169798E+20</c:v>
                </c:pt>
                <c:pt idx="83">
                  <c:v>1.1909374482069384E+20</c:v>
                </c:pt>
                <c:pt idx="84">
                  <c:v>1.1914089635304884E+20</c:v>
                </c:pt>
                <c:pt idx="85">
                  <c:v>1.1918912943913681E+20</c:v>
                </c:pt>
                <c:pt idx="86">
                  <c:v>1.1923830251988946E+20</c:v>
                </c:pt>
                <c:pt idx="87">
                  <c:v>1.1928828982923649E+20</c:v>
                </c:pt>
                <c:pt idx="88">
                  <c:v>1.1933897016790301E+20</c:v>
                </c:pt>
                <c:pt idx="89">
                  <c:v>1.1939022675269732E+20</c:v>
                </c:pt>
                <c:pt idx="90">
                  <c:v>1.1944194706579823E+20</c:v>
                </c:pt>
                <c:pt idx="91">
                  <c:v>1.194940227040427E+20</c:v>
                </c:pt>
                <c:pt idx="92">
                  <c:v>1.195463492282134E+20</c:v>
                </c:pt>
                <c:pt idx="93">
                  <c:v>1.1959882601232615E+20</c:v>
                </c:pt>
                <c:pt idx="94">
                  <c:v>1.1965135609291743E+20</c:v>
                </c:pt>
                <c:pt idx="95">
                  <c:v>1.1970384601833198E+20</c:v>
                </c:pt>
                <c:pt idx="96">
                  <c:v>1.1975620569801028E+20</c:v>
                </c:pt>
                <c:pt idx="97">
                  <c:v>1.1980835963261544E+20</c:v>
                </c:pt>
                <c:pt idx="98">
                  <c:v>1.1986021761302816E+20</c:v>
                </c:pt>
                <c:pt idx="99">
                  <c:v>1.1991170041050869E+20</c:v>
                </c:pt>
                <c:pt idx="100">
                  <c:v>1.1996273193499722E+20</c:v>
                </c:pt>
                <c:pt idx="101">
                  <c:v>1.2001323912992332E+20</c:v>
                </c:pt>
                <c:pt idx="102">
                  <c:v>1.2006315186701541E+20</c:v>
                </c:pt>
                <c:pt idx="103">
                  <c:v>1.2011240284111032E+20</c:v>
                </c:pt>
                <c:pt idx="104">
                  <c:v>1.2016092746496247E+20</c:v>
                </c:pt>
                <c:pt idx="105">
                  <c:v>1.2020866376405359E+20</c:v>
                </c:pt>
                <c:pt idx="106">
                  <c:v>1.2025555227140201E+20</c:v>
                </c:pt>
                <c:pt idx="107">
                  <c:v>1.2030153592237213E+20</c:v>
                </c:pt>
                <c:pt idx="108">
                  <c:v>1.2034655994948403E+20</c:v>
                </c:pt>
                <c:pt idx="109">
                  <c:v>1.2039057973098211E+20</c:v>
                </c:pt>
                <c:pt idx="110">
                  <c:v>1.2043354031359261E+20</c:v>
                </c:pt>
                <c:pt idx="111">
                  <c:v>1.2047539436634703E+20</c:v>
                </c:pt>
                <c:pt idx="112">
                  <c:v>1.2051609670058315E+20</c:v>
                </c:pt>
                <c:pt idx="113">
                  <c:v>1.2055560419657472E+20</c:v>
                </c:pt>
                <c:pt idx="114">
                  <c:v>1.2059387573016106E+20</c:v>
                </c:pt>
                <c:pt idx="115">
                  <c:v>1.2063087209937687E+20</c:v>
                </c:pt>
                <c:pt idx="116">
                  <c:v>1.206665559510819E+20</c:v>
                </c:pt>
                <c:pt idx="117">
                  <c:v>1.2070089170759067E+20</c:v>
                </c:pt>
                <c:pt idx="118">
                  <c:v>1.2073384549330221E+20</c:v>
                </c:pt>
                <c:pt idx="119">
                  <c:v>1.2076538506132973E+20</c:v>
                </c:pt>
                <c:pt idx="120">
                  <c:v>1.2079547972013036E+20</c:v>
                </c:pt>
              </c:numCache>
            </c:numRef>
          </c:val>
        </c:ser>
        <c:ser>
          <c:idx val="5"/>
          <c:order val="4"/>
          <c:tx>
            <c:strRef>
              <c:f>mod.O5!$AG$1</c:f>
              <c:strCache>
                <c:ptCount val="1"/>
                <c:pt idx="0">
                  <c:v>O5 N(Pu242)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mod.O5!$AG$2:$AG$136</c:f>
              <c:numCache>
                <c:formatCode>0.00</c:formatCode>
                <c:ptCount val="135"/>
                <c:pt idx="0">
                  <c:v>5.1070699679853748E+19</c:v>
                </c:pt>
                <c:pt idx="1">
                  <c:v>5.1403038210650227E+19</c:v>
                </c:pt>
                <c:pt idx="2">
                  <c:v>5.1727025642489274E+19</c:v>
                </c:pt>
                <c:pt idx="3">
                  <c:v>5.2042943820107784E+19</c:v>
                </c:pt>
                <c:pt idx="4">
                  <c:v>5.2351065622197903E+19</c:v>
                </c:pt>
                <c:pt idx="5">
                  <c:v>5.2651655249050952E+19</c:v>
                </c:pt>
                <c:pt idx="6">
                  <c:v>5.2944968510201225E+19</c:v>
                </c:pt>
                <c:pt idx="7">
                  <c:v>5.3231253112069841E+19</c:v>
                </c:pt>
                <c:pt idx="8">
                  <c:v>5.3510748945608696E+19</c:v>
                </c:pt>
                <c:pt idx="9">
                  <c:v>5.3783688373944222E+19</c:v>
                </c:pt>
                <c:pt idx="10">
                  <c:v>5.4050296520021344E+19</c:v>
                </c:pt>
                <c:pt idx="11">
                  <c:v>5.431079155424727E+19</c:v>
                </c:pt>
                <c:pt idx="12">
                  <c:v>5.4565384982135439E+19</c:v>
                </c:pt>
                <c:pt idx="13">
                  <c:v>5.4814260506297049E+19</c:v>
                </c:pt>
                <c:pt idx="14">
                  <c:v>5.5057629186330255E+19</c:v>
                </c:pt>
                <c:pt idx="15">
                  <c:v>5.5295681088236462E+19</c:v>
                </c:pt>
                <c:pt idx="16">
                  <c:v>5.5528600046657716E+19</c:v>
                </c:pt>
                <c:pt idx="17">
                  <c:v>5.5756563866682458E+19</c:v>
                </c:pt>
                <c:pt idx="18">
                  <c:v>5.5979744525651198E+19</c:v>
                </c:pt>
                <c:pt idx="19">
                  <c:v>5.6198308374962225E+19</c:v>
                </c:pt>
                <c:pt idx="20">
                  <c:v>5.6412416341877375E+19</c:v>
                </c:pt>
                <c:pt idx="21">
                  <c:v>5.6622224131327672E+19</c:v>
                </c:pt>
                <c:pt idx="22">
                  <c:v>5.6827882427719123E+19</c:v>
                </c:pt>
                <c:pt idx="23">
                  <c:v>5.7029537096738398E+19</c:v>
                </c:pt>
                <c:pt idx="24">
                  <c:v>5.7227329387158503E+19</c:v>
                </c:pt>
                <c:pt idx="25">
                  <c:v>5.7421381101686874E+19</c:v>
                </c:pt>
                <c:pt idx="26">
                  <c:v>5.7611833292816613E+19</c:v>
                </c:pt>
                <c:pt idx="27">
                  <c:v>5.7798812344617558E+19</c:v>
                </c:pt>
                <c:pt idx="28">
                  <c:v>5.7982440328300675E+19</c:v>
                </c:pt>
                <c:pt idx="29">
                  <c:v>5.8162835143782515E+19</c:v>
                </c:pt>
                <c:pt idx="30">
                  <c:v>5.8340110661249786E+19</c:v>
                </c:pt>
                <c:pt idx="31">
                  <c:v>5.8514376862723817E+19</c:v>
                </c:pt>
                <c:pt idx="32">
                  <c:v>5.868573998362511E+19</c:v>
                </c:pt>
                <c:pt idx="33">
                  <c:v>5.885430265433781E+19</c:v>
                </c:pt>
                <c:pt idx="34">
                  <c:v>5.9020164041774268E+19</c:v>
                </c:pt>
                <c:pt idx="35">
                  <c:v>5.9183419990939501E+19</c:v>
                </c:pt>
                <c:pt idx="36">
                  <c:v>5.9344163166495744E+19</c:v>
                </c:pt>
                <c:pt idx="37">
                  <c:v>5.9502472640465789E+19</c:v>
                </c:pt>
                <c:pt idx="38">
                  <c:v>5.9658441061338784E+19</c:v>
                </c:pt>
                <c:pt idx="39">
                  <c:v>5.9812150839716348E+19</c:v>
                </c:pt>
                <c:pt idx="40">
                  <c:v>5.9963681418726294E+19</c:v>
                </c:pt>
                <c:pt idx="41">
                  <c:v>6.0113109373273948E+19</c:v>
                </c:pt>
                <c:pt idx="42">
                  <c:v>6.026050850929324E+19</c:v>
                </c:pt>
                <c:pt idx="43">
                  <c:v>6.0405949962998071E+19</c:v>
                </c:pt>
                <c:pt idx="44">
                  <c:v>6.0549502300133417E+19</c:v>
                </c:pt>
                <c:pt idx="45">
                  <c:v>6.0691231615226561E+19</c:v>
                </c:pt>
                <c:pt idx="46">
                  <c:v>6.0831201630838391E+19</c:v>
                </c:pt>
                <c:pt idx="47">
                  <c:v>6.0969473796814529E+19</c:v>
                </c:pt>
                <c:pt idx="48">
                  <c:v>6.1106107389536633E+19</c:v>
                </c:pt>
                <c:pt idx="49">
                  <c:v>6.1241152194658583E+19</c:v>
                </c:pt>
                <c:pt idx="50">
                  <c:v>6.1374667598933328E+19</c:v>
                </c:pt>
                <c:pt idx="51">
                  <c:v>6.1506705855702352E+19</c:v>
                </c:pt>
                <c:pt idx="52">
                  <c:v>6.1637317193449054E+19</c:v>
                </c:pt>
                <c:pt idx="53">
                  <c:v>6.1766549885304979E+19</c:v>
                </c:pt>
                <c:pt idx="54">
                  <c:v>6.1894450318556054E+19</c:v>
                </c:pt>
                <c:pt idx="55">
                  <c:v>6.2021063064148836E+19</c:v>
                </c:pt>
                <c:pt idx="56">
                  <c:v>6.2146430946196824E+19</c:v>
                </c:pt>
                <c:pt idx="57">
                  <c:v>6.2270595111486513E+19</c:v>
                </c:pt>
                <c:pt idx="58">
                  <c:v>6.2393595098983842E+19</c:v>
                </c:pt>
                <c:pt idx="59">
                  <c:v>6.2515468909340328E+19</c:v>
                </c:pt>
                <c:pt idx="60">
                  <c:v>6.2636253074399281E+19</c:v>
                </c:pt>
                <c:pt idx="61">
                  <c:v>6.275597751085985E+19</c:v>
                </c:pt>
                <c:pt idx="62">
                  <c:v>6.2874678946464039E+19</c:v>
                </c:pt>
                <c:pt idx="63">
                  <c:v>6.2992389151244018E+19</c:v>
                </c:pt>
                <c:pt idx="64">
                  <c:v>6.3109138529718493E+19</c:v>
                </c:pt>
                <c:pt idx="65">
                  <c:v>6.3224956169474064E+19</c:v>
                </c:pt>
                <c:pt idx="66">
                  <c:v>6.3339869889746371E+19</c:v>
                </c:pt>
                <c:pt idx="67">
                  <c:v>6.3453906290001322E+19</c:v>
                </c:pt>
                <c:pt idx="68">
                  <c:v>6.3567090798516355E+19</c:v>
                </c:pt>
                <c:pt idx="69">
                  <c:v>6.3679447720961647E+19</c:v>
                </c:pt>
                <c:pt idx="70">
                  <c:v>6.3791000288981393E+19</c:v>
                </c:pt>
                <c:pt idx="71">
                  <c:v>6.3901770708774896E+19</c:v>
                </c:pt>
                <c:pt idx="72">
                  <c:v>6.4011780209677976E+19</c:v>
                </c:pt>
                <c:pt idx="73">
                  <c:v>6.4121045422194622E+19</c:v>
                </c:pt>
                <c:pt idx="74">
                  <c:v>6.42295878259224E+19</c:v>
                </c:pt>
                <c:pt idx="75">
                  <c:v>6.4337425467452604E+19</c:v>
                </c:pt>
                <c:pt idx="76">
                  <c:v>6.4444575487855272E+19</c:v>
                </c:pt>
                <c:pt idx="77">
                  <c:v>6.4551054156531876E+19</c:v>
                </c:pt>
                <c:pt idx="78">
                  <c:v>6.4656876905067708E+19</c:v>
                </c:pt>
                <c:pt idx="79">
                  <c:v>6.4762058361084551E+19</c:v>
                </c:pt>
                <c:pt idx="80">
                  <c:v>6.4866612382093066E+19</c:v>
                </c:pt>
                <c:pt idx="81">
                  <c:v>6.4970552089345352E+19</c:v>
                </c:pt>
                <c:pt idx="82">
                  <c:v>6.5073889901687562E+19</c:v>
                </c:pt>
                <c:pt idx="83">
                  <c:v>6.517663756941226E+19</c:v>
                </c:pt>
                <c:pt idx="84">
                  <c:v>6.5278806208111084E+19</c:v>
                </c:pt>
                <c:pt idx="85">
                  <c:v>6.5380403748300882E+19</c:v>
                </c:pt>
                <c:pt idx="86">
                  <c:v>6.5481441586761097E+19</c:v>
                </c:pt>
                <c:pt idx="87">
                  <c:v>6.5581928755328508E+19</c:v>
                </c:pt>
                <c:pt idx="88">
                  <c:v>6.5681873699958014E+19</c:v>
                </c:pt>
                <c:pt idx="89">
                  <c:v>6.578128430420453E+19</c:v>
                </c:pt>
                <c:pt idx="90">
                  <c:v>6.5880167912704991E+19</c:v>
                </c:pt>
                <c:pt idx="91">
                  <c:v>6.5978531354660282E+19</c:v>
                </c:pt>
                <c:pt idx="92">
                  <c:v>6.6076380967317217E+19</c:v>
                </c:pt>
                <c:pt idx="93">
                  <c:v>6.617372261945054E+19</c:v>
                </c:pt>
                <c:pt idx="94">
                  <c:v>6.6270561734844867E+19</c:v>
                </c:pt>
                <c:pt idx="95">
                  <c:v>6.6366903315776627E+19</c:v>
                </c:pt>
                <c:pt idx="96">
                  <c:v>6.6462751966496096E+19</c:v>
                </c:pt>
                <c:pt idx="97">
                  <c:v>6.6558110097062633E+19</c:v>
                </c:pt>
                <c:pt idx="98">
                  <c:v>6.6652982606448599E+19</c:v>
                </c:pt>
                <c:pt idx="99">
                  <c:v>6.6747372776208253E+19</c:v>
                </c:pt>
                <c:pt idx="100">
                  <c:v>6.6841283522829304E+19</c:v>
                </c:pt>
                <c:pt idx="101">
                  <c:v>6.6934717413913403E+19</c:v>
                </c:pt>
                <c:pt idx="102">
                  <c:v>6.702767668435642E+19</c:v>
                </c:pt>
                <c:pt idx="103">
                  <c:v>6.7120163252528923E+19</c:v>
                </c:pt>
                <c:pt idx="104">
                  <c:v>6.7212178736456516E+19</c:v>
                </c:pt>
                <c:pt idx="105">
                  <c:v>6.7303724470000222E+19</c:v>
                </c:pt>
                <c:pt idx="106">
                  <c:v>6.7394801519036891E+19</c:v>
                </c:pt>
                <c:pt idx="107">
                  <c:v>6.7485410697639608E+19</c:v>
                </c:pt>
                <c:pt idx="108">
                  <c:v>6.7575552584257995E+19</c:v>
                </c:pt>
                <c:pt idx="109">
                  <c:v>6.7665226257032962E+19</c:v>
                </c:pt>
                <c:pt idx="110">
                  <c:v>6.7754432589992894E+19</c:v>
                </c:pt>
                <c:pt idx="111">
                  <c:v>6.7843171362121875E+19</c:v>
                </c:pt>
                <c:pt idx="112">
                  <c:v>6.7931442138596557E+19</c:v>
                </c:pt>
                <c:pt idx="113">
                  <c:v>6.801924428182877E+19</c:v>
                </c:pt>
                <c:pt idx="114">
                  <c:v>6.8106576962508055E+19</c:v>
                </c:pt>
                <c:pt idx="115">
                  <c:v>6.8193439170644181E+19</c:v>
                </c:pt>
                <c:pt idx="116">
                  <c:v>6.8279829726609826E+19</c:v>
                </c:pt>
                <c:pt idx="117">
                  <c:v>6.8365747292182995E+19</c:v>
                </c:pt>
                <c:pt idx="118">
                  <c:v>6.8451190381589643E+19</c:v>
                </c:pt>
                <c:pt idx="119">
                  <c:v>6.8536157372546245E+19</c:v>
                </c:pt>
                <c:pt idx="120">
                  <c:v>6.8620646517302395E+19</c:v>
                </c:pt>
              </c:numCache>
            </c:numRef>
          </c:val>
        </c:ser>
        <c:ser>
          <c:idx val="6"/>
          <c:order val="5"/>
          <c:tx>
            <c:strRef>
              <c:f>mod.O5!$AH$1</c:f>
              <c:strCache>
                <c:ptCount val="1"/>
                <c:pt idx="0">
                  <c:v>O5 N(Am241)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mod.O5!$AH$2:$AH$136</c:f>
              <c:numCache>
                <c:formatCode>0.00</c:formatCode>
                <c:ptCount val="135"/>
                <c:pt idx="0">
                  <c:v>3.2520680334545068E+19</c:v>
                </c:pt>
                <c:pt idx="1">
                  <c:v>3.2531438086500602E+19</c:v>
                </c:pt>
                <c:pt idx="2">
                  <c:v>3.2536002229100179E+19</c:v>
                </c:pt>
                <c:pt idx="3">
                  <c:v>3.2534718116800365E+19</c:v>
                </c:pt>
                <c:pt idx="4">
                  <c:v>3.2527917260325671E+19</c:v>
                </c:pt>
                <c:pt idx="5">
                  <c:v>3.2515917849021063E+19</c:v>
                </c:pt>
                <c:pt idx="6">
                  <c:v>3.2499025273204437E+19</c:v>
                </c:pt>
                <c:pt idx="7">
                  <c:v>3.2477532646519136E+19</c:v>
                </c:pt>
                <c:pt idx="8">
                  <c:v>3.2451721328286433E+19</c:v>
                </c:pt>
                <c:pt idx="9">
                  <c:v>3.2421861445858046E+19</c:v>
                </c:pt>
                <c:pt idx="10">
                  <c:v>3.238821241696861E+19</c:v>
                </c:pt>
                <c:pt idx="11">
                  <c:v>3.2351023472088191E+19</c:v>
                </c:pt>
                <c:pt idx="12">
                  <c:v>3.2310534176774779E+19</c:v>
                </c:pt>
                <c:pt idx="13">
                  <c:v>3.2266931951070454E+19</c:v>
                </c:pt>
                <c:pt idx="14">
                  <c:v>3.2220462806552199E+19</c:v>
                </c:pt>
                <c:pt idx="15">
                  <c:v>3.2171334118576828E+19</c:v>
                </c:pt>
                <c:pt idx="16">
                  <c:v>3.2119744258704642E+19</c:v>
                </c:pt>
                <c:pt idx="17">
                  <c:v>3.206588294657373E+19</c:v>
                </c:pt>
                <c:pt idx="18">
                  <c:v>3.2009931601774174E+19</c:v>
                </c:pt>
                <c:pt idx="19">
                  <c:v>3.195206369572234E+19</c:v>
                </c:pt>
                <c:pt idx="20">
                  <c:v>3.189244510353517E+19</c:v>
                </c:pt>
                <c:pt idx="21">
                  <c:v>3.1831234455904383E+19</c:v>
                </c:pt>
                <c:pt idx="22">
                  <c:v>3.176858349097078E+19</c:v>
                </c:pt>
                <c:pt idx="23">
                  <c:v>3.1704637406198501E+19</c:v>
                </c:pt>
                <c:pt idx="24">
                  <c:v>3.1639535210249282E+19</c:v>
                </c:pt>
                <c:pt idx="25">
                  <c:v>3.1573380656958255E+19</c:v>
                </c:pt>
                <c:pt idx="26">
                  <c:v>3.150631800119543E+19</c:v>
                </c:pt>
                <c:pt idx="27">
                  <c:v>3.1438465469479817E+19</c:v>
                </c:pt>
                <c:pt idx="28">
                  <c:v>3.1369935530901938E+19</c:v>
                </c:pt>
                <c:pt idx="29">
                  <c:v>3.1300835132535149E+19</c:v>
                </c:pt>
                <c:pt idx="30">
                  <c:v>3.1231265934846951E+19</c:v>
                </c:pt>
                <c:pt idx="31">
                  <c:v>3.1161324547110334E+19</c:v>
                </c:pt>
                <c:pt idx="32">
                  <c:v>3.1091102762815099E+19</c:v>
                </c:pt>
                <c:pt idx="33">
                  <c:v>3.1020687795079184E+19</c:v>
                </c:pt>
                <c:pt idx="34">
                  <c:v>3.0950162512059998E+19</c:v>
                </c:pt>
                <c:pt idx="35">
                  <c:v>3.0879605672365724E+19</c:v>
                </c:pt>
                <c:pt idx="36">
                  <c:v>3.0809092160466678E+19</c:v>
                </c:pt>
                <c:pt idx="37">
                  <c:v>3.0738673164120076E+19</c:v>
                </c:pt>
                <c:pt idx="38">
                  <c:v>3.0668427828409905E+19</c:v>
                </c:pt>
                <c:pt idx="39">
                  <c:v>3.0598417880107106E+19</c:v>
                </c:pt>
                <c:pt idx="40">
                  <c:v>3.0528701448736838E+19</c:v>
                </c:pt>
                <c:pt idx="41">
                  <c:v>3.0459333222714343E+19</c:v>
                </c:pt>
                <c:pt idx="42">
                  <c:v>3.0390364605480862E+19</c:v>
                </c:pt>
                <c:pt idx="43">
                  <c:v>3.0321843871639638E+19</c:v>
                </c:pt>
                <c:pt idx="44">
                  <c:v>3.0253816323091755E+19</c:v>
                </c:pt>
                <c:pt idx="45">
                  <c:v>3.0186324445172134E+19</c:v>
                </c:pt>
                <c:pt idx="46">
                  <c:v>3.0119408062785434E+19</c:v>
                </c:pt>
                <c:pt idx="47">
                  <c:v>3.0053104496541983E+19</c:v>
                </c:pt>
                <c:pt idx="48">
                  <c:v>2.9987448718893703E+19</c:v>
                </c:pt>
                <c:pt idx="49">
                  <c:v>2.9922459889353515E+19</c:v>
                </c:pt>
                <c:pt idx="50">
                  <c:v>2.9858176432813711E+19</c:v>
                </c:pt>
                <c:pt idx="51">
                  <c:v>2.9794625214403756E+19</c:v>
                </c:pt>
                <c:pt idx="52">
                  <c:v>2.9731830924882604E+19</c:v>
                </c:pt>
                <c:pt idx="53">
                  <c:v>2.9669816183050772E+19</c:v>
                </c:pt>
                <c:pt idx="54">
                  <c:v>2.9608601638162412E+19</c:v>
                </c:pt>
                <c:pt idx="55">
                  <c:v>2.9548206072337441E+19</c:v>
                </c:pt>
                <c:pt idx="56">
                  <c:v>2.9488646502973608E+19</c:v>
                </c:pt>
                <c:pt idx="57">
                  <c:v>2.9429938285158572E+19</c:v>
                </c:pt>
                <c:pt idx="58">
                  <c:v>2.9372095214082015E+19</c:v>
                </c:pt>
                <c:pt idx="59">
                  <c:v>2.9315129627447718E+19</c:v>
                </c:pt>
                <c:pt idx="60">
                  <c:v>2.9259052507885666E+19</c:v>
                </c:pt>
                <c:pt idx="61">
                  <c:v>2.9203864381665047E+19</c:v>
                </c:pt>
                <c:pt idx="62">
                  <c:v>2.9149579022299845E+19</c:v>
                </c:pt>
                <c:pt idx="63">
                  <c:v>2.9096202612237042E+19</c:v>
                </c:pt>
                <c:pt idx="64">
                  <c:v>2.9043740084474556E+19</c:v>
                </c:pt>
                <c:pt idx="65">
                  <c:v>2.8992195188764041E+19</c:v>
                </c:pt>
                <c:pt idx="66">
                  <c:v>2.8941570557813686E+19</c:v>
                </c:pt>
                <c:pt idx="67">
                  <c:v>2.8891867773491024E+19</c:v>
                </c:pt>
                <c:pt idx="68">
                  <c:v>2.8843087433025741E+19</c:v>
                </c:pt>
                <c:pt idx="69">
                  <c:v>2.8795229215212483E+19</c:v>
                </c:pt>
                <c:pt idx="70">
                  <c:v>2.8748291946613641E+19</c:v>
                </c:pt>
                <c:pt idx="71">
                  <c:v>2.8702273667762192E+19</c:v>
                </c:pt>
                <c:pt idx="72">
                  <c:v>2.8657171699364463E+19</c:v>
                </c:pt>
                <c:pt idx="73">
                  <c:v>2.8612976527908012E+19</c:v>
                </c:pt>
                <c:pt idx="74">
                  <c:v>2.8569687724351353E+19</c:v>
                </c:pt>
                <c:pt idx="75">
                  <c:v>2.8527299942410707E+19</c:v>
                </c:pt>
                <c:pt idx="76">
                  <c:v>2.8485807177089118E+19</c:v>
                </c:pt>
                <c:pt idx="77">
                  <c:v>2.8445202806640751E+19</c:v>
                </c:pt>
                <c:pt idx="78">
                  <c:v>2.8405479634535158E+19</c:v>
                </c:pt>
                <c:pt idx="79">
                  <c:v>2.8366629931421598E+19</c:v>
                </c:pt>
                <c:pt idx="80">
                  <c:v>2.8328645477093319E+19</c:v>
                </c:pt>
                <c:pt idx="81">
                  <c:v>2.8291517602451825E+19</c:v>
                </c:pt>
                <c:pt idx="82">
                  <c:v>2.8255237231471215E+19</c:v>
                </c:pt>
                <c:pt idx="83">
                  <c:v>2.8219794923162419E+19</c:v>
                </c:pt>
                <c:pt idx="84">
                  <c:v>2.8185180913537544E+19</c:v>
                </c:pt>
                <c:pt idx="85">
                  <c:v>2.8151381039278285E+19</c:v>
                </c:pt>
                <c:pt idx="86">
                  <c:v>2.8118387345578435E+19</c:v>
                </c:pt>
                <c:pt idx="87">
                  <c:v>2.8086188749629649E+19</c:v>
                </c:pt>
                <c:pt idx="88">
                  <c:v>2.8054773878144205E+19</c:v>
                </c:pt>
                <c:pt idx="89">
                  <c:v>2.8024131093233676E+19</c:v>
                </c:pt>
                <c:pt idx="90">
                  <c:v>2.7994248518287573E+19</c:v>
                </c:pt>
                <c:pt idx="91">
                  <c:v>2.7965114063851999E+19</c:v>
                </c:pt>
                <c:pt idx="92">
                  <c:v>2.7936715453508301E+19</c:v>
                </c:pt>
                <c:pt idx="93">
                  <c:v>2.7909040249751736E+19</c:v>
                </c:pt>
                <c:pt idx="94">
                  <c:v>2.788207587987012E+19</c:v>
                </c:pt>
                <c:pt idx="95">
                  <c:v>2.7855809661822476E+19</c:v>
                </c:pt>
                <c:pt idx="96">
                  <c:v>2.7830228830117704E+19</c:v>
                </c:pt>
                <c:pt idx="97">
                  <c:v>2.780531784469479E+19</c:v>
                </c:pt>
                <c:pt idx="98">
                  <c:v>2.7781065390016774E+19</c:v>
                </c:pt>
                <c:pt idx="99">
                  <c:v>2.7757458209656992E+19</c:v>
                </c:pt>
                <c:pt idx="100">
                  <c:v>2.7734482978298253E+19</c:v>
                </c:pt>
                <c:pt idx="101">
                  <c:v>2.7712126317054501E+19</c:v>
                </c:pt>
                <c:pt idx="102">
                  <c:v>2.7690374808792449E+19</c:v>
                </c:pt>
                <c:pt idx="103">
                  <c:v>2.7669215013453222E+19</c:v>
                </c:pt>
                <c:pt idx="104">
                  <c:v>2.7648633483373974E+19</c:v>
                </c:pt>
                <c:pt idx="105">
                  <c:v>2.7628616778609574E+19</c:v>
                </c:pt>
                <c:pt idx="106">
                  <c:v>2.7609151482254205E+19</c:v>
                </c:pt>
                <c:pt idx="107">
                  <c:v>2.759022421576301E+19</c:v>
                </c:pt>
                <c:pt idx="108">
                  <c:v>2.7571821654273769E+19</c:v>
                </c:pt>
                <c:pt idx="109">
                  <c:v>2.755392877245064E+19</c:v>
                </c:pt>
                <c:pt idx="110">
                  <c:v>2.7536533403336753E+19</c:v>
                </c:pt>
                <c:pt idx="111">
                  <c:v>2.7519622218138608E+19</c:v>
                </c:pt>
                <c:pt idx="112">
                  <c:v>2.7503181945383694E+19</c:v>
                </c:pt>
                <c:pt idx="113">
                  <c:v>2.748719937941409E+19</c:v>
                </c:pt>
                <c:pt idx="114">
                  <c:v>2.747166138888013E+19</c:v>
                </c:pt>
                <c:pt idx="115">
                  <c:v>2.7456554925233979E+19</c:v>
                </c:pt>
                <c:pt idx="116">
                  <c:v>2.7441867031223325E+19</c:v>
                </c:pt>
                <c:pt idx="117">
                  <c:v>2.7427584849384944E+19</c:v>
                </c:pt>
                <c:pt idx="118">
                  <c:v>2.7413695630538355E+19</c:v>
                </c:pt>
                <c:pt idx="119">
                  <c:v>2.7400186742279467E+19</c:v>
                </c:pt>
                <c:pt idx="120">
                  <c:v>2.7387045677474169E+19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911040"/>
        <c:axId val="107912576"/>
      </c:areaChart>
      <c:catAx>
        <c:axId val="10791104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07912576"/>
        <c:crosses val="autoZero"/>
        <c:auto val="1"/>
        <c:lblAlgn val="ctr"/>
        <c:lblOffset val="100"/>
        <c:noMultiLvlLbl val="0"/>
      </c:catAx>
      <c:valAx>
        <c:axId val="10791257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7911040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mod.math.!$D$43</c:f>
              <c:strCache>
                <c:ptCount val="1"/>
                <c:pt idx="0">
                  <c:v>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7"/>
          </c:marker>
          <c:x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xVal>
          <c:yVal>
            <c:numRef>
              <c:f>mod.math.!$D$44:$D$51</c:f>
              <c:numCache>
                <c:formatCode>0.00E+00</c:formatCode>
                <c:ptCount val="8"/>
                <c:pt idx="0">
                  <c:v>-11.523237345158456</c:v>
                </c:pt>
                <c:pt idx="1">
                  <c:v>-8.1437078205125637</c:v>
                </c:pt>
                <c:pt idx="2">
                  <c:v>-7.6790945656458547</c:v>
                </c:pt>
                <c:pt idx="3">
                  <c:v>-6.947621210966421</c:v>
                </c:pt>
                <c:pt idx="4">
                  <c:v>-6.3282140241947022</c:v>
                </c:pt>
                <c:pt idx="5">
                  <c:v>-3.009245162795835</c:v>
                </c:pt>
                <c:pt idx="6">
                  <c:v>-2.5875611085875283</c:v>
                </c:pt>
                <c:pt idx="7">
                  <c:v>-1.0856205795703424</c:v>
                </c:pt>
              </c:numCache>
            </c:numRef>
          </c:yVal>
          <c:smooth val="0"/>
        </c:ser>
        <c:ser>
          <c:idx val="0"/>
          <c:order val="0"/>
          <c:spPr>
            <a:ln w="28575">
              <a:noFill/>
            </a:ln>
          </c:spPr>
          <c:marker>
            <c:symbol val="plus"/>
            <c:size val="7"/>
          </c:marker>
          <c:xVal>
            <c:numLit>
              <c:formatCode>General</c:formatCode>
              <c:ptCount val="8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</c:numLit>
          </c:xVal>
          <c:yVal>
            <c:numRef>
              <c:f>mod.math.!$F$42:$M$42</c:f>
              <c:numCache>
                <c:formatCode>0.00E+00</c:formatCode>
                <c:ptCount val="8"/>
                <c:pt idx="0">
                  <c:v>-6.3293664152644187</c:v>
                </c:pt>
                <c:pt idx="1">
                  <c:v>-7.6746263231083107</c:v>
                </c:pt>
                <c:pt idx="2">
                  <c:v>-3.0092529569266895</c:v>
                </c:pt>
                <c:pt idx="3">
                  <c:v>-11.523237401921893</c:v>
                </c:pt>
                <c:pt idx="4">
                  <c:v>-2.5875525259194117</c:v>
                </c:pt>
                <c:pt idx="5">
                  <c:v>-6.9476207224624007</c:v>
                </c:pt>
                <c:pt idx="6">
                  <c:v>-8.1470236973063681</c:v>
                </c:pt>
                <c:pt idx="7">
                  <c:v>-1.0856217745220376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631936"/>
        <c:axId val="84633472"/>
      </c:scatterChart>
      <c:valAx>
        <c:axId val="84631936"/>
        <c:scaling>
          <c:orientation val="minMax"/>
          <c:max val="2"/>
          <c:min val="-1"/>
        </c:scaling>
        <c:delete val="0"/>
        <c:axPos val="b"/>
        <c:numFmt formatCode="General" sourceLinked="1"/>
        <c:majorTickMark val="out"/>
        <c:minorTickMark val="none"/>
        <c:tickLblPos val="nextTo"/>
        <c:crossAx val="84633472"/>
        <c:crosses val="autoZero"/>
        <c:crossBetween val="midCat"/>
      </c:valAx>
      <c:valAx>
        <c:axId val="84633472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84631936"/>
        <c:crossesAt val="-1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courbes!$W$1</c:f>
              <c:strCache>
                <c:ptCount val="1"/>
                <c:pt idx="0">
                  <c:v>Exact Simpl. - Pu238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courbes!$W$2:$W$136</c:f>
              <c:numCache>
                <c:formatCode>0.0000E+00</c:formatCode>
                <c:ptCount val="135"/>
                <c:pt idx="0">
                  <c:v>1.2032336397210911E+19</c:v>
                </c:pt>
                <c:pt idx="1">
                  <c:v>1.2244524625048338E+19</c:v>
                </c:pt>
                <c:pt idx="2">
                  <c:v>1.2444513376394756E+19</c:v>
                </c:pt>
                <c:pt idx="3">
                  <c:v>1.2632688167675199E+19</c:v>
                </c:pt>
                <c:pt idx="4">
                  <c:v>1.2809424252398715E+19</c:v>
                </c:pt>
                <c:pt idx="5">
                  <c:v>1.2975086873141232E+19</c:v>
                </c:pt>
                <c:pt idx="6">
                  <c:v>1.3130031507619987E+19</c:v>
                </c:pt>
                <c:pt idx="7">
                  <c:v>1.3274604108994576E+19</c:v>
                </c:pt>
                <c:pt idx="8">
                  <c:v>1.3409141340525773E+19</c:v>
                </c:pt>
                <c:pt idx="9">
                  <c:v>1.3533970804720689E+19</c:v>
                </c:pt>
                <c:pt idx="10">
                  <c:v>1.3649411267090612E+19</c:v>
                </c:pt>
                <c:pt idx="11">
                  <c:v>1.3755772874643669E+19</c:v>
                </c:pt>
                <c:pt idx="12">
                  <c:v>1.3853357369232957E+19</c:v>
                </c:pt>
                <c:pt idx="13">
                  <c:v>1.3942458295877673E+19</c:v>
                </c:pt>
                <c:pt idx="14">
                  <c:v>1.4023361206171812E+19</c:v>
                </c:pt>
                <c:pt idx="15">
                  <c:v>1.4096343856893092E+19</c:v>
                </c:pt>
                <c:pt idx="16">
                  <c:v>1.4161676403921428E+19</c:v>
                </c:pt>
                <c:pt idx="17">
                  <c:v>1.4219621591574815E+19</c:v>
                </c:pt>
                <c:pt idx="18">
                  <c:v>1.4270434937467093E+19</c:v>
                </c:pt>
                <c:pt idx="19">
                  <c:v>1.4314364912990298E+19</c:v>
                </c:pt>
                <c:pt idx="20">
                  <c:v>1.4351653119522128E+19</c:v>
                </c:pt>
                <c:pt idx="21">
                  <c:v>1.438253446045592E+19</c:v>
                </c:pt>
                <c:pt idx="22">
                  <c:v>1.44072373091497E+19</c:v>
                </c:pt>
                <c:pt idx="23">
                  <c:v>1.4425983672887386E+19</c:v>
                </c:pt>
                <c:pt idx="24">
                  <c:v>1.4438989352943985E+19</c:v>
                </c:pt>
                <c:pt idx="25">
                  <c:v>1.4446464100844282E+19</c:v>
                </c:pt>
                <c:pt idx="26">
                  <c:v>1.4448611770902389E+19</c:v>
                </c:pt>
                <c:pt idx="27">
                  <c:v>1.4445630469127832E+19</c:v>
                </c:pt>
                <c:pt idx="28">
                  <c:v>1.4437712698581574E+19</c:v>
                </c:pt>
                <c:pt idx="29">
                  <c:v>1.4425045501264036E+19</c:v>
                </c:pt>
                <c:pt idx="30">
                  <c:v>1.4407810596614627E+19</c:v>
                </c:pt>
                <c:pt idx="31">
                  <c:v>1.4386184516701127E+19</c:v>
                </c:pt>
                <c:pt idx="32">
                  <c:v>1.4360338738175107E+19</c:v>
                </c:pt>
                <c:pt idx="33">
                  <c:v>1.4330439811068133E+19</c:v>
                </c:pt>
                <c:pt idx="34">
                  <c:v>1.4296649484501541E+19</c:v>
                </c:pt>
                <c:pt idx="35">
                  <c:v>1.4259124829381198E+19</c:v>
                </c:pt>
                <c:pt idx="36">
                  <c:v>1.4218018358146753E+19</c:v>
                </c:pt>
                <c:pt idx="37">
                  <c:v>1.4173478141643727E+19</c:v>
                </c:pt>
                <c:pt idx="38">
                  <c:v>1.4125647923184771E+19</c:v>
                </c:pt>
                <c:pt idx="39">
                  <c:v>1.4074667229865353E+19</c:v>
                </c:pt>
                <c:pt idx="40">
                  <c:v>1.402067148119724E+19</c:v>
                </c:pt>
                <c:pt idx="41">
                  <c:v>1.3963792095122317E+19</c:v>
                </c:pt>
                <c:pt idx="42">
                  <c:v>1.390415659146693E+19</c:v>
                </c:pt>
                <c:pt idx="43">
                  <c:v>1.3841888692896809E+19</c:v>
                </c:pt>
                <c:pt idx="44">
                  <c:v>1.3777108423429964E+19</c:v>
                </c:pt>
                <c:pt idx="45">
                  <c:v>1.3709932204564787E+19</c:v>
                </c:pt>
                <c:pt idx="46">
                  <c:v>1.3640472949078483E+19</c:v>
                </c:pt>
                <c:pt idx="47">
                  <c:v>1.3568840152550085E+19</c:v>
                </c:pt>
                <c:pt idx="48">
                  <c:v>1.3495139982661218E+19</c:v>
                </c:pt>
                <c:pt idx="49">
                  <c:v>1.3419475366326006E+19</c:v>
                </c:pt>
                <c:pt idx="50">
                  <c:v>1.3341946074701005E+19</c:v>
                </c:pt>
                <c:pt idx="51">
                  <c:v>1.3262648806124438E+19</c:v>
                </c:pt>
                <c:pt idx="52">
                  <c:v>1.3181677267033182E+19</c:v>
                </c:pt>
                <c:pt idx="53">
                  <c:v>1.3099122250904539E+19</c:v>
                </c:pt>
                <c:pt idx="54">
                  <c:v>1.3015071715269087E+19</c:v>
                </c:pt>
                <c:pt idx="55">
                  <c:v>1.2929610856839643E+19</c:v>
                </c:pt>
                <c:pt idx="56">
                  <c:v>1.2842822184800502E+19</c:v>
                </c:pt>
                <c:pt idx="57">
                  <c:v>1.2754785592299831E+19</c:v>
                </c:pt>
                <c:pt idx="58">
                  <c:v>1.2665578426187432E+19</c:v>
                </c:pt>
                <c:pt idx="59">
                  <c:v>1.2575275555039142E+19</c:v>
                </c:pt>
                <c:pt idx="60">
                  <c:v>1.2483949435507675E+19</c:v>
                </c:pt>
                <c:pt idx="61">
                  <c:v>1.2391670177039671E+19</c:v>
                </c:pt>
                <c:pt idx="62">
                  <c:v>1.2298505604996911E+19</c:v>
                </c:pt>
                <c:pt idx="63">
                  <c:v>1.2204521322219454E+19</c:v>
                </c:pt>
                <c:pt idx="64">
                  <c:v>1.2109780769067327E+19</c:v>
                </c:pt>
                <c:pt idx="65">
                  <c:v>1.2014345281976381E+19</c:v>
                </c:pt>
                <c:pt idx="66">
                  <c:v>1.1918274150563705E+19</c:v>
                </c:pt>
                <c:pt idx="67">
                  <c:v>1.1821624673316327E+19</c:v>
                </c:pt>
                <c:pt idx="68">
                  <c:v>1.1724452211896988E+19</c:v>
                </c:pt>
                <c:pt idx="69">
                  <c:v>1.1626810244099473E+19</c:v>
                </c:pt>
                <c:pt idx="70">
                  <c:v>1.1528750415485407E+19</c:v>
                </c:pt>
                <c:pt idx="71">
                  <c:v>1.1430322589733753E+19</c:v>
                </c:pt>
                <c:pt idx="72">
                  <c:v>1.1331574897733448E+19</c:v>
                </c:pt>
                <c:pt idx="73">
                  <c:v>1.1232553785448899E+19</c:v>
                </c:pt>
                <c:pt idx="74">
                  <c:v>1.1133304060587461E+19</c:v>
                </c:pt>
                <c:pt idx="75">
                  <c:v>1.1033868938097353E+19</c:v>
                </c:pt>
                <c:pt idx="76">
                  <c:v>1.0934290084523665E+19</c:v>
                </c:pt>
                <c:pt idx="77">
                  <c:v>1.0834607661249677E+19</c:v>
                </c:pt>
                <c:pt idx="78">
                  <c:v>1.0734860366649954E+19</c:v>
                </c:pt>
                <c:pt idx="79">
                  <c:v>1.0635085477181104E+19</c:v>
                </c:pt>
                <c:pt idx="80">
                  <c:v>1.0535318887435528E+19</c:v>
                </c:pt>
                <c:pt idx="81">
                  <c:v>1.0435595149182833E+19</c:v>
                </c:pt>
                <c:pt idx="82">
                  <c:v>1.0335947509423067E+19</c:v>
                </c:pt>
                <c:pt idx="83">
                  <c:v>1.0236407947475427E+19</c:v>
                </c:pt>
                <c:pt idx="84">
                  <c:v>1.0137007211125389E+19</c:v>
                </c:pt>
                <c:pt idx="85">
                  <c:v>1.0037774851852859E+19</c:v>
                </c:pt>
                <c:pt idx="86">
                  <c:v>9.9387392591632712E+18</c:v>
                </c:pt>
                <c:pt idx="87">
                  <c:v>9.8399276940431892E+18</c:v>
                </c:pt>
                <c:pt idx="88">
                  <c:v>9.7413663215613501E+18</c:v>
                </c:pt>
                <c:pt idx="89">
                  <c:v>9.6430802426356982E+18</c:v>
                </c:pt>
                <c:pt idx="90">
                  <c:v>9.5450935249864233E+18</c:v>
                </c:pt>
                <c:pt idx="91">
                  <c:v>9.4474292332945367E+18</c:v>
                </c:pt>
                <c:pt idx="92">
                  <c:v>9.350109458585172E+18</c:v>
                </c:pt>
                <c:pt idx="93">
                  <c:v>9.2531553468542771E+18</c:v>
                </c:pt>
                <c:pt idx="94">
                  <c:v>9.1565871269568635E+18</c:v>
                </c:pt>
                <c:pt idx="95">
                  <c:v>9.0604241377746821E+18</c:v>
                </c:pt>
                <c:pt idx="96">
                  <c:v>8.9646848546807706E+18</c:v>
                </c:pt>
                <c:pt idx="97">
                  <c:v>8.8693869153178419E+18</c:v>
                </c:pt>
                <c:pt idx="98">
                  <c:v>8.7745471447070269E+18</c:v>
                </c:pt>
                <c:pt idx="99">
                  <c:v>8.6801815797033759E+18</c:v>
                </c:pt>
                <c:pt idx="100">
                  <c:v>8.5863054928138015E+18</c:v>
                </c:pt>
                <c:pt idx="101">
                  <c:v>8.492933415393022E+18</c:v>
                </c:pt>
                <c:pt idx="102">
                  <c:v>8.4000791602326098E+18</c:v>
                </c:pt>
                <c:pt idx="103">
                  <c:v>8.3077558435578593E+18</c:v>
                </c:pt>
                <c:pt idx="104">
                  <c:v>8.2159759064469463E+18</c:v>
                </c:pt>
                <c:pt idx="105">
                  <c:v>8.1247511356864614E+18</c:v>
                </c:pt>
                <c:pt idx="106">
                  <c:v>8.0340926840770028E+18</c:v>
                </c:pt>
                <c:pt idx="107">
                  <c:v>7.9440110902023526E+18</c:v>
                </c:pt>
                <c:pt idx="108">
                  <c:v>7.8545162976752906E+18</c:v>
                </c:pt>
                <c:pt idx="109">
                  <c:v>7.7656176738728622E+18</c:v>
                </c:pt>
                <c:pt idx="110">
                  <c:v>7.6773240281736581E+18</c:v>
                </c:pt>
                <c:pt idx="111">
                  <c:v>7.5896436297092618E+18</c:v>
                </c:pt>
                <c:pt idx="112">
                  <c:v>7.5025842246418391E+18</c:v>
                </c:pt>
                <c:pt idx="113">
                  <c:v>7.4161530529795123E+18</c:v>
                </c:pt>
                <c:pt idx="114">
                  <c:v>7.3303568649408573E+18</c:v>
                </c:pt>
                <c:pt idx="115">
                  <c:v>7.2452019368797338E+18</c:v>
                </c:pt>
                <c:pt idx="116">
                  <c:v>7.1606940867811932E+18</c:v>
                </c:pt>
                <c:pt idx="117">
                  <c:v>7.0768386893391012E+18</c:v>
                </c:pt>
                <c:pt idx="118">
                  <c:v>6.9936406906258309E+18</c:v>
                </c:pt>
                <c:pt idx="119">
                  <c:v>6.9111046223641426E+18</c:v>
                </c:pt>
                <c:pt idx="120">
                  <c:v>6.8292346158110372E+18</c:v>
                </c:pt>
                <c:pt idx="121">
                  <c:v>6.7480344152633344E+18</c:v>
                </c:pt>
                <c:pt idx="122">
                  <c:v>6.6675073911942339E+18</c:v>
                </c:pt>
                <c:pt idx="123">
                  <c:v>6.5876565530302188E+18</c:v>
                </c:pt>
                <c:pt idx="124">
                  <c:v>6.5084845615770634E+18</c:v>
                </c:pt>
                <c:pt idx="125">
                  <c:v>6.4299937411039068E+18</c:v>
                </c:pt>
                <c:pt idx="126">
                  <c:v>6.3521860910937334E+18</c:v>
                </c:pt>
                <c:pt idx="127">
                  <c:v>6.2750632976687892E+18</c:v>
                </c:pt>
                <c:pt idx="128">
                  <c:v>6.1986267446989373E+18</c:v>
                </c:pt>
                <c:pt idx="129">
                  <c:v>6.1228775246009846E+18</c:v>
                </c:pt>
                <c:pt idx="130">
                  <c:v>6.0478164488367288E+18</c:v>
                </c:pt>
                <c:pt idx="131">
                  <c:v>5.9734440581172705E+18</c:v>
                </c:pt>
                <c:pt idx="132">
                  <c:v>5.8997606323210301E+18</c:v>
                </c:pt>
                <c:pt idx="133">
                  <c:v>5.8267662001326664E+18</c:v>
                </c:pt>
                <c:pt idx="134">
                  <c:v>5.7544605484099574E+18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courbes!$K$1</c:f>
              <c:strCache>
                <c:ptCount val="1"/>
                <c:pt idx="0">
                  <c:v>O5 - Pu238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courbes!$K$2:$K$115</c:f>
              <c:numCache>
                <c:formatCode>0.0000E+00</c:formatCode>
                <c:ptCount val="114"/>
                <c:pt idx="0">
                  <c:v>1.2032336397210882E+19</c:v>
                </c:pt>
                <c:pt idx="1">
                  <c:v>1.2596543937684191E+19</c:v>
                </c:pt>
                <c:pt idx="2">
                  <c:v>1.314285138892204E+19</c:v>
                </c:pt>
                <c:pt idx="3">
                  <c:v>1.3671672617136284E+19</c:v>
                </c:pt>
                <c:pt idx="4">
                  <c:v>1.418341442422512E+19</c:v>
                </c:pt>
                <c:pt idx="5">
                  <c:v>1.4678476591997563E+19</c:v>
                </c:pt>
                <c:pt idx="6">
                  <c:v>1.5157251926397983E+19</c:v>
                </c:pt>
                <c:pt idx="7">
                  <c:v>1.5620126301730623E+19</c:v>
                </c:pt>
                <c:pt idx="8">
                  <c:v>1.6067478704884113E+19</c:v>
                </c:pt>
                <c:pt idx="9">
                  <c:v>1.6499681279555987E+19</c:v>
                </c:pt>
                <c:pt idx="10">
                  <c:v>1.6917099370477197E+19</c:v>
                </c:pt>
                <c:pt idx="11">
                  <c:v>1.732009156763664E+19</c:v>
                </c:pt>
                <c:pt idx="12">
                  <c:v>1.7709009750505669E+19</c:v>
                </c:pt>
                <c:pt idx="13">
                  <c:v>1.8084206790398081E+19</c:v>
                </c:pt>
                <c:pt idx="14">
                  <c:v>1.8446016719520647E+19</c:v>
                </c:pt>
                <c:pt idx="15">
                  <c:v>1.8794772575702479E+19</c:v>
                </c:pt>
                <c:pt idx="16">
                  <c:v>1.9130801085002007E+19</c:v>
                </c:pt>
                <c:pt idx="17">
                  <c:v>1.9454422730904166E+19</c:v>
                </c:pt>
                <c:pt idx="18">
                  <c:v>1.9765951823517495E+19</c:v>
                </c:pt>
                <c:pt idx="19">
                  <c:v>2.0065696568771265E+19</c:v>
                </c:pt>
                <c:pt idx="20">
                  <c:v>2.0353959137612653E+19</c:v>
                </c:pt>
                <c:pt idx="21">
                  <c:v>2.0631035735203795E+19</c:v>
                </c:pt>
                <c:pt idx="22">
                  <c:v>2.0897216670119018E+19</c:v>
                </c:pt>
                <c:pt idx="23">
                  <c:v>2.1152786423541907E+19</c:v>
                </c:pt>
                <c:pt idx="24">
                  <c:v>2.1398023718462448E+19</c:v>
                </c:pt>
                <c:pt idx="25">
                  <c:v>2.1633204611790545E+19</c:v>
                </c:pt>
                <c:pt idx="26">
                  <c:v>2.1858594623160435E+19</c:v>
                </c:pt>
                <c:pt idx="27">
                  <c:v>2.2074455981244969E+19</c:v>
                </c:pt>
                <c:pt idx="28">
                  <c:v>2.2281045508420997E+19</c:v>
                </c:pt>
                <c:pt idx="29">
                  <c:v>2.2478614697759318E+19</c:v>
                </c:pt>
                <c:pt idx="30">
                  <c:v>2.2667409790014497E+19</c:v>
                </c:pt>
                <c:pt idx="31">
                  <c:v>2.2847671850614768E+19</c:v>
                </c:pt>
                <c:pt idx="32">
                  <c:v>2.3019636846651912E+19</c:v>
                </c:pt>
                <c:pt idx="33">
                  <c:v>2.3183535723871146E+19</c:v>
                </c:pt>
                <c:pt idx="34">
                  <c:v>2.333959448366098E+19</c:v>
                </c:pt>
                <c:pt idx="35">
                  <c:v>2.3488034260043112E+19</c:v>
                </c:pt>
                <c:pt idx="36">
                  <c:v>2.3629071396662321E+19</c:v>
                </c:pt>
                <c:pt idx="37">
                  <c:v>2.3762917868079403E+19</c:v>
                </c:pt>
                <c:pt idx="38">
                  <c:v>2.3889780324963009E+19</c:v>
                </c:pt>
                <c:pt idx="39">
                  <c:v>2.4009861190591513E+19</c:v>
                </c:pt>
                <c:pt idx="40">
                  <c:v>2.4123358397672296E+19</c:v>
                </c:pt>
                <c:pt idx="41">
                  <c:v>2.423046546345096E+19</c:v>
                </c:pt>
                <c:pt idx="42">
                  <c:v>2.4331371564820513E+19</c:v>
                </c:pt>
                <c:pt idx="43">
                  <c:v>2.4426261613430649E+19</c:v>
                </c:pt>
                <c:pt idx="44">
                  <c:v>2.4515316330796904E+19</c:v>
                </c:pt>
                <c:pt idx="45">
                  <c:v>2.4598712323409953E+19</c:v>
                </c:pt>
                <c:pt idx="46">
                  <c:v>2.4676622157844754E+19</c:v>
                </c:pt>
                <c:pt idx="47">
                  <c:v>2.4749214435869831E+19</c:v>
                </c:pt>
                <c:pt idx="48">
                  <c:v>2.481665386955647E+19</c:v>
                </c:pt>
                <c:pt idx="49">
                  <c:v>2.4879100257572585E+19</c:v>
                </c:pt>
                <c:pt idx="50">
                  <c:v>2.4936711261319193E+19</c:v>
                </c:pt>
                <c:pt idx="51">
                  <c:v>2.4989640165015855E+19</c:v>
                </c:pt>
                <c:pt idx="52">
                  <c:v>2.5038036612025692E+19</c:v>
                </c:pt>
                <c:pt idx="53">
                  <c:v>2.5082046673107005E+19</c:v>
                </c:pt>
                <c:pt idx="54">
                  <c:v>2.5121812914664894E+19</c:v>
                </c:pt>
                <c:pt idx="55">
                  <c:v>2.5157474467002839E+19</c:v>
                </c:pt>
                <c:pt idx="56">
                  <c:v>2.5189167092574368E+19</c:v>
                </c:pt>
                <c:pt idx="57">
                  <c:v>2.5217023254234624E+19</c:v>
                </c:pt>
                <c:pt idx="58">
                  <c:v>2.5241172183492002E+19</c:v>
                </c:pt>
                <c:pt idx="59">
                  <c:v>2.5261739948759761E+19</c:v>
                </c:pt>
                <c:pt idx="60">
                  <c:v>2.5278849523607638E+19</c:v>
                </c:pt>
                <c:pt idx="61">
                  <c:v>2.5292619075303313E+19</c:v>
                </c:pt>
                <c:pt idx="62">
                  <c:v>2.5303166505971208E+19</c:v>
                </c:pt>
                <c:pt idx="63">
                  <c:v>2.5310605615625998E+19</c:v>
                </c:pt>
                <c:pt idx="64">
                  <c:v>2.5315047311750672E+19</c:v>
                </c:pt>
                <c:pt idx="65">
                  <c:v>2.5316599668574077E+19</c:v>
                </c:pt>
                <c:pt idx="66">
                  <c:v>2.5315367986348536E+19</c:v>
                </c:pt>
                <c:pt idx="67">
                  <c:v>2.5311454850627351E+19</c:v>
                </c:pt>
                <c:pt idx="68">
                  <c:v>2.5304960191542432E+19</c:v>
                </c:pt>
                <c:pt idx="69">
                  <c:v>2.5295981343081812E+19</c:v>
                </c:pt>
                <c:pt idx="70">
                  <c:v>2.5284613102367257E+19</c:v>
                </c:pt>
                <c:pt idx="71">
                  <c:v>2.5270947788931817E+19</c:v>
                </c:pt>
                <c:pt idx="72">
                  <c:v>2.5255075303997342E+19</c:v>
                </c:pt>
                <c:pt idx="73">
                  <c:v>2.5237081184178864E+19</c:v>
                </c:pt>
                <c:pt idx="74">
                  <c:v>2.5217051733436129E+19</c:v>
                </c:pt>
                <c:pt idx="75">
                  <c:v>2.5195069630603432E+19</c:v>
                </c:pt>
                <c:pt idx="76">
                  <c:v>2.5171215297860641E+19</c:v>
                </c:pt>
                <c:pt idx="77">
                  <c:v>2.5145566950595908E+19</c:v>
                </c:pt>
                <c:pt idx="78">
                  <c:v>2.5118200647268413E+19</c:v>
                </c:pt>
                <c:pt idx="79">
                  <c:v>2.5089190339271029E+19</c:v>
                </c:pt>
                <c:pt idx="80">
                  <c:v>2.5058607920793072E+19</c:v>
                </c:pt>
                <c:pt idx="81">
                  <c:v>2.5026523278682993E+19</c:v>
                </c:pt>
                <c:pt idx="82">
                  <c:v>2.4993004342311072E+19</c:v>
                </c:pt>
                <c:pt idx="83">
                  <c:v>2.4958117133432164E+19</c:v>
                </c:pt>
                <c:pt idx="84">
                  <c:v>2.4921925816048378E+19</c:v>
                </c:pt>
                <c:pt idx="85">
                  <c:v>2.4884490773279646E+19</c:v>
                </c:pt>
                <c:pt idx="86">
                  <c:v>2.4845873662625366E+19</c:v>
                </c:pt>
                <c:pt idx="87">
                  <c:v>2.4806133062407373E+19</c:v>
                </c:pt>
                <c:pt idx="88">
                  <c:v>2.4765325820404527E+19</c:v>
                </c:pt>
                <c:pt idx="89">
                  <c:v>2.4723507094782747E+19</c:v>
                </c:pt>
                <c:pt idx="90">
                  <c:v>2.468073039502506E+19</c:v>
                </c:pt>
                <c:pt idx="91">
                  <c:v>2.4637047622861672E+19</c:v>
                </c:pt>
                <c:pt idx="92">
                  <c:v>2.4592509113199976E+19</c:v>
                </c:pt>
                <c:pt idx="93">
                  <c:v>2.4547163675054653E+19</c:v>
                </c:pt>
                <c:pt idx="94">
                  <c:v>2.4501058632477688E+19</c:v>
                </c:pt>
                <c:pt idx="95">
                  <c:v>2.4454239865488421E+19</c:v>
                </c:pt>
                <c:pt idx="96">
                  <c:v>2.4406751851003613E+19</c:v>
                </c:pt>
                <c:pt idx="97">
                  <c:v>2.4358635898320036E+19</c:v>
                </c:pt>
                <c:pt idx="98">
                  <c:v>2.4309934778589184E+19</c:v>
                </c:pt>
                <c:pt idx="99">
                  <c:v>2.4260688723264397E+19</c:v>
                </c:pt>
                <c:pt idx="100">
                  <c:v>2.421093665938781E+19</c:v>
                </c:pt>
                <c:pt idx="101">
                  <c:v>2.4160716242524951E+19</c:v>
                </c:pt>
                <c:pt idx="102">
                  <c:v>2.4110063889699303E+19</c:v>
                </c:pt>
                <c:pt idx="103">
                  <c:v>2.4059014812326941E+19</c:v>
                </c:pt>
                <c:pt idx="104">
                  <c:v>2.4007603049151082E+19</c:v>
                </c:pt>
                <c:pt idx="105">
                  <c:v>2.3955861499176653E+19</c:v>
                </c:pt>
                <c:pt idx="106">
                  <c:v>2.3903821954604958E+19</c:v>
                </c:pt>
                <c:pt idx="107">
                  <c:v>2.3851515133768159E+19</c:v>
                </c:pt>
                <c:pt idx="108">
                  <c:v>2.379897071406395E+19</c:v>
                </c:pt>
                <c:pt idx="109">
                  <c:v>2.3746215786343199E+19</c:v>
                </c:pt>
                <c:pt idx="110">
                  <c:v>2.3693278904525246E+19</c:v>
                </c:pt>
                <c:pt idx="111">
                  <c:v>2.3640186576478614E+19</c:v>
                </c:pt>
                <c:pt idx="112">
                  <c:v>2.3586964344651661E+19</c:v>
                </c:pt>
                <c:pt idx="113">
                  <c:v>2.3533636812121375E+19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courbes!$AF$1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courbes!$AF$2:$AF$51</c:f>
              <c:numCache>
                <c:formatCode>0.0000E+00</c:formatCode>
                <c:ptCount val="50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courbes!$AR$1</c:f>
              <c:strCache>
                <c:ptCount val="1"/>
                <c:pt idx="0">
                  <c:v>VESTA - Pu238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courbes!$AR$2:$AR$8</c:f>
              <c:numCache>
                <c:formatCode>0.0000E+00</c:formatCode>
                <c:ptCount val="7"/>
                <c:pt idx="0">
                  <c:v>1.2032336397210882E+19</c:v>
                </c:pt>
                <c:pt idx="1">
                  <c:v>1.1798109228699929E+19</c:v>
                </c:pt>
                <c:pt idx="2">
                  <c:v>1.1676658104286841E+19</c:v>
                </c:pt>
                <c:pt idx="3">
                  <c:v>1.2301263886982719E+19</c:v>
                </c:pt>
                <c:pt idx="4">
                  <c:v>1.4400633323266089E+19</c:v>
                </c:pt>
                <c:pt idx="5">
                  <c:v>2.0776817354953179E+19</c:v>
                </c:pt>
                <c:pt idx="6">
                  <c:v>2.7387228555151225E+19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courbes!$B$1</c:f>
              <c:strCache>
                <c:ptCount val="1"/>
                <c:pt idx="0">
                  <c:v>RK1 - Pu238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courbes!$B$2:$B$136</c:f>
              <c:numCache>
                <c:formatCode>0.0000E+00</c:formatCode>
                <c:ptCount val="135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862080"/>
        <c:axId val="84863616"/>
      </c:scatterChart>
      <c:valAx>
        <c:axId val="84862080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84863616"/>
        <c:crosses val="autoZero"/>
        <c:crossBetween val="midCat"/>
      </c:valAx>
      <c:valAx>
        <c:axId val="84863616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848620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courbes!$X$1</c:f>
              <c:strCache>
                <c:ptCount val="1"/>
                <c:pt idx="0">
                  <c:v>Exact Simpl. - Pu239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courbes!$X$2:$X$136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2.1746594988127137E+21</c:v>
                </c:pt>
                <c:pt idx="2">
                  <c:v>2.1710769531702089E+21</c:v>
                </c:pt>
                <c:pt idx="3">
                  <c:v>2.1674534724010474E+21</c:v>
                </c:pt>
                <c:pt idx="4">
                  <c:v>2.1637901444719205E+21</c:v>
                </c:pt>
                <c:pt idx="5">
                  <c:v>2.1600880363712251E+21</c:v>
                </c:pt>
                <c:pt idx="6">
                  <c:v>2.1563481944860902E+21</c:v>
                </c:pt>
                <c:pt idx="7">
                  <c:v>2.1525716449729619E+21</c:v>
                </c:pt>
                <c:pt idx="8">
                  <c:v>2.1487593941218519E+21</c:v>
                </c:pt>
                <c:pt idx="9">
                  <c:v>2.1449124287143451E+21</c:v>
                </c:pt>
                <c:pt idx="10">
                  <c:v>2.1410317163754716E+21</c:v>
                </c:pt>
                <c:pt idx="11">
                  <c:v>2.1371182059195403E+21</c:v>
                </c:pt>
                <c:pt idx="12">
                  <c:v>2.1331728276900298E+21</c:v>
                </c:pt>
                <c:pt idx="13">
                  <c:v>2.1291964938936344E+21</c:v>
                </c:pt>
                <c:pt idx="14">
                  <c:v>2.1251900989285576E+21</c:v>
                </c:pt>
                <c:pt idx="15">
                  <c:v>2.1211545197071497E+21</c:v>
                </c:pt>
                <c:pt idx="16">
                  <c:v>2.1170906159729727E+21</c:v>
                </c:pt>
                <c:pt idx="17">
                  <c:v>2.1129992306123987E+21</c:v>
                </c:pt>
                <c:pt idx="18">
                  <c:v>2.1088811899608092E+21</c:v>
                </c:pt>
                <c:pt idx="19">
                  <c:v>2.1047373041035059E+21</c:v>
                </c:pt>
                <c:pt idx="20">
                  <c:v>2.1005683671713983E+21</c:v>
                </c:pt>
                <c:pt idx="21">
                  <c:v>2.0963751576315715E+21</c:v>
                </c:pt>
                <c:pt idx="22">
                  <c:v>2.0921584385728019E+21</c:v>
                </c:pt>
                <c:pt idx="23">
                  <c:v>2.0879189579861181E+21</c:v>
                </c:pt>
                <c:pt idx="24">
                  <c:v>2.0836574490404764E+21</c:v>
                </c:pt>
                <c:pt idx="25">
                  <c:v>2.079374630353639E+21</c:v>
                </c:pt>
                <c:pt idx="26">
                  <c:v>2.0750712062583279E+21</c:v>
                </c:pt>
                <c:pt idx="27">
                  <c:v>2.070747867063739E+21</c:v>
                </c:pt>
                <c:pt idx="28">
                  <c:v>2.0664052893124859E+21</c:v>
                </c:pt>
                <c:pt idx="29">
                  <c:v>2.0620441360330544E+21</c:v>
                </c:pt>
                <c:pt idx="30">
                  <c:v>2.0576650569878379E+21</c:v>
                </c:pt>
                <c:pt idx="31">
                  <c:v>2.0532686889168302E+21</c:v>
                </c:pt>
                <c:pt idx="32">
                  <c:v>2.0488556557770451E+21</c:v>
                </c:pt>
                <c:pt idx="33">
                  <c:v>2.044426568977736E+21</c:v>
                </c:pt>
                <c:pt idx="34">
                  <c:v>2.0399820276114839E+21</c:v>
                </c:pt>
                <c:pt idx="35">
                  <c:v>2.0355226186812212E+21</c:v>
                </c:pt>
                <c:pt idx="36">
                  <c:v>2.031048917323264E+21</c:v>
                </c:pt>
                <c:pt idx="37">
                  <c:v>2.0265614870264134E+21</c:v>
                </c:pt>
                <c:pt idx="38">
                  <c:v>2.0220608798471954E+21</c:v>
                </c:pt>
                <c:pt idx="39">
                  <c:v>2.0175476366213047E+21</c:v>
                </c:pt>
                <c:pt idx="40">
                  <c:v>2.0130222871713106E+21</c:v>
                </c:pt>
                <c:pt idx="41">
                  <c:v>2.0084853505106971E+21</c:v>
                </c:pt>
                <c:pt idx="42">
                  <c:v>2.0039373350442867E+21</c:v>
                </c:pt>
                <c:pt idx="43">
                  <c:v>1.9993787387651194E+21</c:v>
                </c:pt>
                <c:pt idx="44">
                  <c:v>1.9948100494478431E+21</c:v>
                </c:pt>
                <c:pt idx="45">
                  <c:v>1.9902317448386692E+21</c:v>
                </c:pt>
                <c:pt idx="46">
                  <c:v>1.9856442928419606E+21</c:v>
                </c:pt>
                <c:pt idx="47">
                  <c:v>1.9810481517035004E+21</c:v>
                </c:pt>
                <c:pt idx="48">
                  <c:v>1.9764437701905039E+21</c:v>
                </c:pt>
                <c:pt idx="49">
                  <c:v>1.9718315877684242E+21</c:v>
                </c:pt>
                <c:pt idx="50">
                  <c:v>1.9672120347746105E+21</c:v>
                </c:pt>
                <c:pt idx="51">
                  <c:v>1.9625855325888661E+21</c:v>
                </c:pt>
                <c:pt idx="52">
                  <c:v>1.9579524938009687E+21</c:v>
                </c:pt>
                <c:pt idx="53">
                  <c:v>1.953313322375192E+21</c:v>
                </c:pt>
                <c:pt idx="54">
                  <c:v>1.9486684138118911E+21</c:v>
                </c:pt>
                <c:pt idx="55">
                  <c:v>1.9440181553061956E+21</c:v>
                </c:pt>
                <c:pt idx="56">
                  <c:v>1.9393629259038615E+21</c:v>
                </c:pt>
                <c:pt idx="57">
                  <c:v>1.9347030966543298E+21</c:v>
                </c:pt>
                <c:pt idx="58">
                  <c:v>1.9300390307610406E+21</c:v>
                </c:pt>
                <c:pt idx="59">
                  <c:v>1.9253710837290492E+21</c:v>
                </c:pt>
                <c:pt idx="60">
                  <c:v>1.9206996035099896E+21</c:v>
                </c:pt>
                <c:pt idx="61">
                  <c:v>1.9160249306444338E+21</c:v>
                </c:pt>
                <c:pt idx="62">
                  <c:v>1.9113473984016878E+21</c:v>
                </c:pt>
                <c:pt idx="63">
                  <c:v>1.9066673329170709E+21</c:v>
                </c:pt>
                <c:pt idx="64">
                  <c:v>1.9019850533267204E+21</c:v>
                </c:pt>
                <c:pt idx="65">
                  <c:v>1.8973008718999671E+21</c:v>
                </c:pt>
                <c:pt idx="66">
                  <c:v>1.8926150941693198E+21</c:v>
                </c:pt>
                <c:pt idx="67">
                  <c:v>1.8879280190580997E+21</c:v>
                </c:pt>
                <c:pt idx="68">
                  <c:v>1.8832399390057733E+21</c:v>
                </c:pt>
                <c:pt idx="69">
                  <c:v>1.8785511400910102E+21</c:v>
                </c:pt>
                <c:pt idx="70">
                  <c:v>1.8738619021525191E+21</c:v>
                </c:pt>
                <c:pt idx="71">
                  <c:v>1.8691724989076917E+21</c:v>
                </c:pt>
                <c:pt idx="72">
                  <c:v>1.8644831980690926E+21</c:v>
                </c:pt>
                <c:pt idx="73">
                  <c:v>1.8597942614588405E+21</c:v>
                </c:pt>
                <c:pt idx="74">
                  <c:v>1.8551059451209056E+21</c:v>
                </c:pt>
                <c:pt idx="75">
                  <c:v>1.8504184994313722E+21</c:v>
                </c:pt>
                <c:pt idx="76">
                  <c:v>1.8457321692066905E+21</c:v>
                </c:pt>
                <c:pt idx="77">
                  <c:v>1.8410471938099614E+21</c:v>
                </c:pt>
                <c:pt idx="78">
                  <c:v>1.8363638072552818E+21</c:v>
                </c:pt>
                <c:pt idx="79">
                  <c:v>1.8316822383101902E+21</c:v>
                </c:pt>
                <c:pt idx="80">
                  <c:v>1.8270027105962411E+21</c:v>
                </c:pt>
                <c:pt idx="81">
                  <c:v>1.8223254426877467E+21</c:v>
                </c:pt>
                <c:pt idx="82">
                  <c:v>1.8176506482087079E+21</c:v>
                </c:pt>
                <c:pt idx="83">
                  <c:v>1.8129785359279805E+21</c:v>
                </c:pt>
                <c:pt idx="84">
                  <c:v>1.8083093098526923E+21</c:v>
                </c:pt>
                <c:pt idx="85">
                  <c:v>1.8036431693199568E+21</c:v>
                </c:pt>
                <c:pt idx="86">
                  <c:v>1.7989803090868998E+21</c:v>
                </c:pt>
                <c:pt idx="87">
                  <c:v>1.7943209194190398E+21</c:v>
                </c:pt>
                <c:pt idx="88">
                  <c:v>1.7896651861770416E+21</c:v>
                </c:pt>
                <c:pt idx="89">
                  <c:v>1.7850132909018817E+21</c:v>
                </c:pt>
                <c:pt idx="90">
                  <c:v>1.780365410898444E+21</c:v>
                </c:pt>
                <c:pt idx="91">
                  <c:v>1.7757217193175802E+21</c:v>
                </c:pt>
                <c:pt idx="92">
                  <c:v>1.7710823852366595E+21</c:v>
                </c:pt>
                <c:pt idx="93">
                  <c:v>1.7664475737386325E+21</c:v>
                </c:pt>
                <c:pt idx="94">
                  <c:v>1.7618174459896424E+21</c:v>
                </c:pt>
                <c:pt idx="95">
                  <c:v>1.7571921593151974E+21</c:v>
                </c:pt>
                <c:pt idx="96">
                  <c:v>1.7525718672749463E+21</c:v>
                </c:pt>
                <c:pt idx="97">
                  <c:v>1.7479567197360617E+21</c:v>
                </c:pt>
                <c:pt idx="98">
                  <c:v>1.7433468629452768E+21</c:v>
                </c:pt>
                <c:pt idx="99">
                  <c:v>1.7387424395995833E+21</c:v>
                </c:pt>
                <c:pt idx="100">
                  <c:v>1.7341435889156235E+21</c:v>
                </c:pt>
                <c:pt idx="101">
                  <c:v>1.7295504466977937E+21</c:v>
                </c:pt>
                <c:pt idx="102">
                  <c:v>1.7249631454050892E+21</c:v>
                </c:pt>
                <c:pt idx="103">
                  <c:v>1.7203818142167057E+21</c:v>
                </c:pt>
                <c:pt idx="104">
                  <c:v>1.7158065790964256E+21</c:v>
                </c:pt>
                <c:pt idx="105">
                  <c:v>1.7112375628558049E+21</c:v>
                </c:pt>
                <c:pt idx="106">
                  <c:v>1.706674885216188E+21</c:v>
                </c:pt>
                <c:pt idx="107">
                  <c:v>1.7021186628695679E+21</c:v>
                </c:pt>
                <c:pt idx="108">
                  <c:v>1.6975690095383137E+21</c:v>
                </c:pt>
                <c:pt idx="109">
                  <c:v>1.6930260360337841E+21</c:v>
                </c:pt>
                <c:pt idx="110">
                  <c:v>1.6884898503138489E+21</c:v>
                </c:pt>
                <c:pt idx="111">
                  <c:v>1.6839605575393395E+21</c:v>
                </c:pt>
                <c:pt idx="112">
                  <c:v>1.6794382601294402E+21</c:v>
                </c:pt>
                <c:pt idx="113">
                  <c:v>1.6749230578160511E+21</c:v>
                </c:pt>
                <c:pt idx="114">
                  <c:v>1.6704150476971282E+21</c:v>
                </c:pt>
                <c:pt idx="115">
                  <c:v>1.665914324289032E+21</c:v>
                </c:pt>
                <c:pt idx="116">
                  <c:v>1.6614209795778903E+21</c:v>
                </c:pt>
                <c:pt idx="117">
                  <c:v>1.6569351030700025E+21</c:v>
                </c:pt>
                <c:pt idx="118">
                  <c:v>1.6524567818412978E+21</c:v>
                </c:pt>
                <c:pt idx="119">
                  <c:v>1.6479861005858644E+21</c:v>
                </c:pt>
                <c:pt idx="120">
                  <c:v>1.6435231416635695E+21</c:v>
                </c:pt>
                <c:pt idx="121">
                  <c:v>1.6390679851467837E+21</c:v>
                </c:pt>
                <c:pt idx="122">
                  <c:v>1.6346207088662269E+21</c:v>
                </c:pt>
                <c:pt idx="123">
                  <c:v>1.630181388455952E+21</c:v>
                </c:pt>
                <c:pt idx="124">
                  <c:v>1.6257500973974809E+21</c:v>
                </c:pt>
                <c:pt idx="125">
                  <c:v>1.6213269070631107E+21</c:v>
                </c:pt>
                <c:pt idx="126">
                  <c:v>1.6169118867584026E+21</c:v>
                </c:pt>
                <c:pt idx="127">
                  <c:v>1.6125051037638682E+21</c:v>
                </c:pt>
                <c:pt idx="128">
                  <c:v>1.6081066233758703E+21</c:v>
                </c:pt>
                <c:pt idx="129">
                  <c:v>1.6037165089467502E+21</c:v>
                </c:pt>
                <c:pt idx="130">
                  <c:v>1.5993348219241976E+21</c:v>
                </c:pt>
                <c:pt idx="131">
                  <c:v>1.5949616218898739E+21</c:v>
                </c:pt>
                <c:pt idx="132">
                  <c:v>1.5905969665973053E+21</c:v>
                </c:pt>
                <c:pt idx="133">
                  <c:v>1.5862409120090586E+21</c:v>
                </c:pt>
                <c:pt idx="134">
                  <c:v>1.5818935123332109E+21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courbes!$L$1</c:f>
              <c:strCache>
                <c:ptCount val="1"/>
                <c:pt idx="0">
                  <c:v>O5 - Pu239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courbes!$L$2:$L$122</c:f>
              <c:numCache>
                <c:formatCode>0.0000E+00</c:formatCode>
                <c:ptCount val="121"/>
                <c:pt idx="0">
                  <c:v>2.1782E+21</c:v>
                </c:pt>
                <c:pt idx="1">
                  <c:v>2.1746598337089951E+21</c:v>
                </c:pt>
                <c:pt idx="2">
                  <c:v>2.1710791878641288E+21</c:v>
                </c:pt>
                <c:pt idx="3">
                  <c:v>2.1674591149753316E+21</c:v>
                </c:pt>
                <c:pt idx="4">
                  <c:v>2.1638006474764777E+21</c:v>
                </c:pt>
                <c:pt idx="5">
                  <c:v>2.160104798116242E+21</c:v>
                </c:pt>
                <c:pt idx="6">
                  <c:v>2.1563725603489603E+21</c:v>
                </c:pt>
                <c:pt idx="7">
                  <c:v>2.1526049087254873E+21</c:v>
                </c:pt>
                <c:pt idx="8">
                  <c:v>2.1488027992840575E+21</c:v>
                </c:pt>
                <c:pt idx="9">
                  <c:v>2.1449671699411454E+21</c:v>
                </c:pt>
                <c:pt idx="10">
                  <c:v>2.1410989408823232E+21</c:v>
                </c:pt>
                <c:pt idx="11">
                  <c:v>2.1371990149531194E+21</c:v>
                </c:pt>
                <c:pt idx="12">
                  <c:v>2.1332682780498812E+21</c:v>
                </c:pt>
                <c:pt idx="13">
                  <c:v>2.129307580049966E+21</c:v>
                </c:pt>
                <c:pt idx="14">
                  <c:v>2.1253177848968239E+21</c:v>
                </c:pt>
                <c:pt idx="15">
                  <c:v>2.1212997270427148E+21</c:v>
                </c:pt>
                <c:pt idx="16">
                  <c:v>2.117254224883242E+21</c:v>
                </c:pt>
                <c:pt idx="17">
                  <c:v>2.113182081066967E+21</c:v>
                </c:pt>
                <c:pt idx="18">
                  <c:v>2.1090840828050284E+21</c:v>
                </c:pt>
                <c:pt idx="19">
                  <c:v>2.1049610021807587E+21</c:v>
                </c:pt>
                <c:pt idx="20">
                  <c:v>2.1008135964593003E+21</c:v>
                </c:pt>
                <c:pt idx="21">
                  <c:v>2.0966426083972235E+21</c:v>
                </c:pt>
                <c:pt idx="22">
                  <c:v>2.0924487665521428E+21</c:v>
                </c:pt>
                <c:pt idx="23">
                  <c:v>2.0882327855923336E+21</c:v>
                </c:pt>
                <c:pt idx="24">
                  <c:v>2.0839953666063511E+21</c:v>
                </c:pt>
                <c:pt idx="25">
                  <c:v>2.0797371823802873E+21</c:v>
                </c:pt>
                <c:pt idx="26">
                  <c:v>2.0754589160807643E+21</c:v>
                </c:pt>
                <c:pt idx="27">
                  <c:v>2.0711612276372283E+21</c:v>
                </c:pt>
                <c:pt idx="28">
                  <c:v>2.0668447641179343E+21</c:v>
                </c:pt>
                <c:pt idx="29">
                  <c:v>2.0625101599765268E+21</c:v>
                </c:pt>
                <c:pt idx="30">
                  <c:v>2.0581580372986212E+21</c:v>
                </c:pt>
                <c:pt idx="31">
                  <c:v>2.053789006048385E+21</c:v>
                </c:pt>
                <c:pt idx="32">
                  <c:v>2.049403664315118E+21</c:v>
                </c:pt>
                <c:pt idx="33">
                  <c:v>2.0450025985598313E+21</c:v>
                </c:pt>
                <c:pt idx="34">
                  <c:v>2.0405863838618322E+21</c:v>
                </c:pt>
                <c:pt idx="35">
                  <c:v>2.0361555841653004E+21</c:v>
                </c:pt>
                <c:pt idx="36">
                  <c:v>2.0317107525258715E+21</c:v>
                </c:pt>
                <c:pt idx="37">
                  <c:v>2.0272524196295853E+21</c:v>
                </c:pt>
                <c:pt idx="38">
                  <c:v>2.0227811239678734E+21</c:v>
                </c:pt>
                <c:pt idx="39">
                  <c:v>2.0182973856295879E+21</c:v>
                </c:pt>
                <c:pt idx="40">
                  <c:v>2.0138017143945513E+21</c:v>
                </c:pt>
                <c:pt idx="41">
                  <c:v>2.0092946099307639E+21</c:v>
                </c:pt>
                <c:pt idx="42">
                  <c:v>2.0047765619916118E+21</c:v>
                </c:pt>
                <c:pt idx="43">
                  <c:v>2.0002480506130745E+21</c:v>
                </c:pt>
                <c:pt idx="44">
                  <c:v>1.9957095463109334E+21</c:v>
                </c:pt>
                <c:pt idx="45">
                  <c:v>1.9911615102779783E+21</c:v>
                </c:pt>
                <c:pt idx="46">
                  <c:v>1.9866043945812149E+21</c:v>
                </c:pt>
                <c:pt idx="47">
                  <c:v>1.9820386423590751E+21</c:v>
                </c:pt>
                <c:pt idx="48">
                  <c:v>1.9774646880186233E+21</c:v>
                </c:pt>
                <c:pt idx="49">
                  <c:v>1.9728829482031815E+21</c:v>
                </c:pt>
                <c:pt idx="50">
                  <c:v>1.9682938455369599E+21</c:v>
                </c:pt>
                <c:pt idx="51">
                  <c:v>1.9636977880123058E+21</c:v>
                </c:pt>
                <c:pt idx="52">
                  <c:v>1.9590951753580806E+21</c:v>
                </c:pt>
                <c:pt idx="53">
                  <c:v>1.9544863991978779E+21</c:v>
                </c:pt>
                <c:pt idx="54">
                  <c:v>1.9498718432082445E+21</c:v>
                </c:pt>
                <c:pt idx="55">
                  <c:v>1.9452518832768984E+21</c:v>
                </c:pt>
                <c:pt idx="56">
                  <c:v>1.94062688766095E+21</c:v>
                </c:pt>
                <c:pt idx="57">
                  <c:v>1.9359972171451227E+21</c:v>
                </c:pt>
                <c:pt idx="58">
                  <c:v>1.9313632251999717E+21</c:v>
                </c:pt>
                <c:pt idx="59">
                  <c:v>1.9267252581401022E+21</c:v>
                </c:pt>
                <c:pt idx="60">
                  <c:v>1.9220836552823928E+21</c:v>
                </c:pt>
                <c:pt idx="61">
                  <c:v>1.9174387417865084E+21</c:v>
                </c:pt>
                <c:pt idx="62">
                  <c:v>1.9127908474787529E+21</c:v>
                </c:pt>
                <c:pt idx="63">
                  <c:v>1.9081402905174257E+21</c:v>
                </c:pt>
                <c:pt idx="64">
                  <c:v>1.9034873824409876E+21</c:v>
                </c:pt>
                <c:pt idx="65">
                  <c:v>1.8988324282952791E+21</c:v>
                </c:pt>
                <c:pt idx="66">
                  <c:v>1.8941757267607455E+21</c:v>
                </c:pt>
                <c:pt idx="67">
                  <c:v>1.8895175702796535E+21</c:v>
                </c:pt>
                <c:pt idx="68">
                  <c:v>1.8848582451833162E+21</c:v>
                </c:pt>
                <c:pt idx="69">
                  <c:v>1.8801980318193138E+21</c:v>
                </c:pt>
                <c:pt idx="70">
                  <c:v>1.8755372046787137E+21</c:v>
                </c:pt>
                <c:pt idx="71">
                  <c:v>1.8708760325232929E+21</c:v>
                </c:pt>
                <c:pt idx="72">
                  <c:v>1.8662147785127588E+21</c:v>
                </c:pt>
                <c:pt idx="73">
                  <c:v>1.8615536944946078E+21</c:v>
                </c:pt>
                <c:pt idx="74">
                  <c:v>1.8568930360184115E+21</c:v>
                </c:pt>
                <c:pt idx="75">
                  <c:v>1.8522330493107257E+21</c:v>
                </c:pt>
                <c:pt idx="76">
                  <c:v>1.8475739753011814E+21</c:v>
                </c:pt>
                <c:pt idx="77">
                  <c:v>1.8429160497249182E+21</c:v>
                </c:pt>
                <c:pt idx="78">
                  <c:v>1.8382595032250277E+21</c:v>
                </c:pt>
                <c:pt idx="79">
                  <c:v>1.8336045614549875E+21</c:v>
                </c:pt>
                <c:pt idx="80">
                  <c:v>1.828951445181102E+21</c:v>
                </c:pt>
                <c:pt idx="81">
                  <c:v>1.8243003703849407E+21</c:v>
                </c:pt>
                <c:pt idx="82">
                  <c:v>1.8196515483657754E+21</c:v>
                </c:pt>
                <c:pt idx="83">
                  <c:v>1.815005185843017E+21</c:v>
                </c:pt>
                <c:pt idx="84">
                  <c:v>1.8103614850586591E+21</c:v>
                </c:pt>
                <c:pt idx="85">
                  <c:v>1.8057206392006391E+21</c:v>
                </c:pt>
                <c:pt idx="86">
                  <c:v>1.8010828444367357E+21</c:v>
                </c:pt>
                <c:pt idx="87">
                  <c:v>1.7964482894770356E+21</c:v>
                </c:pt>
                <c:pt idx="88">
                  <c:v>1.7918171588004356E+21</c:v>
                </c:pt>
                <c:pt idx="89">
                  <c:v>1.7871896327371817E+21</c:v>
                </c:pt>
                <c:pt idx="90">
                  <c:v>1.7825658875514066E+21</c:v>
                </c:pt>
                <c:pt idx="91">
                  <c:v>1.7779460955236705E+21</c:v>
                </c:pt>
                <c:pt idx="92">
                  <c:v>1.773330425033498E+21</c:v>
                </c:pt>
                <c:pt idx="93">
                  <c:v>1.7687190406419175E+21</c:v>
                </c:pt>
                <c:pt idx="94">
                  <c:v>1.7641121031739998E+21</c:v>
                </c:pt>
                <c:pt idx="95">
                  <c:v>1.7595097698013972E+21</c:v>
                </c:pt>
                <c:pt idx="96">
                  <c:v>1.7549121941248811E+21</c:v>
                </c:pt>
                <c:pt idx="97">
                  <c:v>1.7503195224924543E+21</c:v>
                </c:pt>
                <c:pt idx="98">
                  <c:v>1.7457319036800826E+21</c:v>
                </c:pt>
                <c:pt idx="99">
                  <c:v>1.7411494804960929E+21</c:v>
                </c:pt>
                <c:pt idx="100">
                  <c:v>1.7365723923764079E+21</c:v>
                </c:pt>
                <c:pt idx="101">
                  <c:v>1.7320007754510544E+21</c:v>
                </c:pt>
                <c:pt idx="102">
                  <c:v>1.7274347626106729E+21</c:v>
                </c:pt>
                <c:pt idx="103">
                  <c:v>1.7228744835730251E+21</c:v>
                </c:pt>
                <c:pt idx="104">
                  <c:v>1.718320064949505E+21</c:v>
                </c:pt>
                <c:pt idx="105">
                  <c:v>1.7137716303116449E+21</c:v>
                </c:pt>
                <c:pt idx="106">
                  <c:v>1.7092293002576281E+21</c:v>
                </c:pt>
                <c:pt idx="107">
                  <c:v>1.7046931924787939E+21</c:v>
                </c:pt>
                <c:pt idx="108">
                  <c:v>1.7001634218261514E+21</c:v>
                </c:pt>
                <c:pt idx="109">
                  <c:v>1.6956400973403041E+21</c:v>
                </c:pt>
                <c:pt idx="110">
                  <c:v>1.691123330059823E+21</c:v>
                </c:pt>
                <c:pt idx="111">
                  <c:v>1.6866132262497058E+21</c:v>
                </c:pt>
                <c:pt idx="112">
                  <c:v>1.6821098894943686E+21</c:v>
                </c:pt>
                <c:pt idx="113">
                  <c:v>1.677613420751212E+21</c:v>
                </c:pt>
                <c:pt idx="114">
                  <c:v>1.6731239184041892E+21</c:v>
                </c:pt>
                <c:pt idx="115">
                  <c:v>1.6686414783173739E+21</c:v>
                </c:pt>
                <c:pt idx="116">
                  <c:v>1.6641661938885282E+21</c:v>
                </c:pt>
                <c:pt idx="117">
                  <c:v>1.6596981561026696E+21</c:v>
                </c:pt>
                <c:pt idx="118">
                  <c:v>1.6552374535856403E+21</c:v>
                </c:pt>
                <c:pt idx="119">
                  <c:v>1.6507841726576725E+21</c:v>
                </c:pt>
                <c:pt idx="120">
                  <c:v>1.646338397386959E+21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courbes!$AG$1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courbes!$AG$2:$AG$51</c:f>
              <c:numCache>
                <c:formatCode>0.0000E+00</c:formatCode>
                <c:ptCount val="50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courbes!$AS$1</c:f>
              <c:strCache>
                <c:ptCount val="1"/>
                <c:pt idx="0">
                  <c:v>VESTA - Pu239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courbes!$AS$2:$AS$8</c:f>
              <c:numCache>
                <c:formatCode>0.0000E+00</c:formatCode>
                <c:ptCount val="7"/>
                <c:pt idx="0">
                  <c:v>2.1782E+21</c:v>
                </c:pt>
                <c:pt idx="1">
                  <c:v>2.1686844320889595E+21</c:v>
                </c:pt>
                <c:pt idx="2">
                  <c:v>2.1574387609213665E+21</c:v>
                </c:pt>
                <c:pt idx="3">
                  <c:v>2.1323522637013506E+21</c:v>
                </c:pt>
                <c:pt idx="4">
                  <c:v>2.0882346306592535E+21</c:v>
                </c:pt>
                <c:pt idx="5">
                  <c:v>1.9446360603653696E+21</c:v>
                </c:pt>
                <c:pt idx="6">
                  <c:v>1.705016759332804E+21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courbes!$C$1</c:f>
              <c:strCache>
                <c:ptCount val="1"/>
                <c:pt idx="0">
                  <c:v>RK1 - Pu239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courbes!$C$2:$C$136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26688"/>
        <c:axId val="85028224"/>
      </c:scatterChart>
      <c:valAx>
        <c:axId val="8502668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85028224"/>
        <c:crosses val="autoZero"/>
        <c:crossBetween val="midCat"/>
      </c:valAx>
      <c:valAx>
        <c:axId val="85028224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850266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courbes!$Y$1</c:f>
              <c:strCache>
                <c:ptCount val="1"/>
                <c:pt idx="0">
                  <c:v>Exact Simpl. - Pu240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courbes!$Y$2:$Y$136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7.2682807598096056E+20</c:v>
                </c:pt>
                <c:pt idx="2">
                  <c:v>7.3015472627317447E+20</c:v>
                </c:pt>
                <c:pt idx="3">
                  <c:v>7.3344016180784988E+20</c:v>
                </c:pt>
                <c:pt idx="4">
                  <c:v>7.3668453898356916E+20</c:v>
                </c:pt>
                <c:pt idx="5">
                  <c:v>7.3988801745542329E+20</c:v>
                </c:pt>
                <c:pt idx="6">
                  <c:v>7.4305076002275328E+20</c:v>
                </c:pt>
                <c:pt idx="7">
                  <c:v>7.4617293251933753E+20</c:v>
                </c:pt>
                <c:pt idx="8">
                  <c:v>7.4925470370597044E+20</c:v>
                </c:pt>
                <c:pt idx="9">
                  <c:v>7.52296245165392E+20</c:v>
                </c:pt>
                <c:pt idx="10">
                  <c:v>7.5529773119952742E+20</c:v>
                </c:pt>
                <c:pt idx="11">
                  <c:v>7.5825933872898428E+20</c:v>
                </c:pt>
                <c:pt idx="12">
                  <c:v>7.6118124719477306E+20</c:v>
                </c:pt>
                <c:pt idx="13">
                  <c:v>7.6406363846220487E+20</c:v>
                </c:pt>
                <c:pt idx="14">
                  <c:v>7.6690669672692554E+20</c:v>
                </c:pt>
                <c:pt idx="15">
                  <c:v>7.6971060842304478E+20</c:v>
                </c:pt>
                <c:pt idx="16">
                  <c:v>7.7247556213332273E+20</c:v>
                </c:pt>
                <c:pt idx="17">
                  <c:v>7.7520174850137365E+20</c:v>
                </c:pt>
                <c:pt idx="18">
                  <c:v>7.7788936014584676E+20</c:v>
                </c:pt>
                <c:pt idx="19">
                  <c:v>7.8053859157654805E+20</c:v>
                </c:pt>
                <c:pt idx="20">
                  <c:v>7.8314963911246597E+20</c:v>
                </c:pt>
                <c:pt idx="21">
                  <c:v>7.8572270080166343E+20</c:v>
                </c:pt>
                <c:pt idx="22">
                  <c:v>7.8825797634300078E+20</c:v>
                </c:pt>
                <c:pt idx="23">
                  <c:v>7.9075566700965488E+20</c:v>
                </c:pt>
                <c:pt idx="24">
                  <c:v>7.9321597557439883E+20</c:v>
                </c:pt>
                <c:pt idx="25">
                  <c:v>7.9563910623660763E+20</c:v>
                </c:pt>
                <c:pt idx="26">
                  <c:v>7.9802526455096082E+20</c:v>
                </c:pt>
                <c:pt idx="27">
                  <c:v>8.0037465735780106E+20</c:v>
                </c:pt>
                <c:pt idx="28">
                  <c:v>8.0268749271512488E+20</c:v>
                </c:pt>
                <c:pt idx="29">
                  <c:v>8.0496397983216907E+20</c:v>
                </c:pt>
                <c:pt idx="30">
                  <c:v>8.0720432900456173E+20</c:v>
                </c:pt>
                <c:pt idx="31">
                  <c:v>8.0940875155100874E+20</c:v>
                </c:pt>
                <c:pt idx="32">
                  <c:v>8.1157745975148741E+20</c:v>
                </c:pt>
                <c:pt idx="33">
                  <c:v>8.1371066678691155E+20</c:v>
                </c:pt>
                <c:pt idx="34">
                  <c:v>8.1580858668024778E+20</c:v>
                </c:pt>
                <c:pt idx="35">
                  <c:v>8.1787143423904422E+20</c:v>
                </c:pt>
                <c:pt idx="36">
                  <c:v>8.1989942499935571E+20</c:v>
                </c:pt>
                <c:pt idx="37">
                  <c:v>8.218927751710258E+20</c:v>
                </c:pt>
                <c:pt idx="38">
                  <c:v>8.2385170158430899E+20</c:v>
                </c:pt>
                <c:pt idx="39">
                  <c:v>8.2577642163779863E+20</c:v>
                </c:pt>
                <c:pt idx="40">
                  <c:v>8.2766715324764075E+20</c:v>
                </c:pt>
                <c:pt idx="41">
                  <c:v>8.2952411479800414E+20</c:v>
                </c:pt>
                <c:pt idx="42">
                  <c:v>8.3134752509278251E+20</c:v>
                </c:pt>
                <c:pt idx="43">
                  <c:v>8.3313760330850697E+20</c:v>
                </c:pt>
                <c:pt idx="44">
                  <c:v>8.3489456894843945E+20</c:v>
                </c:pt>
                <c:pt idx="45">
                  <c:v>8.3661864179782818E+20</c:v>
                </c:pt>
                <c:pt idx="46">
                  <c:v>8.3831004188029839E+20</c:v>
                </c:pt>
                <c:pt idx="47">
                  <c:v>8.3996898941535951E+20</c:v>
                </c:pt>
                <c:pt idx="48">
                  <c:v>8.4159570477699983E+20</c:v>
                </c:pt>
                <c:pt idx="49">
                  <c:v>8.4319040845335482E+20</c:v>
                </c:pt>
                <c:pt idx="50">
                  <c:v>8.447533210074191E+20</c:v>
                </c:pt>
                <c:pt idx="51">
                  <c:v>8.4628466303878798E+20</c:v>
                </c:pt>
                <c:pt idx="52">
                  <c:v>8.4778465514640245E+20</c:v>
                </c:pt>
                <c:pt idx="53">
                  <c:v>8.4925351789228196E+20</c:v>
                </c:pt>
                <c:pt idx="54">
                  <c:v>8.506914717662169E+20</c:v>
                </c:pt>
                <c:pt idx="55">
                  <c:v>8.5209873715141332E+20</c:v>
                </c:pt>
                <c:pt idx="56">
                  <c:v>8.5347553429105659E+20</c:v>
                </c:pt>
                <c:pt idx="57">
                  <c:v>8.5482208325578811E+20</c:v>
                </c:pt>
                <c:pt idx="58">
                  <c:v>8.5613860391206401E+20</c:v>
                </c:pt>
                <c:pt idx="59">
                  <c:v>8.5742531589138874E+20</c:v>
                </c:pt>
                <c:pt idx="60">
                  <c:v>8.5868243856039752E+20</c:v>
                </c:pt>
                <c:pt idx="61">
                  <c:v>8.5991019099177379E+20</c:v>
                </c:pt>
                <c:pt idx="62">
                  <c:v>8.6110879193598381E+20</c:v>
                </c:pt>
                <c:pt idx="63">
                  <c:v>8.6227845979380947E+20</c:v>
                </c:pt>
                <c:pt idx="64">
                  <c:v>8.6341941258966702E+20</c:v>
                </c:pt>
                <c:pt idx="65">
                  <c:v>8.6453186794568889E+20</c:v>
                </c:pt>
                <c:pt idx="66">
                  <c:v>8.6561604305655955E+20</c:v>
                </c:pt>
                <c:pt idx="67">
                  <c:v>8.666721546650836E+20</c:v>
                </c:pt>
                <c:pt idx="68">
                  <c:v>8.6770041903847453E+20</c:v>
                </c:pt>
                <c:pt idx="69">
                  <c:v>8.6870105194534771E+20</c:v>
                </c:pt>
                <c:pt idx="70">
                  <c:v>8.6967426863340139E+20</c:v>
                </c:pt>
                <c:pt idx="71">
                  <c:v>8.7062028380777467E+20</c:v>
                </c:pt>
                <c:pt idx="72">
                  <c:v>8.7153931161006152E+20</c:v>
                </c:pt>
                <c:pt idx="73">
                  <c:v>8.7243156559797761E+20</c:v>
                </c:pt>
                <c:pt idx="74">
                  <c:v>8.7329725872565112E+20</c:v>
                </c:pt>
                <c:pt idx="75">
                  <c:v>8.7413660332453986E+20</c:v>
                </c:pt>
                <c:pt idx="76">
                  <c:v>8.7494981108494919E+20</c:v>
                </c:pt>
                <c:pt idx="77">
                  <c:v>8.7573709303814475E+20</c:v>
                </c:pt>
                <c:pt idx="78">
                  <c:v>8.7649865953904309E+20</c:v>
                </c:pt>
                <c:pt idx="79">
                  <c:v>8.772347202494717E+20</c:v>
                </c:pt>
                <c:pt idx="80">
                  <c:v>8.7794548412198014E+20</c:v>
                </c:pt>
                <c:pt idx="81">
                  <c:v>8.7863115938419809E+20</c:v>
                </c:pt>
                <c:pt idx="82">
                  <c:v>8.7929195352372072E+20</c:v>
                </c:pt>
                <c:pt idx="83">
                  <c:v>8.7992807327351518E+20</c:v>
                </c:pt>
                <c:pt idx="84">
                  <c:v>8.8053972459783455E+20</c:v>
                </c:pt>
                <c:pt idx="85">
                  <c:v>8.8112711267862761E+20</c:v>
                </c:pt>
                <c:pt idx="86">
                  <c:v>8.8169044190243363E+20</c:v>
                </c:pt>
                <c:pt idx="87">
                  <c:v>8.8222991584775569E+20</c:v>
                </c:pt>
                <c:pt idx="88">
                  <c:v>8.8274573727289403E+20</c:v>
                </c:pt>
                <c:pt idx="89">
                  <c:v>8.8323810810423306E+20</c:v>
                </c:pt>
                <c:pt idx="90">
                  <c:v>8.8370722942497744E+20</c:v>
                </c:pt>
                <c:pt idx="91">
                  <c:v>8.8415330146431599E+20</c:v>
                </c:pt>
                <c:pt idx="92">
                  <c:v>8.8457652358701371E+20</c:v>
                </c:pt>
                <c:pt idx="93">
                  <c:v>8.8497709428341434E+20</c:v>
                </c:pt>
                <c:pt idx="94">
                  <c:v>8.8535521115985281E+20</c:v>
                </c:pt>
                <c:pt idx="95">
                  <c:v>8.8571107092945961E+20</c:v>
                </c:pt>
                <c:pt idx="96">
                  <c:v>8.8604486940335355E+20</c:v>
                </c:pt>
                <c:pt idx="97">
                  <c:v>8.8635680148221329E+20</c:v>
                </c:pt>
                <c:pt idx="98">
                  <c:v>8.8664706114821476E+20</c:v>
                </c:pt>
                <c:pt idx="99">
                  <c:v>8.8691584145733491E+20</c:v>
                </c:pt>
                <c:pt idx="100">
                  <c:v>8.8716333453200314E+20</c:v>
                </c:pt>
                <c:pt idx="101">
                  <c:v>8.8738973155409841E+20</c:v>
                </c:pt>
                <c:pt idx="102">
                  <c:v>8.8759522275828328E+20</c:v>
                </c:pt>
                <c:pt idx="103">
                  <c:v>8.8777999742566649E+20</c:v>
                </c:pt>
                <c:pt idx="104">
                  <c:v>8.8794424387778458E+20</c:v>
                </c:pt>
                <c:pt idx="105">
                  <c:v>8.8808814947089803E+20</c:v>
                </c:pt>
                <c:pt idx="106">
                  <c:v>8.8821190059059302E+20</c:v>
                </c:pt>
                <c:pt idx="107">
                  <c:v>8.883156826466804E+20</c:v>
                </c:pt>
                <c:pt idx="108">
                  <c:v>8.8839968006838918E+20</c:v>
                </c:pt>
                <c:pt idx="109">
                  <c:v>8.8846407629983895E+20</c:v>
                </c:pt>
                <c:pt idx="110">
                  <c:v>8.8850905379579599E+20</c:v>
                </c:pt>
                <c:pt idx="111">
                  <c:v>8.8853479401769547E+20</c:v>
                </c:pt>
                <c:pt idx="112">
                  <c:v>8.8854147742993102E+20</c:v>
                </c:pt>
                <c:pt idx="113">
                  <c:v>8.8852928349639882E+20</c:v>
                </c:pt>
                <c:pt idx="114">
                  <c:v>8.8849839067729848E+20</c:v>
                </c:pt>
                <c:pt idx="115">
                  <c:v>8.8844897642617281E+20</c:v>
                </c:pt>
                <c:pt idx="116">
                  <c:v>8.8838121718719159E+20</c:v>
                </c:pt>
                <c:pt idx="117">
                  <c:v>8.8829528839266815E+20</c:v>
                </c:pt>
                <c:pt idx="118">
                  <c:v>8.8819136446080116E+20</c:v>
                </c:pt>
                <c:pt idx="119">
                  <c:v>8.880696187936401E+20</c:v>
                </c:pt>
                <c:pt idx="120">
                  <c:v>8.8793022377526795E+20</c:v>
                </c:pt>
                <c:pt idx="121">
                  <c:v>8.8777335077019084E+20</c:v>
                </c:pt>
                <c:pt idx="122">
                  <c:v>8.8759917012193955E+20</c:v>
                </c:pt>
                <c:pt idx="123">
                  <c:v>8.8740785115186358E+20</c:v>
                </c:pt>
                <c:pt idx="124">
                  <c:v>8.8719956215812692E+20</c:v>
                </c:pt>
                <c:pt idx="125">
                  <c:v>8.8697447041489017E+20</c:v>
                </c:pt>
                <c:pt idx="126">
                  <c:v>8.8673274217167874E+20</c:v>
                </c:pt>
                <c:pt idx="127">
                  <c:v>8.864745426529321E+20</c:v>
                </c:pt>
                <c:pt idx="128">
                  <c:v>8.8620003605772698E+20</c:v>
                </c:pt>
                <c:pt idx="129">
                  <c:v>8.8590938555967367E+20</c:v>
                </c:pt>
                <c:pt idx="130">
                  <c:v>8.8560275330697554E+20</c:v>
                </c:pt>
                <c:pt idx="131">
                  <c:v>8.8528030042265485E+20</c:v>
                </c:pt>
                <c:pt idx="132">
                  <c:v>8.8494218700493252E+20</c:v>
                </c:pt>
                <c:pt idx="133">
                  <c:v>8.8458857212776271E+20</c:v>
                </c:pt>
                <c:pt idx="134">
                  <c:v>8.8421961384151613E+20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courbes!$M$1</c:f>
              <c:strCache>
                <c:ptCount val="1"/>
                <c:pt idx="0">
                  <c:v>O5 - N(Pu240)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courbes!$M$2:$M$122</c:f>
              <c:numCache>
                <c:formatCode>0.0000E+00</c:formatCode>
                <c:ptCount val="121"/>
                <c:pt idx="0">
                  <c:v>7.2346005790387942E+20</c:v>
                </c:pt>
                <c:pt idx="1">
                  <c:v>7.2682807612617982E+20</c:v>
                </c:pt>
                <c:pt idx="2">
                  <c:v>7.3015473124125757E+20</c:v>
                </c:pt>
                <c:pt idx="3">
                  <c:v>7.3344018263798107E+20</c:v>
                </c:pt>
                <c:pt idx="4">
                  <c:v>7.3668459278687352E+20</c:v>
                </c:pt>
                <c:pt idx="5">
                  <c:v>7.3988812712671406E+20</c:v>
                </c:pt>
                <c:pt idx="6">
                  <c:v>7.4305095395113737E+20</c:v>
                </c:pt>
                <c:pt idx="7">
                  <c:v>7.4617324429523367E+20</c:v>
                </c:pt>
                <c:pt idx="8">
                  <c:v>7.492551718221493E+20</c:v>
                </c:pt>
                <c:pt idx="9">
                  <c:v>7.5229691270968653E+20</c:v>
                </c:pt>
                <c:pt idx="10">
                  <c:v>7.5529864553690431E+20</c:v>
                </c:pt>
                <c:pt idx="11">
                  <c:v>7.582605511707166E+20</c:v>
                </c:pt>
                <c:pt idx="12">
                  <c:v>7.6118281265249518E+20</c:v>
                </c:pt>
                <c:pt idx="13">
                  <c:v>7.640656214951896E+20</c:v>
                </c:pt>
                <c:pt idx="14">
                  <c:v>7.6690916120853873E+20</c:v>
                </c:pt>
                <c:pt idx="15">
                  <c:v>7.6971362164908543E+20</c:v>
                </c:pt>
                <c:pt idx="16">
                  <c:v>7.7247919461622691E+20</c:v>
                </c:pt>
                <c:pt idx="17">
                  <c:v>7.7520607376573871E+20</c:v>
                </c:pt>
                <c:pt idx="18">
                  <c:v>7.7789445452329412E+20</c:v>
                </c:pt>
                <c:pt idx="19">
                  <c:v>7.8054453399798966E+20</c:v>
                </c:pt>
                <c:pt idx="20">
                  <c:v>7.8315651089586507E+20</c:v>
                </c:pt>
                <c:pt idx="21">
                  <c:v>7.8573058543342636E+20</c:v>
                </c:pt>
                <c:pt idx="22">
                  <c:v>7.882669592511679E+20</c:v>
                </c:pt>
                <c:pt idx="23">
                  <c:v>7.9076583532709544E+20</c:v>
                </c:pt>
                <c:pt idx="24">
                  <c:v>7.9322741789024675E+20</c:v>
                </c:pt>
                <c:pt idx="25">
                  <c:v>7.9565191734551446E+20</c:v>
                </c:pt>
                <c:pt idx="26">
                  <c:v>7.9803953739769446E+20</c:v>
                </c:pt>
                <c:pt idx="27">
                  <c:v>8.0039048627031874E+20</c:v>
                </c:pt>
                <c:pt idx="28">
                  <c:v>8.0270497326566631E+20</c:v>
                </c:pt>
                <c:pt idx="29">
                  <c:v>8.0498320869934144E+20</c:v>
                </c:pt>
                <c:pt idx="30">
                  <c:v>8.0722540383485729E+20</c:v>
                </c:pt>
                <c:pt idx="31">
                  <c:v>8.0943177081821633E+20</c:v>
                </c:pt>
                <c:pt idx="32">
                  <c:v>8.1160252261248899E+20</c:v>
                </c:pt>
                <c:pt idx="33">
                  <c:v>8.1373787293239843E+20</c:v>
                </c:pt>
                <c:pt idx="34">
                  <c:v>8.1583803617889826E+20</c:v>
                </c:pt>
                <c:pt idx="35">
                  <c:v>8.179032273737557E+20</c:v>
                </c:pt>
                <c:pt idx="36">
                  <c:v>8.1993366209413133E+20</c:v>
                </c:pt>
                <c:pt idx="37">
                  <c:v>8.2192956032911986E+20</c:v>
                </c:pt>
                <c:pt idx="38">
                  <c:v>8.2389113640512612E+20</c:v>
                </c:pt>
                <c:pt idx="39">
                  <c:v>8.2581860776799909E+20</c:v>
                </c:pt>
                <c:pt idx="40">
                  <c:v>8.2771219229319365E+20</c:v>
                </c:pt>
                <c:pt idx="41">
                  <c:v>8.2957210823683159E+20</c:v>
                </c:pt>
                <c:pt idx="42">
                  <c:v>8.3139857418676575E+20</c:v>
                </c:pt>
                <c:pt idx="43">
                  <c:v>8.3319180901364086E+20</c:v>
                </c:pt>
                <c:pt idx="44">
                  <c:v>8.3495203182195717E+20</c:v>
                </c:pt>
                <c:pt idx="45">
                  <c:v>8.3667946190113263E+20</c:v>
                </c:pt>
                <c:pt idx="46">
                  <c:v>8.3837431867656477E+20</c:v>
                </c:pt>
                <c:pt idx="47">
                  <c:v>8.4003682166069304E+20</c:v>
                </c:pt>
                <c:pt idx="48">
                  <c:v>8.4166719040406251E+20</c:v>
                </c:pt>
                <c:pt idx="49">
                  <c:v>8.4326564751520236E+20</c:v>
                </c:pt>
                <c:pt idx="50">
                  <c:v>8.448324107795493E+20</c:v>
                </c:pt>
                <c:pt idx="51">
                  <c:v>8.463677000337971E+20</c:v>
                </c:pt>
                <c:pt idx="52">
                  <c:v>8.4787173506328114E+20</c:v>
                </c:pt>
                <c:pt idx="53">
                  <c:v>8.4934473556592833E+20</c:v>
                </c:pt>
                <c:pt idx="54">
                  <c:v>8.5078692111621004E+20</c:v>
                </c:pt>
                <c:pt idx="55">
                  <c:v>8.5219851112909216E+20</c:v>
                </c:pt>
                <c:pt idx="56">
                  <c:v>8.5357972482398736E+20</c:v>
                </c:pt>
                <c:pt idx="57">
                  <c:v>8.5493078118870483E+20</c:v>
                </c:pt>
                <c:pt idx="58">
                  <c:v>8.5625189894340438E+20</c:v>
                </c:pt>
                <c:pt idx="59">
                  <c:v>8.5754329650454449E+20</c:v>
                </c:pt>
                <c:pt idx="60">
                  <c:v>8.5880519194883575E+20</c:v>
                </c:pt>
                <c:pt idx="61">
                  <c:v>8.600378053747325E+20</c:v>
                </c:pt>
                <c:pt idx="62">
                  <c:v>8.6124135274700394E+20</c:v>
                </c:pt>
                <c:pt idx="63">
                  <c:v>8.6241605127025407E+20</c:v>
                </c:pt>
                <c:pt idx="64">
                  <c:v>8.6356211774811144E+20</c:v>
                </c:pt>
                <c:pt idx="65">
                  <c:v>8.6467976855723875E+20</c:v>
                </c:pt>
                <c:pt idx="66">
                  <c:v>8.6576921962134084E+20</c:v>
                </c:pt>
                <c:pt idx="67">
                  <c:v>8.66830686385175E+20</c:v>
                </c:pt>
                <c:pt idx="68">
                  <c:v>8.6786438378855858E+20</c:v>
                </c:pt>
                <c:pt idx="69">
                  <c:v>8.6887052624037911E+20</c:v>
                </c:pt>
                <c:pt idx="70">
                  <c:v>8.6984932759260208E+20</c:v>
                </c:pt>
                <c:pt idx="71">
                  <c:v>8.7080100111428026E+20</c:v>
                </c:pt>
                <c:pt idx="72">
                  <c:v>8.7172575946556414E+20</c:v>
                </c:pt>
                <c:pt idx="73">
                  <c:v>8.726238165392809E+20</c:v>
                </c:pt>
                <c:pt idx="74">
                  <c:v>8.7349538266765958E+20</c:v>
                </c:pt>
                <c:pt idx="75">
                  <c:v>8.7434066881102637E+20</c:v>
                </c:pt>
                <c:pt idx="76">
                  <c:v>8.7515988528138342E+20</c:v>
                </c:pt>
                <c:pt idx="77">
                  <c:v>8.7595324172423804E+20</c:v>
                </c:pt>
                <c:pt idx="78">
                  <c:v>8.7672094710043155E+20</c:v>
                </c:pt>
                <c:pt idx="79">
                  <c:v>8.7746320966796863E+20</c:v>
                </c:pt>
                <c:pt idx="80">
                  <c:v>8.7818023696384616E+20</c:v>
                </c:pt>
                <c:pt idx="81">
                  <c:v>8.7887223578588191E+20</c:v>
                </c:pt>
                <c:pt idx="82">
                  <c:v>8.7953941217454431E+20</c:v>
                </c:pt>
                <c:pt idx="83">
                  <c:v>8.8018197139478059E+20</c:v>
                </c:pt>
                <c:pt idx="84">
                  <c:v>8.8080011791784647E+20</c:v>
                </c:pt>
                <c:pt idx="85">
                  <c:v>8.8139405685140305E+20</c:v>
                </c:pt>
                <c:pt idx="86">
                  <c:v>8.8196399022376957E+20</c:v>
                </c:pt>
                <c:pt idx="87">
                  <c:v>8.8251012023514694E+20</c:v>
                </c:pt>
                <c:pt idx="88">
                  <c:v>8.8303264826932134E+20</c:v>
                </c:pt>
                <c:pt idx="89">
                  <c:v>8.8353177488154244E+20</c:v>
                </c:pt>
                <c:pt idx="90">
                  <c:v>8.840076997864004E+20</c:v>
                </c:pt>
                <c:pt idx="91">
                  <c:v>8.8446062184570461E+20</c:v>
                </c:pt>
                <c:pt idx="92">
                  <c:v>8.8489073905636042E+20</c:v>
                </c:pt>
                <c:pt idx="93">
                  <c:v>8.8529824853824753E+20</c:v>
                </c:pt>
                <c:pt idx="94">
                  <c:v>8.8568334652209837E+20</c:v>
                </c:pt>
                <c:pt idx="95">
                  <c:v>8.8604622833737413E+20</c:v>
                </c:pt>
                <c:pt idx="96">
                  <c:v>8.8638708840014453E+20</c:v>
                </c:pt>
                <c:pt idx="97">
                  <c:v>8.8670612131716216E+20</c:v>
                </c:pt>
                <c:pt idx="98">
                  <c:v>8.8700351902331686E+20</c:v>
                </c:pt>
                <c:pt idx="99">
                  <c:v>8.8727947329029656E+20</c:v>
                </c:pt>
                <c:pt idx="100">
                  <c:v>8.8753417496631955E+20</c:v>
                </c:pt>
                <c:pt idx="101">
                  <c:v>8.8776781396865883E+20</c:v>
                </c:pt>
                <c:pt idx="102">
                  <c:v>8.8798057927616496E+20</c:v>
                </c:pt>
                <c:pt idx="103">
                  <c:v>8.881726589217909E+20</c:v>
                </c:pt>
                <c:pt idx="104">
                  <c:v>8.8834423998511487E+20</c:v>
                </c:pt>
                <c:pt idx="105">
                  <c:v>8.8849550858486442E+20</c:v>
                </c:pt>
                <c:pt idx="106">
                  <c:v>8.8862664987144002E+20</c:v>
                </c:pt>
                <c:pt idx="107">
                  <c:v>8.8873784801943958E+20</c:v>
                </c:pt>
                <c:pt idx="108">
                  <c:v>8.8882928622018088E+20</c:v>
                </c:pt>
                <c:pt idx="109">
                  <c:v>8.8890114752747681E+20</c:v>
                </c:pt>
                <c:pt idx="110">
                  <c:v>8.8895361267056181E+20</c:v>
                </c:pt>
                <c:pt idx="111">
                  <c:v>8.8898686197459386E+20</c:v>
                </c:pt>
                <c:pt idx="112">
                  <c:v>8.8900107478081575E+20</c:v>
                </c:pt>
                <c:pt idx="113">
                  <c:v>8.8899642944261469E+20</c:v>
                </c:pt>
                <c:pt idx="114">
                  <c:v>8.8897310332158175E+20</c:v>
                </c:pt>
                <c:pt idx="115">
                  <c:v>8.8893127278357106E+20</c:v>
                </c:pt>
                <c:pt idx="116">
                  <c:v>8.8887111319475978E+20</c:v>
                </c:pt>
                <c:pt idx="117">
                  <c:v>8.8879279891770691E+20</c:v>
                </c:pt>
                <c:pt idx="118">
                  <c:v>8.8869650330741323E+20</c:v>
                </c:pt>
                <c:pt idx="119">
                  <c:v>8.8858239870737999E+20</c:v>
                </c:pt>
                <c:pt idx="120">
                  <c:v>8.8845065644566983E+20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courbes!$AH$1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courbes!$AH$2:$AH$51</c:f>
              <c:numCache>
                <c:formatCode>0.0000E+00</c:formatCode>
                <c:ptCount val="50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courbes!$AT$1</c:f>
              <c:strCache>
                <c:ptCount val="1"/>
                <c:pt idx="0">
                  <c:v>VESTA - Pu240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courbes!$AT$2:$AT$8</c:f>
              <c:numCache>
                <c:formatCode>0.0000E+00</c:formatCode>
                <c:ptCount val="7"/>
                <c:pt idx="0">
                  <c:v>7.2346005790387942E+20</c:v>
                </c:pt>
                <c:pt idx="1">
                  <c:v>7.3064015892098122E+20</c:v>
                </c:pt>
                <c:pt idx="2">
                  <c:v>7.4439481026699539E+20</c:v>
                </c:pt>
                <c:pt idx="3">
                  <c:v>7.7207712744136363E+20</c:v>
                </c:pt>
                <c:pt idx="4">
                  <c:v>8.1351409596174592E+20</c:v>
                </c:pt>
                <c:pt idx="5">
                  <c:v>9.0573081504886017E+20</c:v>
                </c:pt>
                <c:pt idx="6">
                  <c:v>9.7320646316138273E+20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courbes!$D$1</c:f>
              <c:strCache>
                <c:ptCount val="1"/>
                <c:pt idx="0">
                  <c:v>RK1 - Pu240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courbes!$D$2:$D$136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77632"/>
        <c:axId val="85483520"/>
      </c:scatterChart>
      <c:valAx>
        <c:axId val="85477632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85483520"/>
        <c:crosses val="autoZero"/>
        <c:crossBetween val="midCat"/>
      </c:valAx>
      <c:valAx>
        <c:axId val="85483520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854776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courbes!$Z$1</c:f>
              <c:strCache>
                <c:ptCount val="1"/>
                <c:pt idx="0">
                  <c:v>Exact Simpl. - Pu241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courbes!$Z$2:$Z$136</c:f>
              <c:numCache>
                <c:formatCode>0.0000E+00</c:formatCode>
                <c:ptCount val="135"/>
                <c:pt idx="0">
                  <c:v>1.5072084539664164E+20</c:v>
                </c:pt>
                <c:pt idx="1">
                  <c:v>1.4918954580386575E+20</c:v>
                </c:pt>
                <c:pt idx="2">
                  <c:v>1.4771760758840413E+20</c:v>
                </c:pt>
                <c:pt idx="3">
                  <c:v>1.4630309124609373E+20</c:v>
                </c:pt>
                <c:pt idx="4">
                  <c:v>1.4494411575906207E+20</c:v>
                </c:pt>
                <c:pt idx="5">
                  <c:v>1.4363885686467772E+20</c:v>
                </c:pt>
                <c:pt idx="6">
                  <c:v>1.423855453756725E+20</c:v>
                </c:pt>
                <c:pt idx="7">
                  <c:v>1.4118246554991917E+20</c:v>
                </c:pt>
                <c:pt idx="8">
                  <c:v>1.4002795350839352E+20</c:v>
                </c:pt>
                <c:pt idx="9">
                  <c:v>1.3892039569989236E+20</c:v>
                </c:pt>
                <c:pt idx="10">
                  <c:v>1.3785822741112339E+20</c:v>
                </c:pt>
                <c:pt idx="11">
                  <c:v>1.3683993132082201E+20</c:v>
                </c:pt>
                <c:pt idx="12">
                  <c:v>1.3586403609659148E+20</c:v>
                </c:pt>
                <c:pt idx="13">
                  <c:v>1.3492911503320053E+20</c:v>
                </c:pt>
                <c:pt idx="14">
                  <c:v>1.3403378473111129E+20</c:v>
                </c:pt>
                <c:pt idx="15">
                  <c:v>1.3317670381404568E+20</c:v>
                </c:pt>
                <c:pt idx="16">
                  <c:v>1.3235657168443367E+20</c:v>
                </c:pt>
                <c:pt idx="17">
                  <c:v>1.3157212731562353E+20</c:v>
                </c:pt>
                <c:pt idx="18">
                  <c:v>1.3082214807976354E+20</c:v>
                </c:pt>
                <c:pt idx="19">
                  <c:v>1.3010544861030072E+20</c:v>
                </c:pt>
                <c:pt idx="20">
                  <c:v>1.2942087969807119E+20</c:v>
                </c:pt>
                <c:pt idx="21">
                  <c:v>1.2876732721998756E+20</c:v>
                </c:pt>
                <c:pt idx="22">
                  <c:v>1.281437110993592E+20</c:v>
                </c:pt>
                <c:pt idx="23">
                  <c:v>1.2754898429690908E+20</c:v>
                </c:pt>
                <c:pt idx="24">
                  <c:v>1.2698213183157833E+20</c:v>
                </c:pt>
                <c:pt idx="25">
                  <c:v>1.264421698302375E+20</c:v>
                </c:pt>
                <c:pt idx="26">
                  <c:v>1.2592814460544947E+20</c:v>
                </c:pt>
                <c:pt idx="27">
                  <c:v>1.2543913176045348E+20</c:v>
                </c:pt>
                <c:pt idx="28">
                  <c:v>1.2497423532056551E+20</c:v>
                </c:pt>
                <c:pt idx="29">
                  <c:v>1.2453258689021374E+20</c:v>
                </c:pt>
                <c:pt idx="30">
                  <c:v>1.2411334483484996E+20</c:v>
                </c:pt>
                <c:pt idx="31">
                  <c:v>1.237156934870025E+20</c:v>
                </c:pt>
                <c:pt idx="32">
                  <c:v>1.2333884237575623E+20</c:v>
                </c:pt>
                <c:pt idx="33">
                  <c:v>1.2298202547896612E+20</c:v>
                </c:pt>
                <c:pt idx="34">
                  <c:v>1.2264450049753385E+20</c:v>
                </c:pt>
                <c:pt idx="35">
                  <c:v>1.2232554815109372E+20</c:v>
                </c:pt>
                <c:pt idx="36">
                  <c:v>1.2202447149447591E+20</c:v>
                </c:pt>
                <c:pt idx="37">
                  <c:v>1.2174059525433211E+20</c:v>
                </c:pt>
                <c:pt idx="38">
                  <c:v>1.2147326518532859E+20</c:v>
                </c:pt>
                <c:pt idx="39">
                  <c:v>1.2122184744532797E+20</c:v>
                </c:pt>
                <c:pt idx="40">
                  <c:v>1.2098572798899788E+20</c:v>
                </c:pt>
                <c:pt idx="41">
                  <c:v>1.2076431197930367E+20</c:v>
                </c:pt>
                <c:pt idx="42">
                  <c:v>1.2055702321635487E+20</c:v>
                </c:pt>
                <c:pt idx="43">
                  <c:v>1.203633035830946E+20</c:v>
                </c:pt>
                <c:pt idx="44">
                  <c:v>1.2018261250733274E+20</c:v>
                </c:pt>
                <c:pt idx="45">
                  <c:v>1.2001442643964145E+20</c:v>
                </c:pt>
                <c:pt idx="46">
                  <c:v>1.198582383466437E+20</c:v>
                </c:pt>
                <c:pt idx="47">
                  <c:v>1.1971355721924079E+20</c:v>
                </c:pt>
                <c:pt idx="48">
                  <c:v>1.1957990759533756E+20</c:v>
                </c:pt>
                <c:pt idx="49">
                  <c:v>1.1945682909663679E+20</c:v>
                </c:pt>
                <c:pt idx="50">
                  <c:v>1.1934387597908858E+20</c:v>
                </c:pt>
                <c:pt idx="51">
                  <c:v>1.1924061669659034E+20</c:v>
                </c:pt>
                <c:pt idx="52">
                  <c:v>1.1914663347754736E+20</c:v>
                </c:pt>
                <c:pt idx="53">
                  <c:v>1.1906152191391354E+20</c:v>
                </c:pt>
                <c:pt idx="54">
                  <c:v>1.1898489056234448E+20</c:v>
                </c:pt>
                <c:pt idx="55">
                  <c:v>1.1891636055710592E+20</c:v>
                </c:pt>
                <c:pt idx="56">
                  <c:v>1.188555652343893E+20</c:v>
                </c:pt>
                <c:pt idx="57">
                  <c:v>1.1880214976769994E+20</c:v>
                </c:pt>
                <c:pt idx="58">
                  <c:v>1.1875577081398911E+20</c:v>
                </c:pt>
                <c:pt idx="59">
                  <c:v>1.1871609617021479E+20</c:v>
                </c:pt>
                <c:pt idx="60">
                  <c:v>1.1868280444002273E+20</c:v>
                </c:pt>
                <c:pt idx="61">
                  <c:v>1.1865558471024946E+20</c:v>
                </c:pt>
                <c:pt idx="62">
                  <c:v>1.1863413623695776E+20</c:v>
                </c:pt>
                <c:pt idx="63">
                  <c:v>1.1861816814072344E+20</c:v>
                </c:pt>
                <c:pt idx="64">
                  <c:v>1.1860739911090088E+20</c:v>
                </c:pt>
                <c:pt idx="65">
                  <c:v>1.1860155711860258E+20</c:v>
                </c:pt>
                <c:pt idx="66">
                  <c:v>1.1860037913813595E+20</c:v>
                </c:pt>
                <c:pt idx="67">
                  <c:v>1.1860361087664765E+20</c:v>
                </c:pt>
                <c:pt idx="68">
                  <c:v>1.1861100651173439E+20</c:v>
                </c:pt>
                <c:pt idx="69">
                  <c:v>1.1862232843678505E+20</c:v>
                </c:pt>
                <c:pt idx="70">
                  <c:v>1.186373470138262E+20</c:v>
                </c:pt>
                <c:pt idx="71">
                  <c:v>1.186558403336504E+20</c:v>
                </c:pt>
                <c:pt idx="72">
                  <c:v>1.1867759398301221E+20</c:v>
                </c:pt>
                <c:pt idx="73">
                  <c:v>1.1870240081868459E+20</c:v>
                </c:pt>
                <c:pt idx="74">
                  <c:v>1.1873006074817259E+20</c:v>
                </c:pt>
                <c:pt idx="75">
                  <c:v>1.1876038051688931E+20</c:v>
                </c:pt>
                <c:pt idx="76">
                  <c:v>1.1879317350160332E+20</c:v>
                </c:pt>
                <c:pt idx="77">
                  <c:v>1.1882825950997286E+20</c:v>
                </c:pt>
                <c:pt idx="78">
                  <c:v>1.1886546458598811E+20</c:v>
                </c:pt>
                <c:pt idx="79">
                  <c:v>1.1890462082114712E+20</c:v>
                </c:pt>
                <c:pt idx="80">
                  <c:v>1.189455661711971E+20</c:v>
                </c:pt>
                <c:pt idx="81">
                  <c:v>1.1898814427827687E+20</c:v>
                </c:pt>
                <c:pt idx="82">
                  <c:v>1.190322042983019E+20</c:v>
                </c:pt>
                <c:pt idx="83">
                  <c:v>1.1907760073343774E+20</c:v>
                </c:pt>
                <c:pt idx="84">
                  <c:v>1.191241932695118E+20</c:v>
                </c:pt>
                <c:pt idx="85">
                  <c:v>1.1917184661821848E+20</c:v>
                </c:pt>
                <c:pt idx="86">
                  <c:v>1.1922043036397658E+20</c:v>
                </c:pt>
                <c:pt idx="87">
                  <c:v>1.1926981881530237E+20</c:v>
                </c:pt>
                <c:pt idx="88">
                  <c:v>1.1931989086056546E+20</c:v>
                </c:pt>
                <c:pt idx="89">
                  <c:v>1.1937052982799806E+20</c:v>
                </c:pt>
                <c:pt idx="90">
                  <c:v>1.1942162334983358E+20</c:v>
                </c:pt>
                <c:pt idx="91">
                  <c:v>1.1947306323045278E+20</c:v>
                </c:pt>
                <c:pt idx="92">
                  <c:v>1.1952474531841909E+20</c:v>
                </c:pt>
                <c:pt idx="93">
                  <c:v>1.1957656938228944E+20</c:v>
                </c:pt>
                <c:pt idx="94">
                  <c:v>1.1962843899009004E+20</c:v>
                </c:pt>
                <c:pt idx="95">
                  <c:v>1.1968026139234807E+20</c:v>
                </c:pt>
                <c:pt idx="96">
                  <c:v>1.1973194740857641E+20</c:v>
                </c:pt>
                <c:pt idx="97">
                  <c:v>1.197834113171087E+20</c:v>
                </c:pt>
                <c:pt idx="98">
                  <c:v>1.1983457074818694E+20</c:v>
                </c:pt>
                <c:pt idx="99">
                  <c:v>1.1988534658020621E+20</c:v>
                </c:pt>
                <c:pt idx="100">
                  <c:v>1.1993566283902329E+20</c:v>
                </c:pt>
                <c:pt idx="101">
                  <c:v>1.1998544660023974E+20</c:v>
                </c:pt>
                <c:pt idx="102">
                  <c:v>1.2003462789437132E+20</c:v>
                </c:pt>
                <c:pt idx="103">
                  <c:v>1.2008313961482045E+20</c:v>
                </c:pt>
                <c:pt idx="104">
                  <c:v>1.2013091742856779E+20</c:v>
                </c:pt>
                <c:pt idx="105">
                  <c:v>1.20177899689504E+20</c:v>
                </c:pt>
                <c:pt idx="106">
                  <c:v>1.2022402735432429E+20</c:v>
                </c:pt>
                <c:pt idx="107">
                  <c:v>1.2026924390090988E+20</c:v>
                </c:pt>
                <c:pt idx="108">
                  <c:v>1.2031349524912466E+20</c:v>
                </c:pt>
                <c:pt idx="109">
                  <c:v>1.2035672968395402E+20</c:v>
                </c:pt>
                <c:pt idx="110">
                  <c:v>1.2039889778091986E+20</c:v>
                </c:pt>
                <c:pt idx="111">
                  <c:v>1.2043995233370256E+20</c:v>
                </c:pt>
                <c:pt idx="112">
                  <c:v>1.204798482839069E+20</c:v>
                </c:pt>
                <c:pt idx="113">
                  <c:v>1.2051854265290763E+20</c:v>
                </c:pt>
                <c:pt idx="114">
                  <c:v>1.2055599447571553E+20</c:v>
                </c:pt>
                <c:pt idx="115">
                  <c:v>1.2059216473680221E+20</c:v>
                </c:pt>
                <c:pt idx="116">
                  <c:v>1.2062701630782888E+20</c:v>
                </c:pt>
                <c:pt idx="117">
                  <c:v>1.2066051388722124E+20</c:v>
                </c:pt>
                <c:pt idx="118">
                  <c:v>1.2069262394153712E+20</c:v>
                </c:pt>
                <c:pt idx="119">
                  <c:v>1.2072331464857502E+20</c:v>
                </c:pt>
                <c:pt idx="120">
                  <c:v>1.2075255584217059E+20</c:v>
                </c:pt>
                <c:pt idx="121">
                  <c:v>1.2078031895863412E+20</c:v>
                </c:pt>
                <c:pt idx="122">
                  <c:v>1.2080657698477851E+20</c:v>
                </c:pt>
                <c:pt idx="123">
                  <c:v>1.2083130440749282E+20</c:v>
                </c:pt>
                <c:pt idx="124">
                  <c:v>1.208544771648153E+20</c:v>
                </c:pt>
                <c:pt idx="125">
                  <c:v>1.2087607259846215E+20</c:v>
                </c:pt>
                <c:pt idx="126">
                  <c:v>1.2089606940776926E+20</c:v>
                </c:pt>
                <c:pt idx="127">
                  <c:v>1.2091444760500602E+20</c:v>
                </c:pt>
                <c:pt idx="128">
                  <c:v>1.2093118847201983E+20</c:v>
                </c:pt>
                <c:pt idx="129">
                  <c:v>1.2094627451817388E+20</c:v>
                </c:pt>
                <c:pt idx="130">
                  <c:v>1.2095968943953904E+20</c:v>
                </c:pt>
                <c:pt idx="131">
                  <c:v>1.2097141807930397E+20</c:v>
                </c:pt>
                <c:pt idx="132">
                  <c:v>1.2098144638936692E+20</c:v>
                </c:pt>
                <c:pt idx="133">
                  <c:v>1.2098976139307545E+20</c:v>
                </c:pt>
                <c:pt idx="134">
                  <c:v>1.2099635114908013E+20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courbes!$N$1</c:f>
              <c:strCache>
                <c:ptCount val="1"/>
                <c:pt idx="0">
                  <c:v>O5 - Pu241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courbes!$N$2:$N$122</c:f>
              <c:numCache>
                <c:formatCode>0.0000E+00</c:formatCode>
                <c:ptCount val="121"/>
                <c:pt idx="0">
                  <c:v>1.5072084539664158E+20</c:v>
                </c:pt>
                <c:pt idx="1">
                  <c:v>1.4918954580360685E+20</c:v>
                </c:pt>
                <c:pt idx="2">
                  <c:v>1.4771760759109075E+20</c:v>
                </c:pt>
                <c:pt idx="3">
                  <c:v>1.4630309124551837E+20</c:v>
                </c:pt>
                <c:pt idx="4">
                  <c:v>1.4494411564531561E+20</c:v>
                </c:pt>
                <c:pt idx="5">
                  <c:v>1.4363885619323345E+20</c:v>
                </c:pt>
                <c:pt idx="6">
                  <c:v>1.423855429486727E+20</c:v>
                </c:pt>
                <c:pt idx="7">
                  <c:v>1.411824587600086E+20</c:v>
                </c:pt>
                <c:pt idx="8">
                  <c:v>1.400279373969154E+20</c:v>
                </c:pt>
                <c:pt idx="9">
                  <c:v>1.3892036168269103E+20</c:v>
                </c:pt>
                <c:pt idx="10">
                  <c:v>1.3785816162658163E+20</c:v>
                </c:pt>
                <c:pt idx="11">
                  <c:v>1.368398125561062E+20</c:v>
                </c:pt>
                <c:pt idx="12">
                  <c:v>1.3586383324938127E+20</c:v>
                </c:pt>
                <c:pt idx="13">
                  <c:v>1.34928925473288E+20</c:v>
                </c:pt>
                <c:pt idx="14">
                  <c:v>1.3403360989595522E+20</c:v>
                </c:pt>
                <c:pt idx="15">
                  <c:v>1.3317654533745525E+20</c:v>
                </c:pt>
                <c:pt idx="16">
                  <c:v>1.3235643132065641E+20</c:v>
                </c:pt>
                <c:pt idx="17">
                  <c:v>1.315720067684982E+20</c:v>
                </c:pt>
                <c:pt idx="18">
                  <c:v>1.308220487012659E+20</c:v>
                </c:pt>
                <c:pt idx="19">
                  <c:v>1.3010537093386576E+20</c:v>
                </c:pt>
                <c:pt idx="20">
                  <c:v>1.2942082277309968E+20</c:v>
                </c:pt>
                <c:pt idx="21">
                  <c:v>1.2876728771494011E+20</c:v>
                </c:pt>
                <c:pt idx="22">
                  <c:v>1.281436821418051E+20</c:v>
                </c:pt>
                <c:pt idx="23">
                  <c:v>1.2754895401983307E+20</c:v>
                </c:pt>
                <c:pt idx="24">
                  <c:v>1.2698208159615767E+20</c:v>
                </c:pt>
                <c:pt idx="25">
                  <c:v>1.2644217065221063E+20</c:v>
                </c:pt>
                <c:pt idx="26">
                  <c:v>1.2592820074582219E+20</c:v>
                </c:pt>
                <c:pt idx="27">
                  <c:v>1.2543924771577691E+20</c:v>
                </c:pt>
                <c:pt idx="28">
                  <c:v>1.2497441576297939E+20</c:v>
                </c:pt>
                <c:pt idx="29">
                  <c:v>1.2453283654153259E+20</c:v>
                </c:pt>
                <c:pt idx="30">
                  <c:v>1.2411366824981606E+20</c:v>
                </c:pt>
                <c:pt idx="31">
                  <c:v>1.2371609472156461E+20</c:v>
                </c:pt>
                <c:pt idx="32">
                  <c:v>1.2333932451694648E+20</c:v>
                </c:pt>
                <c:pt idx="33">
                  <c:v>1.2298259001364175E+20</c:v>
                </c:pt>
                <c:pt idx="34">
                  <c:v>1.2264514649792084E+20</c:v>
                </c:pt>
                <c:pt idx="35">
                  <c:v>1.223262712557227E+20</c:v>
                </c:pt>
                <c:pt idx="36">
                  <c:v>1.2202526266373336E+20</c:v>
                </c:pt>
                <c:pt idx="37">
                  <c:v>1.2174150799142347E+20</c:v>
                </c:pt>
                <c:pt idx="38">
                  <c:v>1.2147430648801806E+20</c:v>
                </c:pt>
                <c:pt idx="39">
                  <c:v>1.2122302450402745E+20</c:v>
                </c:pt>
                <c:pt idx="40">
                  <c:v>1.2098704814037488E+20</c:v>
                </c:pt>
                <c:pt idx="41">
                  <c:v>1.2076578261406381E+20</c:v>
                </c:pt>
                <c:pt idx="42">
                  <c:v>1.2055865162384469E+20</c:v>
                </c:pt>
                <c:pt idx="43">
                  <c:v>1.2036509671588217E+20</c:v>
                </c:pt>
                <c:pt idx="44">
                  <c:v>1.2018457664942232E+20</c:v>
                </c:pt>
                <c:pt idx="45">
                  <c:v>1.2001656676245935E+20</c:v>
                </c:pt>
                <c:pt idx="46">
                  <c:v>1.1986055833740298E+20</c:v>
                </c:pt>
                <c:pt idx="47">
                  <c:v>1.1971605796674534E+20</c:v>
                </c:pt>
                <c:pt idx="48">
                  <c:v>1.1958258691872797E+20</c:v>
                </c:pt>
                <c:pt idx="49">
                  <c:v>1.1945972842242671E+20</c:v>
                </c:pt>
                <c:pt idx="50">
                  <c:v>1.1934700428849652E+20</c:v>
                </c:pt>
                <c:pt idx="51">
                  <c:v>1.1924398308922679E+20</c:v>
                </c:pt>
                <c:pt idx="52">
                  <c:v>1.1915024713629491E+20</c:v>
                </c:pt>
                <c:pt idx="53">
                  <c:v>1.1906539203796266E+20</c:v>
                </c:pt>
                <c:pt idx="54">
                  <c:v>1.1898902625627251E+20</c:v>
                </c:pt>
                <c:pt idx="55">
                  <c:v>1.1892077066424389E+20</c:v>
                </c:pt>
                <c:pt idx="56">
                  <c:v>1.188602581030697E+20</c:v>
                </c:pt>
                <c:pt idx="57">
                  <c:v>1.1880713293931263E+20</c:v>
                </c:pt>
                <c:pt idx="58">
                  <c:v>1.1876105062210131E+20</c:v>
                </c:pt>
                <c:pt idx="59">
                  <c:v>1.1872167724032691E+20</c:v>
                </c:pt>
                <c:pt idx="60">
                  <c:v>1.1868868907983936E+20</c:v>
                </c:pt>
                <c:pt idx="61">
                  <c:v>1.1866180561210876E+20</c:v>
                </c:pt>
                <c:pt idx="62">
                  <c:v>1.1864070341822936E+20</c:v>
                </c:pt>
                <c:pt idx="63">
                  <c:v>1.186250916599216E+20</c:v>
                </c:pt>
                <c:pt idx="64">
                  <c:v>1.1861468904171969E+20</c:v>
                </c:pt>
                <c:pt idx="65">
                  <c:v>1.1860922350181283E+20</c:v>
                </c:pt>
                <c:pt idx="66">
                  <c:v>1.1860843190288674E+20</c:v>
                </c:pt>
                <c:pt idx="67">
                  <c:v>1.1861205972296478E+20</c:v>
                </c:pt>
                <c:pt idx="68">
                  <c:v>1.1861986074624945E+20</c:v>
                </c:pt>
                <c:pt idx="69">
                  <c:v>1.1863159675396347E+20</c:v>
                </c:pt>
                <c:pt idx="70">
                  <c:v>1.186470372151913E+20</c:v>
                </c:pt>
                <c:pt idx="71">
                  <c:v>1.1866595897772043E+20</c:v>
                </c:pt>
                <c:pt idx="72">
                  <c:v>1.1868814595888251E+20</c:v>
                </c:pt>
                <c:pt idx="73">
                  <c:v>1.1871341216949654E+20</c:v>
                </c:pt>
                <c:pt idx="74">
                  <c:v>1.1874154163880831E+20</c:v>
                </c:pt>
                <c:pt idx="75">
                  <c:v>1.1877234108723852E+20</c:v>
                </c:pt>
                <c:pt idx="76">
                  <c:v>1.188056238478662E+20</c:v>
                </c:pt>
                <c:pt idx="77">
                  <c:v>1.1884120965056289E+20</c:v>
                </c:pt>
                <c:pt idx="78">
                  <c:v>1.1887892440612676E+20</c:v>
                </c:pt>
                <c:pt idx="79">
                  <c:v>1.1891859999041726E+20</c:v>
                </c:pt>
                <c:pt idx="80">
                  <c:v>1.1896007402848926E+20</c:v>
                </c:pt>
                <c:pt idx="81">
                  <c:v>1.1900318967872725E+20</c:v>
                </c:pt>
                <c:pt idx="82">
                  <c:v>1.190477954169798E+20</c:v>
                </c:pt>
                <c:pt idx="83">
                  <c:v>1.1909374482069384E+20</c:v>
                </c:pt>
                <c:pt idx="84">
                  <c:v>1.1914089635304884E+20</c:v>
                </c:pt>
                <c:pt idx="85">
                  <c:v>1.1918912943913681E+20</c:v>
                </c:pt>
                <c:pt idx="86">
                  <c:v>1.1923830251988946E+20</c:v>
                </c:pt>
                <c:pt idx="87">
                  <c:v>1.1928828982923649E+20</c:v>
                </c:pt>
                <c:pt idx="88">
                  <c:v>1.1933897016790301E+20</c:v>
                </c:pt>
                <c:pt idx="89">
                  <c:v>1.1939022675269732E+20</c:v>
                </c:pt>
                <c:pt idx="90">
                  <c:v>1.1944194706579823E+20</c:v>
                </c:pt>
                <c:pt idx="91">
                  <c:v>1.194940227040427E+20</c:v>
                </c:pt>
                <c:pt idx="92">
                  <c:v>1.195463492282134E+20</c:v>
                </c:pt>
                <c:pt idx="93">
                  <c:v>1.1959882601232615E+20</c:v>
                </c:pt>
                <c:pt idx="94">
                  <c:v>1.1965135609291743E+20</c:v>
                </c:pt>
                <c:pt idx="95">
                  <c:v>1.1970384601833198E+20</c:v>
                </c:pt>
                <c:pt idx="96">
                  <c:v>1.1975620569801028E+20</c:v>
                </c:pt>
                <c:pt idx="97">
                  <c:v>1.1980835963261544E+20</c:v>
                </c:pt>
                <c:pt idx="98">
                  <c:v>1.1986021761302816E+20</c:v>
                </c:pt>
                <c:pt idx="99">
                  <c:v>1.1991170041050869E+20</c:v>
                </c:pt>
                <c:pt idx="100">
                  <c:v>1.1996273193499722E+20</c:v>
                </c:pt>
                <c:pt idx="101">
                  <c:v>1.2001323912992332E+20</c:v>
                </c:pt>
                <c:pt idx="102">
                  <c:v>1.2006315186701541E+20</c:v>
                </c:pt>
                <c:pt idx="103">
                  <c:v>1.2011240284111032E+20</c:v>
                </c:pt>
                <c:pt idx="104">
                  <c:v>1.2016092746496247E+20</c:v>
                </c:pt>
                <c:pt idx="105">
                  <c:v>1.2020866376405359E+20</c:v>
                </c:pt>
                <c:pt idx="106">
                  <c:v>1.2025555227140201E+20</c:v>
                </c:pt>
                <c:pt idx="107">
                  <c:v>1.2030153592237213E+20</c:v>
                </c:pt>
                <c:pt idx="108">
                  <c:v>1.2034655994948403E+20</c:v>
                </c:pt>
                <c:pt idx="109">
                  <c:v>1.2039057973098211E+20</c:v>
                </c:pt>
                <c:pt idx="110">
                  <c:v>1.2043354031359261E+20</c:v>
                </c:pt>
                <c:pt idx="111">
                  <c:v>1.2047539436634703E+20</c:v>
                </c:pt>
                <c:pt idx="112">
                  <c:v>1.2051609670058315E+20</c:v>
                </c:pt>
                <c:pt idx="113">
                  <c:v>1.2055560419657472E+20</c:v>
                </c:pt>
                <c:pt idx="114">
                  <c:v>1.2059387573016106E+20</c:v>
                </c:pt>
                <c:pt idx="115">
                  <c:v>1.2063087209937687E+20</c:v>
                </c:pt>
                <c:pt idx="116">
                  <c:v>1.206665559510819E+20</c:v>
                </c:pt>
                <c:pt idx="117">
                  <c:v>1.2070089170759067E+20</c:v>
                </c:pt>
                <c:pt idx="118">
                  <c:v>1.2073384549330221E+20</c:v>
                </c:pt>
                <c:pt idx="119">
                  <c:v>1.2076538506132973E+20</c:v>
                </c:pt>
                <c:pt idx="120">
                  <c:v>1.2079547972013036E+20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courbes!$AI$1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courbes!$AI$2:$AI$51</c:f>
              <c:numCache>
                <c:formatCode>0.0000E+00</c:formatCode>
                <c:ptCount val="50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courbes!$AU$1</c:f>
              <c:strCache>
                <c:ptCount val="1"/>
                <c:pt idx="0">
                  <c:v>VESTA - Pu241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courbes!$AU$2:$AU$8</c:f>
              <c:numCache>
                <c:formatCode>0.0000E+00</c:formatCode>
                <c:ptCount val="7"/>
                <c:pt idx="0">
                  <c:v>1.5072084539664158E+20</c:v>
                </c:pt>
                <c:pt idx="1">
                  <c:v>1.4846998842920177E+20</c:v>
                </c:pt>
                <c:pt idx="2">
                  <c:v>1.4440113160344522E+20</c:v>
                </c:pt>
                <c:pt idx="3">
                  <c:v>1.3738884643565204E+20</c:v>
                </c:pt>
                <c:pt idx="4">
                  <c:v>1.2994370415873578E+20</c:v>
                </c:pt>
                <c:pt idx="5">
                  <c:v>1.2596141875480386E+20</c:v>
                </c:pt>
                <c:pt idx="6">
                  <c:v>1.3280056107894782E+20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courbes!$E$1</c:f>
              <c:strCache>
                <c:ptCount val="1"/>
                <c:pt idx="0">
                  <c:v>RK1 - Pu241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courbes!$E$2:$E$136</c:f>
              <c:numCache>
                <c:formatCode>0.0000E+00</c:formatCode>
                <c:ptCount val="135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27168"/>
        <c:axId val="85528960"/>
      </c:scatterChart>
      <c:valAx>
        <c:axId val="8552716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85528960"/>
        <c:crosses val="autoZero"/>
        <c:crossBetween val="midCat"/>
      </c:valAx>
      <c:valAx>
        <c:axId val="85528960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855271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courbes!$AA$1</c:f>
              <c:strCache>
                <c:ptCount val="1"/>
                <c:pt idx="0">
                  <c:v> Exact Simpl. - Pu242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courbes!$AA$2:$AA$136</c:f>
              <c:numCache>
                <c:formatCode>0.0000E+00</c:formatCode>
                <c:ptCount val="135"/>
                <c:pt idx="0">
                  <c:v>5.1070699679853543E+19</c:v>
                </c:pt>
                <c:pt idx="1">
                  <c:v>5.1403038210638676E+19</c:v>
                </c:pt>
                <c:pt idx="2">
                  <c:v>5.1727025641732014E+19</c:v>
                </c:pt>
                <c:pt idx="3">
                  <c:v>5.2042943811497558E+19</c:v>
                </c:pt>
                <c:pt idx="4">
                  <c:v>5.2351065574077039E+19</c:v>
                </c:pt>
                <c:pt idx="5">
                  <c:v>5.2651655066511081E+19</c:v>
                </c:pt>
                <c:pt idx="6">
                  <c:v>5.2944967968094093E+19</c:v>
                </c:pt>
                <c:pt idx="7">
                  <c:v>5.3231251752183923E+19</c:v>
                </c:pt>
                <c:pt idx="8">
                  <c:v>5.351074593069151E+19</c:v>
                </c:pt>
                <c:pt idx="9">
                  <c:v>5.3783682291456147E+19</c:v>
                </c:pt>
                <c:pt idx="10">
                  <c:v>5.4050285128719401E+19</c:v>
                </c:pt>
                <c:pt idx="11">
                  <c:v>5.431077146689808E+19</c:v>
                </c:pt>
                <c:pt idx="12">
                  <c:v>5.4565351277845283E+19</c:v>
                </c:pt>
                <c:pt idx="13">
                  <c:v>5.4814227691796496E+19</c:v>
                </c:pt>
                <c:pt idx="14">
                  <c:v>5.5057597202179129E+19</c:v>
                </c:pt>
                <c:pt idx="15">
                  <c:v>5.5295649864464466E+19</c:v>
                </c:pt>
                <c:pt idx="16">
                  <c:v>5.552856948923895E+19</c:v>
                </c:pt>
                <c:pt idx="17">
                  <c:v>5.5756533829655003E+19</c:v>
                </c:pt>
                <c:pt idx="18">
                  <c:v>5.5979714763434426E+19</c:v>
                </c:pt>
                <c:pt idx="19">
                  <c:v>5.6198278469574164E+19</c:v>
                </c:pt>
                <c:pt idx="20">
                  <c:v>5.6412385599911592E+19</c:v>
                </c:pt>
                <c:pt idx="21">
                  <c:v>5.6622191445700051E+19</c:v>
                </c:pt>
                <c:pt idx="22">
                  <c:v>5.682784609933738E+19</c:v>
                </c:pt>
                <c:pt idx="23">
                  <c:v>5.7029494611385844E+19</c:v>
                </c:pt>
                <c:pt idx="24">
                  <c:v>5.7227277143026303E+19</c:v>
                </c:pt>
                <c:pt idx="25">
                  <c:v>5.7421329114073399E+19</c:v>
                </c:pt>
                <c:pt idx="26">
                  <c:v>5.7611781346681225E+19</c:v>
                </c:pt>
                <c:pt idx="27">
                  <c:v>5.7798760204869796E+19</c:v>
                </c:pt>
                <c:pt idx="28">
                  <c:v>5.7982387729983177E+19</c:v>
                </c:pt>
                <c:pt idx="29">
                  <c:v>5.8162781772207555E+19</c:v>
                </c:pt>
                <c:pt idx="30">
                  <c:v>5.8340056118258729E+19</c:v>
                </c:pt>
                <c:pt idx="31">
                  <c:v>5.851432061534693E+19</c:v>
                </c:pt>
                <c:pt idx="32">
                  <c:v>5.8685681291534631E+19</c:v>
                </c:pt>
                <c:pt idx="33">
                  <c:v>5.885424047258334E+19</c:v>
                </c:pt>
                <c:pt idx="34">
                  <c:v>5.9020096895397331E+19</c:v>
                </c:pt>
                <c:pt idx="35">
                  <c:v>5.918334581815876E+19</c:v>
                </c:pt>
                <c:pt idx="36">
                  <c:v>5.9344079127252533E+19</c:v>
                </c:pt>
                <c:pt idx="37">
                  <c:v>5.9502385441072939E+19</c:v>
                </c:pt>
                <c:pt idx="38">
                  <c:v>5.9658350210799796E+19</c:v>
                </c:pt>
                <c:pt idx="39">
                  <c:v>5.9812055818238394E+19</c:v>
                </c:pt>
                <c:pt idx="40">
                  <c:v>5.9963581670798492E+19</c:v>
                </c:pt>
                <c:pt idx="41">
                  <c:v>6.011300429370386E+19</c:v>
                </c:pt>
                <c:pt idx="42">
                  <c:v>6.0260397419508695E+19</c:v>
                </c:pt>
                <c:pt idx="43">
                  <c:v>6.0405832074996777E+19</c:v>
                </c:pt>
                <c:pt idx="44">
                  <c:v>6.0549376665543246E+19</c:v>
                </c:pt>
                <c:pt idx="45">
                  <c:v>6.0691097057009533E+19</c:v>
                </c:pt>
                <c:pt idx="46">
                  <c:v>6.0831056655242625E+19</c:v>
                </c:pt>
                <c:pt idx="47">
                  <c:v>6.0969316483249766E+19</c:v>
                </c:pt>
                <c:pt idx="48">
                  <c:v>6.1105935256113381E+19</c:v>
                </c:pt>
                <c:pt idx="49">
                  <c:v>6.1240969453713359E+19</c:v>
                </c:pt>
                <c:pt idx="50">
                  <c:v>6.1374473391319024E+19</c:v>
                </c:pt>
                <c:pt idx="51">
                  <c:v>6.1506499288112103E+19</c:v>
                </c:pt>
                <c:pt idx="52">
                  <c:v>6.1637097333701181E+19</c:v>
                </c:pt>
                <c:pt idx="53">
                  <c:v>6.1766315752685601E+19</c:v>
                </c:pt>
                <c:pt idx="54">
                  <c:v>6.1894200867322692E+19</c:v>
                </c:pt>
                <c:pt idx="55">
                  <c:v>6.202079715835809E+19</c:v>
                </c:pt>
                <c:pt idx="56">
                  <c:v>6.2146147324065317E+19</c:v>
                </c:pt>
                <c:pt idx="57">
                  <c:v>6.2270292337553637E+19</c:v>
                </c:pt>
                <c:pt idx="58">
                  <c:v>6.2393271502388298E+19</c:v>
                </c:pt>
                <c:pt idx="59">
                  <c:v>6.2515122506572857E+19</c:v>
                </c:pt>
                <c:pt idx="60">
                  <c:v>6.2635881474945417E+19</c:v>
                </c:pt>
                <c:pt idx="61">
                  <c:v>6.2755583020027838E+19</c:v>
                </c:pt>
                <c:pt idx="62">
                  <c:v>6.2874260291376677E+19</c:v>
                </c:pt>
                <c:pt idx="63">
                  <c:v>6.2991945023478071E+19</c:v>
                </c:pt>
                <c:pt idx="64">
                  <c:v>6.31086675822283E+19</c:v>
                </c:pt>
                <c:pt idx="65">
                  <c:v>6.3224457010041094E+19</c:v>
                </c:pt>
                <c:pt idx="66">
                  <c:v>6.3339341069620576E+19</c:v>
                </c:pt>
                <c:pt idx="67">
                  <c:v>6.3453346286439268E+19</c:v>
                </c:pt>
                <c:pt idx="68">
                  <c:v>6.3566497989957255E+19</c:v>
                </c:pt>
                <c:pt idx="69">
                  <c:v>6.3678820353619722E+19</c:v>
                </c:pt>
                <c:pt idx="70">
                  <c:v>6.3790336433669243E+19</c:v>
                </c:pt>
                <c:pt idx="71">
                  <c:v>6.3901068206801617E+19</c:v>
                </c:pt>
                <c:pt idx="72">
                  <c:v>6.401103660670727E+19</c:v>
                </c:pt>
                <c:pt idx="73">
                  <c:v>6.4120261559521116E+19</c:v>
                </c:pt>
                <c:pt idx="74">
                  <c:v>6.4228762018219983E+19</c:v>
                </c:pt>
                <c:pt idx="75">
                  <c:v>6.4336555995992261E+19</c:v>
                </c:pt>
                <c:pt idx="76">
                  <c:v>6.4443660598611837E+19</c:v>
                </c:pt>
                <c:pt idx="77">
                  <c:v>6.4550092055847502E+19</c:v>
                </c:pt>
                <c:pt idx="78">
                  <c:v>6.4655865751927521E+19</c:v>
                </c:pt>
                <c:pt idx="79">
                  <c:v>6.4760996255098995E+19</c:v>
                </c:pt>
                <c:pt idx="80">
                  <c:v>6.4865497346293498E+19</c:v>
                </c:pt>
                <c:pt idx="81">
                  <c:v>6.4969382046938694E+19</c:v>
                </c:pt>
                <c:pt idx="82">
                  <c:v>6.5072662645929247E+19</c:v>
                </c:pt>
                <c:pt idx="83">
                  <c:v>6.5175350725789811E+19</c:v>
                </c:pt>
                <c:pt idx="84">
                  <c:v>6.5277457188045652E+19</c:v>
                </c:pt>
                <c:pt idx="85">
                  <c:v>6.5378992277832892E+19</c:v>
                </c:pt>
                <c:pt idx="86">
                  <c:v>6.5479965607758135E+19</c:v>
                </c:pt>
                <c:pt idx="87">
                  <c:v>6.5580386181043454E+19</c:v>
                </c:pt>
                <c:pt idx="88">
                  <c:v>6.5680262413963166E+19</c:v>
                </c:pt>
                <c:pt idx="89">
                  <c:v>6.5779602157604831E+19</c:v>
                </c:pt>
                <c:pt idx="90">
                  <c:v>6.5878412718964441E+19</c:v>
                </c:pt>
                <c:pt idx="91">
                  <c:v>6.59767008814022E+19</c:v>
                </c:pt>
                <c:pt idx="92">
                  <c:v>6.607447292447241E+19</c:v>
                </c:pt>
                <c:pt idx="93">
                  <c:v>6.6171734643147309E+19</c:v>
                </c:pt>
                <c:pt idx="94">
                  <c:v>6.6268491366454624E+19</c:v>
                </c:pt>
                <c:pt idx="95">
                  <c:v>6.6364747975539556E+19</c:v>
                </c:pt>
                <c:pt idx="96">
                  <c:v>6.6460508921175769E+19</c:v>
                </c:pt>
                <c:pt idx="97">
                  <c:v>6.6555778240733872E+19</c:v>
                </c:pt>
                <c:pt idx="98">
                  <c:v>6.6650559574629319E+19</c:v>
                </c:pt>
                <c:pt idx="99">
                  <c:v>6.6744856182258336E+19</c:v>
                </c:pt>
                <c:pt idx="100">
                  <c:v>6.6838670957444071E+19</c:v>
                </c:pt>
                <c:pt idx="101">
                  <c:v>6.6932006443399676E+19</c:v>
                </c:pt>
                <c:pt idx="102">
                  <c:v>6.7024864847227978E+19</c:v>
                </c:pt>
                <c:pt idx="103">
                  <c:v>6.7117248053967585E+19</c:v>
                </c:pt>
                <c:pt idx="104">
                  <c:v>6.7209157640200421E+19</c:v>
                </c:pt>
                <c:pt idx="105">
                  <c:v>6.730059488723275E+19</c:v>
                </c:pt>
                <c:pt idx="106">
                  <c:v>6.7391560793861423E+19</c:v>
                </c:pt>
                <c:pt idx="107">
                  <c:v>6.7482056088739217E+19</c:v>
                </c:pt>
                <c:pt idx="108">
                  <c:v>6.7572081242347733E+19</c:v>
                </c:pt>
                <c:pt idx="109">
                  <c:v>6.7661636478593335E+19</c:v>
                </c:pt>
                <c:pt idx="110">
                  <c:v>6.7750721786031768E+19</c:v>
                </c:pt>
                <c:pt idx="111">
                  <c:v>6.7839336928738509E+19</c:v>
                </c:pt>
                <c:pt idx="112">
                  <c:v>6.7927481456829891E+19</c:v>
                </c:pt>
                <c:pt idx="113">
                  <c:v>6.80151547166469E+19</c:v>
                </c:pt>
                <c:pt idx="114">
                  <c:v>6.810235586061176E+19</c:v>
                </c:pt>
                <c:pt idx="115">
                  <c:v>6.81890838567685E+19</c:v>
                </c:pt>
                <c:pt idx="116">
                  <c:v>6.8275337498011599E+19</c:v>
                </c:pt>
                <c:pt idx="117">
                  <c:v>6.8361115411016876E+19</c:v>
                </c:pt>
                <c:pt idx="118">
                  <c:v>6.8446416064881656E+19</c:v>
                </c:pt>
                <c:pt idx="119">
                  <c:v>6.8531237779480871E+19</c:v>
                </c:pt>
                <c:pt idx="120">
                  <c:v>6.8615578733550305E+19</c:v>
                </c:pt>
                <c:pt idx="121">
                  <c:v>6.8699436972502614E+19</c:v>
                </c:pt>
                <c:pt idx="122">
                  <c:v>6.8782810415985099E+19</c:v>
                </c:pt>
                <c:pt idx="123">
                  <c:v>6.8865696865186316E+19</c:v>
                </c:pt>
                <c:pt idx="124">
                  <c:v>6.8948094009898893E+19</c:v>
                </c:pt>
                <c:pt idx="125">
                  <c:v>6.9029999435346018E+19</c:v>
                </c:pt>
                <c:pt idx="126">
                  <c:v>6.9111410628778459E+19</c:v>
                </c:pt>
                <c:pt idx="127">
                  <c:v>6.9192324985846596E+19</c:v>
                </c:pt>
                <c:pt idx="128">
                  <c:v>6.9272739816759853E+19</c:v>
                </c:pt>
                <c:pt idx="129">
                  <c:v>6.9352652352232096E+19</c:v>
                </c:pt>
                <c:pt idx="130">
                  <c:v>6.9432059749225529E+19</c:v>
                </c:pt>
                <c:pt idx="131">
                  <c:v>6.9510959096495669E+19</c:v>
                </c:pt>
                <c:pt idx="132">
                  <c:v>6.9589347419943797E+19</c:v>
                </c:pt>
                <c:pt idx="133">
                  <c:v>6.9667221687784767E+19</c:v>
                </c:pt>
                <c:pt idx="134">
                  <c:v>6.9744578815531057E+19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courbes!$O$1</c:f>
              <c:strCache>
                <c:ptCount val="1"/>
                <c:pt idx="0">
                  <c:v>O5 - Pu242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courbes!$O$2:$O$122</c:f>
              <c:numCache>
                <c:formatCode>0.0000E+00</c:formatCode>
                <c:ptCount val="121"/>
                <c:pt idx="0">
                  <c:v>5.1070699679853748E+19</c:v>
                </c:pt>
                <c:pt idx="1">
                  <c:v>5.1403038210650227E+19</c:v>
                </c:pt>
                <c:pt idx="2">
                  <c:v>5.1727025642489274E+19</c:v>
                </c:pt>
                <c:pt idx="3">
                  <c:v>5.2042943820107784E+19</c:v>
                </c:pt>
                <c:pt idx="4">
                  <c:v>5.2351065622197903E+19</c:v>
                </c:pt>
                <c:pt idx="5">
                  <c:v>5.2651655249050952E+19</c:v>
                </c:pt>
                <c:pt idx="6">
                  <c:v>5.2944968510201225E+19</c:v>
                </c:pt>
                <c:pt idx="7">
                  <c:v>5.3231253112069841E+19</c:v>
                </c:pt>
                <c:pt idx="8">
                  <c:v>5.3510748945608696E+19</c:v>
                </c:pt>
                <c:pt idx="9">
                  <c:v>5.3783688373944222E+19</c:v>
                </c:pt>
                <c:pt idx="10">
                  <c:v>5.4050296520021344E+19</c:v>
                </c:pt>
                <c:pt idx="11">
                  <c:v>5.431079155424727E+19</c:v>
                </c:pt>
                <c:pt idx="12">
                  <c:v>5.4565384982135439E+19</c:v>
                </c:pt>
                <c:pt idx="13">
                  <c:v>5.4814260506297049E+19</c:v>
                </c:pt>
                <c:pt idx="14">
                  <c:v>5.5057629186330255E+19</c:v>
                </c:pt>
                <c:pt idx="15">
                  <c:v>5.5295681088236462E+19</c:v>
                </c:pt>
                <c:pt idx="16">
                  <c:v>5.5528600046657716E+19</c:v>
                </c:pt>
                <c:pt idx="17">
                  <c:v>5.5756563866682458E+19</c:v>
                </c:pt>
                <c:pt idx="18">
                  <c:v>5.5979744525651198E+19</c:v>
                </c:pt>
                <c:pt idx="19">
                  <c:v>5.6198308374962225E+19</c:v>
                </c:pt>
                <c:pt idx="20">
                  <c:v>5.6412416341877375E+19</c:v>
                </c:pt>
                <c:pt idx="21">
                  <c:v>5.6622224131327672E+19</c:v>
                </c:pt>
                <c:pt idx="22">
                  <c:v>5.6827882427719123E+19</c:v>
                </c:pt>
                <c:pt idx="23">
                  <c:v>5.7029537096738398E+19</c:v>
                </c:pt>
                <c:pt idx="24">
                  <c:v>5.7227329387158503E+19</c:v>
                </c:pt>
                <c:pt idx="25">
                  <c:v>5.7421381101686874E+19</c:v>
                </c:pt>
                <c:pt idx="26">
                  <c:v>5.7611833292816613E+19</c:v>
                </c:pt>
                <c:pt idx="27">
                  <c:v>5.7798812344617558E+19</c:v>
                </c:pt>
                <c:pt idx="28">
                  <c:v>5.7982440328300675E+19</c:v>
                </c:pt>
                <c:pt idx="29">
                  <c:v>5.8162835143782515E+19</c:v>
                </c:pt>
                <c:pt idx="30">
                  <c:v>5.8340110661249786E+19</c:v>
                </c:pt>
                <c:pt idx="31">
                  <c:v>5.8514376862723817E+19</c:v>
                </c:pt>
                <c:pt idx="32">
                  <c:v>5.868573998362511E+19</c:v>
                </c:pt>
                <c:pt idx="33">
                  <c:v>5.885430265433781E+19</c:v>
                </c:pt>
                <c:pt idx="34">
                  <c:v>5.9020164041774268E+19</c:v>
                </c:pt>
                <c:pt idx="35">
                  <c:v>5.9183419990939501E+19</c:v>
                </c:pt>
                <c:pt idx="36">
                  <c:v>5.9344163166495744E+19</c:v>
                </c:pt>
                <c:pt idx="37">
                  <c:v>5.9502472640465789E+19</c:v>
                </c:pt>
                <c:pt idx="38">
                  <c:v>5.9658441061338784E+19</c:v>
                </c:pt>
                <c:pt idx="39">
                  <c:v>5.9812150839716348E+19</c:v>
                </c:pt>
                <c:pt idx="40">
                  <c:v>5.9963681418726294E+19</c:v>
                </c:pt>
                <c:pt idx="41">
                  <c:v>6.0113109373273948E+19</c:v>
                </c:pt>
                <c:pt idx="42">
                  <c:v>6.026050850929324E+19</c:v>
                </c:pt>
                <c:pt idx="43">
                  <c:v>6.0405949962998071E+19</c:v>
                </c:pt>
                <c:pt idx="44">
                  <c:v>6.0549502300133417E+19</c:v>
                </c:pt>
                <c:pt idx="45">
                  <c:v>6.0691231615226561E+19</c:v>
                </c:pt>
                <c:pt idx="46">
                  <c:v>6.0831201630838391E+19</c:v>
                </c:pt>
                <c:pt idx="47">
                  <c:v>6.0969473796814529E+19</c:v>
                </c:pt>
                <c:pt idx="48">
                  <c:v>6.1106107389536633E+19</c:v>
                </c:pt>
                <c:pt idx="49">
                  <c:v>6.1241152194658583E+19</c:v>
                </c:pt>
                <c:pt idx="50">
                  <c:v>6.1374667598933328E+19</c:v>
                </c:pt>
                <c:pt idx="51">
                  <c:v>6.1506705855702352E+19</c:v>
                </c:pt>
                <c:pt idx="52">
                  <c:v>6.1637317193449054E+19</c:v>
                </c:pt>
                <c:pt idx="53">
                  <c:v>6.1766549885304979E+19</c:v>
                </c:pt>
                <c:pt idx="54">
                  <c:v>6.1894450318556054E+19</c:v>
                </c:pt>
                <c:pt idx="55">
                  <c:v>6.2021063064148836E+19</c:v>
                </c:pt>
                <c:pt idx="56">
                  <c:v>6.2146430946196824E+19</c:v>
                </c:pt>
                <c:pt idx="57">
                  <c:v>6.2270595111486513E+19</c:v>
                </c:pt>
                <c:pt idx="58">
                  <c:v>6.2393595098983842E+19</c:v>
                </c:pt>
                <c:pt idx="59">
                  <c:v>6.2515468909340328E+19</c:v>
                </c:pt>
                <c:pt idx="60">
                  <c:v>6.2636253074399281E+19</c:v>
                </c:pt>
                <c:pt idx="61">
                  <c:v>6.275597751085985E+19</c:v>
                </c:pt>
                <c:pt idx="62">
                  <c:v>6.2874678946464039E+19</c:v>
                </c:pt>
                <c:pt idx="63">
                  <c:v>6.2992389151244018E+19</c:v>
                </c:pt>
                <c:pt idx="64">
                  <c:v>6.3109138529718493E+19</c:v>
                </c:pt>
                <c:pt idx="65">
                  <c:v>6.3224956169474064E+19</c:v>
                </c:pt>
                <c:pt idx="66">
                  <c:v>6.3339869889746371E+19</c:v>
                </c:pt>
                <c:pt idx="67">
                  <c:v>6.3453906290001322E+19</c:v>
                </c:pt>
                <c:pt idx="68">
                  <c:v>6.3567090798516355E+19</c:v>
                </c:pt>
                <c:pt idx="69">
                  <c:v>6.3679447720961647E+19</c:v>
                </c:pt>
                <c:pt idx="70">
                  <c:v>6.3791000288981393E+19</c:v>
                </c:pt>
                <c:pt idx="71">
                  <c:v>6.3901770708774896E+19</c:v>
                </c:pt>
                <c:pt idx="72">
                  <c:v>6.4011780209677976E+19</c:v>
                </c:pt>
                <c:pt idx="73">
                  <c:v>6.4121045422194622E+19</c:v>
                </c:pt>
                <c:pt idx="74">
                  <c:v>6.42295878259224E+19</c:v>
                </c:pt>
                <c:pt idx="75">
                  <c:v>6.4337425467452604E+19</c:v>
                </c:pt>
                <c:pt idx="76">
                  <c:v>6.4444575487855272E+19</c:v>
                </c:pt>
                <c:pt idx="77">
                  <c:v>6.4551054156531876E+19</c:v>
                </c:pt>
                <c:pt idx="78">
                  <c:v>6.4656876905067708E+19</c:v>
                </c:pt>
                <c:pt idx="79">
                  <c:v>6.4762058361084551E+19</c:v>
                </c:pt>
                <c:pt idx="80">
                  <c:v>6.4866612382093066E+19</c:v>
                </c:pt>
                <c:pt idx="81">
                  <c:v>6.4970552089345352E+19</c:v>
                </c:pt>
                <c:pt idx="82">
                  <c:v>6.5073889901687562E+19</c:v>
                </c:pt>
                <c:pt idx="83">
                  <c:v>6.517663756941226E+19</c:v>
                </c:pt>
                <c:pt idx="84">
                  <c:v>6.5278806208111084E+19</c:v>
                </c:pt>
                <c:pt idx="85">
                  <c:v>6.5380403748300882E+19</c:v>
                </c:pt>
                <c:pt idx="86">
                  <c:v>6.5481441586761097E+19</c:v>
                </c:pt>
                <c:pt idx="87">
                  <c:v>6.5581928755328508E+19</c:v>
                </c:pt>
                <c:pt idx="88">
                  <c:v>6.5681873699958014E+19</c:v>
                </c:pt>
                <c:pt idx="89">
                  <c:v>6.578128430420453E+19</c:v>
                </c:pt>
                <c:pt idx="90">
                  <c:v>6.5880167912704991E+19</c:v>
                </c:pt>
                <c:pt idx="91">
                  <c:v>6.5978531354660282E+19</c:v>
                </c:pt>
                <c:pt idx="92">
                  <c:v>6.6076380967317217E+19</c:v>
                </c:pt>
                <c:pt idx="93">
                  <c:v>6.617372261945054E+19</c:v>
                </c:pt>
                <c:pt idx="94">
                  <c:v>6.6270561734844867E+19</c:v>
                </c:pt>
                <c:pt idx="95">
                  <c:v>6.6366903315776627E+19</c:v>
                </c:pt>
                <c:pt idx="96">
                  <c:v>6.6462751966496096E+19</c:v>
                </c:pt>
                <c:pt idx="97">
                  <c:v>6.6558110097062633E+19</c:v>
                </c:pt>
                <c:pt idx="98">
                  <c:v>6.6652982606448599E+19</c:v>
                </c:pt>
                <c:pt idx="99">
                  <c:v>6.6747372776208253E+19</c:v>
                </c:pt>
                <c:pt idx="100">
                  <c:v>6.6841283522829304E+19</c:v>
                </c:pt>
                <c:pt idx="101">
                  <c:v>6.6934717413913403E+19</c:v>
                </c:pt>
                <c:pt idx="102">
                  <c:v>6.702767668435642E+19</c:v>
                </c:pt>
                <c:pt idx="103">
                  <c:v>6.7120163252528923E+19</c:v>
                </c:pt>
                <c:pt idx="104">
                  <c:v>6.7212178736456516E+19</c:v>
                </c:pt>
                <c:pt idx="105">
                  <c:v>6.7303724470000222E+19</c:v>
                </c:pt>
                <c:pt idx="106">
                  <c:v>6.7394801519036891E+19</c:v>
                </c:pt>
                <c:pt idx="107">
                  <c:v>6.7485410697639608E+19</c:v>
                </c:pt>
                <c:pt idx="108">
                  <c:v>6.7575552584257995E+19</c:v>
                </c:pt>
                <c:pt idx="109">
                  <c:v>6.7665226257032962E+19</c:v>
                </c:pt>
                <c:pt idx="110">
                  <c:v>6.7754432589992894E+19</c:v>
                </c:pt>
                <c:pt idx="111">
                  <c:v>6.7843171362121875E+19</c:v>
                </c:pt>
                <c:pt idx="112">
                  <c:v>6.7931442138596557E+19</c:v>
                </c:pt>
                <c:pt idx="113">
                  <c:v>6.801924428182877E+19</c:v>
                </c:pt>
                <c:pt idx="114">
                  <c:v>6.8106576962508055E+19</c:v>
                </c:pt>
                <c:pt idx="115">
                  <c:v>6.8193439170644181E+19</c:v>
                </c:pt>
                <c:pt idx="116">
                  <c:v>6.8279829726609826E+19</c:v>
                </c:pt>
                <c:pt idx="117">
                  <c:v>6.8365747292182995E+19</c:v>
                </c:pt>
                <c:pt idx="118">
                  <c:v>6.8451190381589643E+19</c:v>
                </c:pt>
                <c:pt idx="119">
                  <c:v>6.8536157372546245E+19</c:v>
                </c:pt>
                <c:pt idx="120">
                  <c:v>6.8620646517302395E+19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courbes!$AJ$1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courbes!$AJ$2:$AJ$51</c:f>
              <c:numCache>
                <c:formatCode>0.0000E+00</c:formatCode>
                <c:ptCount val="50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courbes!$AV$1</c:f>
              <c:strCache>
                <c:ptCount val="1"/>
                <c:pt idx="0">
                  <c:v>VESTA - Pu242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courbes!$AV$2:$AV$8</c:f>
              <c:numCache>
                <c:formatCode>0.0000E+00</c:formatCode>
                <c:ptCount val="7"/>
                <c:pt idx="0">
                  <c:v>5.1070699679853748E+19</c:v>
                </c:pt>
                <c:pt idx="1">
                  <c:v>5.1691620040703025E+19</c:v>
                </c:pt>
                <c:pt idx="2">
                  <c:v>5.2873093505096802E+19</c:v>
                </c:pt>
                <c:pt idx="3">
                  <c:v>5.5149801494877528E+19</c:v>
                </c:pt>
                <c:pt idx="4">
                  <c:v>5.837513781373354E+19</c:v>
                </c:pt>
                <c:pt idx="5">
                  <c:v>6.5765814886620176E+19</c:v>
                </c:pt>
                <c:pt idx="6">
                  <c:v>7.5148611450564936E+19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courbes!$F$1</c:f>
              <c:strCache>
                <c:ptCount val="1"/>
                <c:pt idx="0">
                  <c:v>RK1 - Pu242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courbes!$F$2:$F$136</c:f>
              <c:numCache>
                <c:formatCode>0.0000E+00</c:formatCode>
                <c:ptCount val="135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64416"/>
        <c:axId val="85566208"/>
      </c:scatterChart>
      <c:valAx>
        <c:axId val="8556441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85566208"/>
        <c:crosses val="autoZero"/>
        <c:crossBetween val="midCat"/>
      </c:valAx>
      <c:valAx>
        <c:axId val="85566208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855644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courbes!$AB$1</c:f>
              <c:strCache>
                <c:ptCount val="1"/>
                <c:pt idx="0">
                  <c:v> Exact Simpl. - Am241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courbes!$AB$2:$AB$136</c:f>
              <c:numCache>
                <c:formatCode>0.0000E+00</c:formatCode>
                <c:ptCount val="135"/>
                <c:pt idx="0">
                  <c:v>3.2520680334545175E+19</c:v>
                </c:pt>
                <c:pt idx="1">
                  <c:v>3.2531438086477447E+19</c:v>
                </c:pt>
                <c:pt idx="2">
                  <c:v>3.2536002227588538E+19</c:v>
                </c:pt>
                <c:pt idx="3">
                  <c:v>3.2534718099636453E+19</c:v>
                </c:pt>
                <c:pt idx="4">
                  <c:v>3.2527917164369732E+19</c:v>
                </c:pt>
                <c:pt idx="5">
                  <c:v>3.2515917484860047E+19</c:v>
                </c:pt>
                <c:pt idx="6">
                  <c:v>3.2499024191312675E+19</c:v>
                </c:pt>
                <c:pt idx="7">
                  <c:v>3.2477529931837759E+19</c:v>
                </c:pt>
                <c:pt idx="8">
                  <c:v>3.245171530864744E+19</c:v>
                </c:pt>
                <c:pt idx="9">
                  <c:v>3.2421849300135911E+19</c:v>
                </c:pt>
                <c:pt idx="10">
                  <c:v>3.2388189669278155E+19</c:v>
                </c:pt>
                <c:pt idx="11">
                  <c:v>3.2350983358775943E+19</c:v>
                </c:pt>
                <c:pt idx="12">
                  <c:v>3.231046687336294E+19</c:v>
                </c:pt>
                <c:pt idx="13">
                  <c:v>3.2266866649670263E+19</c:v>
                </c:pt>
                <c:pt idx="14">
                  <c:v>3.2220399414039675E+19</c:v>
                </c:pt>
                <c:pt idx="15">
                  <c:v>3.2171272528662151E+19</c:v>
                </c:pt>
                <c:pt idx="16">
                  <c:v>3.2119684326404997E+19</c:v>
                </c:pt>
                <c:pt idx="17">
                  <c:v>3.2065824434683339E+19</c:v>
                </c:pt>
                <c:pt idx="18">
                  <c:v>3.2009874088717091E+19</c:v>
                </c:pt>
                <c:pt idx="19">
                  <c:v>3.1952006434506555E+19</c:v>
                </c:pt>
                <c:pt idx="20">
                  <c:v>3.1892386821849555E+19</c:v>
                </c:pt>
                <c:pt idx="21">
                  <c:v>3.1831173087711117E+19</c:v>
                </c:pt>
                <c:pt idx="22">
                  <c:v>3.176851583024989E+19</c:v>
                </c:pt>
                <c:pt idx="23">
                  <c:v>3.1704558673793942E+19</c:v>
                </c:pt>
                <c:pt idx="24">
                  <c:v>3.1639438525051093E+19</c:v>
                </c:pt>
                <c:pt idx="25">
                  <c:v>3.1573285820829344E+19</c:v>
                </c:pt>
                <c:pt idx="26">
                  <c:v>3.1506224767534465E+19</c:v>
                </c:pt>
                <c:pt idx="27">
                  <c:v>3.1438373572704698E+19</c:v>
                </c:pt>
                <c:pt idx="28">
                  <c:v>3.1369844668833554E+19</c:v>
                </c:pt>
                <c:pt idx="29">
                  <c:v>3.1300744929723171E+19</c:v>
                </c:pt>
                <c:pt idx="30">
                  <c:v>3.1231175879606321E+19</c:v>
                </c:pt>
                <c:pt idx="31">
                  <c:v>3.1161233895263445E+19</c:v>
                </c:pt>
                <c:pt idx="32">
                  <c:v>3.1091010401358766E+19</c:v>
                </c:pt>
                <c:pt idx="33">
                  <c:v>3.1020592059208393E+19</c:v>
                </c:pt>
                <c:pt idx="34">
                  <c:v>3.0950060949190124E+19</c:v>
                </c:pt>
                <c:pt idx="35">
                  <c:v>3.0879494746996228E+19</c:v>
                </c:pt>
                <c:pt idx="36">
                  <c:v>3.0808966893925032E+19</c:v>
                </c:pt>
                <c:pt idx="37">
                  <c:v>3.07385467614005E+19</c:v>
                </c:pt>
                <c:pt idx="38">
                  <c:v>3.0668299809904476E+19</c:v>
                </c:pt>
                <c:pt idx="39">
                  <c:v>3.0598287742499062E+19</c:v>
                </c:pt>
                <c:pt idx="40">
                  <c:v>3.0528568653111886E+19</c:v>
                </c:pt>
                <c:pt idx="41">
                  <c:v>3.0459197169751212E+19</c:v>
                </c:pt>
                <c:pt idx="42">
                  <c:v>3.0390224592814137E+19</c:v>
                </c:pt>
                <c:pt idx="43">
                  <c:v>3.0321699028643447E+19</c:v>
                </c:pt>
                <c:pt idx="44">
                  <c:v>3.0253665518486462E+19</c:v>
                </c:pt>
                <c:pt idx="45">
                  <c:v>3.0186166163003269E+19</c:v>
                </c:pt>
                <c:pt idx="46">
                  <c:v>3.0119240242466505E+19</c:v>
                </c:pt>
                <c:pt idx="47">
                  <c:v>3.0052924332792742E+19</c:v>
                </c:pt>
                <c:pt idx="48">
                  <c:v>2.998725241753763E+19</c:v>
                </c:pt>
                <c:pt idx="49">
                  <c:v>2.9922255995987214E+19</c:v>
                </c:pt>
                <c:pt idx="50">
                  <c:v>2.9857964187469378E+19</c:v>
                </c:pt>
                <c:pt idx="51">
                  <c:v>2.9794403832009032E+19</c:v>
                </c:pt>
                <c:pt idx="52">
                  <c:v>2.9731599587444216E+19</c:v>
                </c:pt>
                <c:pt idx="53">
                  <c:v>2.9669574023118959E+19</c:v>
                </c:pt>
                <c:pt idx="54">
                  <c:v>2.9608347710262706E+19</c:v>
                </c:pt>
                <c:pt idx="55">
                  <c:v>2.9547939309164913E+19</c:v>
                </c:pt>
                <c:pt idx="56">
                  <c:v>2.9488365653248762E+19</c:v>
                </c:pt>
                <c:pt idx="57">
                  <c:v>2.9429641830144369E+19</c:v>
                </c:pt>
                <c:pt idx="58">
                  <c:v>2.9371781259860771E+19</c:v>
                </c:pt>
                <c:pt idx="59">
                  <c:v>2.9314795770150035E+19</c:v>
                </c:pt>
                <c:pt idx="60">
                  <c:v>2.9258695669155955E+19</c:v>
                </c:pt>
                <c:pt idx="61">
                  <c:v>2.9203489815436616E+19</c:v>
                </c:pt>
                <c:pt idx="62">
                  <c:v>2.9149185685446435E+19</c:v>
                </c:pt>
                <c:pt idx="63">
                  <c:v>2.9095789438561493E+19</c:v>
                </c:pt>
                <c:pt idx="64">
                  <c:v>2.9043305979728634E+19</c:v>
                </c:pt>
                <c:pt idx="65">
                  <c:v>2.8991739019817591E+19</c:v>
                </c:pt>
                <c:pt idx="66">
                  <c:v>2.8941091133750616E+19</c:v>
                </c:pt>
                <c:pt idx="67">
                  <c:v>2.889136381648461E+19</c:v>
                </c:pt>
                <c:pt idx="68">
                  <c:v>2.8842557536915423E+19</c:v>
                </c:pt>
                <c:pt idx="69">
                  <c:v>2.8794671789774832E+19</c:v>
                </c:pt>
                <c:pt idx="70">
                  <c:v>2.874770514558532E+19</c:v>
                </c:pt>
                <c:pt idx="71">
                  <c:v>2.8701655298738782E+19</c:v>
                </c:pt>
                <c:pt idx="72">
                  <c:v>2.8656519113760899E+19</c:v>
                </c:pt>
                <c:pt idx="73">
                  <c:v>2.8612292669822075E+19</c:v>
                </c:pt>
                <c:pt idx="74">
                  <c:v>2.8568971303553679E+19</c:v>
                </c:pt>
                <c:pt idx="75">
                  <c:v>2.8526549650226364E+19</c:v>
                </c:pt>
                <c:pt idx="76">
                  <c:v>2.8485021683345863E+19</c:v>
                </c:pt>
                <c:pt idx="77">
                  <c:v>2.8444380752718889E+19</c:v>
                </c:pt>
                <c:pt idx="78">
                  <c:v>2.8404619621041807E+19</c:v>
                </c:pt>
                <c:pt idx="79">
                  <c:v>2.8365730499060859E+19</c:v>
                </c:pt>
                <c:pt idx="80">
                  <c:v>2.8327705079353524E+19</c:v>
                </c:pt>
                <c:pt idx="81">
                  <c:v>2.8290534568776901E+19</c:v>
                </c:pt>
                <c:pt idx="82">
                  <c:v>2.8254209719629087E+19</c:v>
                </c:pt>
                <c:pt idx="83">
                  <c:v>2.8218720859567358E+19</c:v>
                </c:pt>
                <c:pt idx="84">
                  <c:v>2.8184057920325493E+19</c:v>
                </c:pt>
                <c:pt idx="85">
                  <c:v>2.8150210465271538E+19</c:v>
                </c:pt>
                <c:pt idx="86">
                  <c:v>2.8117167715845951E+19</c:v>
                </c:pt>
                <c:pt idx="87">
                  <c:v>2.8084918576918413E+19</c:v>
                </c:pt>
                <c:pt idx="88">
                  <c:v>2.8053451661101142E+19</c:v>
                </c:pt>
                <c:pt idx="89">
                  <c:v>2.8022755312054051E+19</c:v>
                </c:pt>
                <c:pt idx="90">
                  <c:v>2.7992817626817683E+19</c:v>
                </c:pt>
                <c:pt idx="91">
                  <c:v>2.7963626477207003E+19</c:v>
                </c:pt>
                <c:pt idx="92">
                  <c:v>2.7935169530299236E+19</c:v>
                </c:pt>
                <c:pt idx="93">
                  <c:v>2.7907434268047266E+19</c:v>
                </c:pt>
                <c:pt idx="94">
                  <c:v>2.7880408006049378E+19</c:v>
                </c:pt>
                <c:pt idx="95">
                  <c:v>2.7854077911504904E+19</c:v>
                </c:pt>
                <c:pt idx="96">
                  <c:v>2.7828431020384694E+19</c:v>
                </c:pt>
                <c:pt idx="97">
                  <c:v>2.7803454253844066E+19</c:v>
                </c:pt>
                <c:pt idx="98">
                  <c:v>2.7779134433905164E+19</c:v>
                </c:pt>
                <c:pt idx="99">
                  <c:v>2.7755458298434707E+19</c:v>
                </c:pt>
                <c:pt idx="100">
                  <c:v>2.7732412515442426E+19</c:v>
                </c:pt>
                <c:pt idx="101">
                  <c:v>2.7709983696724394E+19</c:v>
                </c:pt>
                <c:pt idx="102">
                  <c:v>2.7688158410874962E+19</c:v>
                </c:pt>
                <c:pt idx="103">
                  <c:v>2.7666923195689878E+19</c:v>
                </c:pt>
                <c:pt idx="104">
                  <c:v>2.7646264569982939E+19</c:v>
                </c:pt>
                <c:pt idx="105">
                  <c:v>2.7626169044837147E+19</c:v>
                </c:pt>
                <c:pt idx="106">
                  <c:v>2.7606623134311199E+19</c:v>
                </c:pt>
                <c:pt idx="107">
                  <c:v>2.7587613365621391E+19</c:v>
                </c:pt>
                <c:pt idx="108">
                  <c:v>2.7569126288817783E+19</c:v>
                </c:pt>
                <c:pt idx="109">
                  <c:v>2.7551148485973688E+19</c:v>
                </c:pt>
                <c:pt idx="110">
                  <c:v>2.7533666579906404E+19</c:v>
                </c:pt>
                <c:pt idx="111">
                  <c:v>2.7516667242446529E+19</c:v>
                </c:pt>
                <c:pt idx="112">
                  <c:v>2.7500137202272711E+19</c:v>
                </c:pt>
                <c:pt idx="113">
                  <c:v>2.7484063252328317E+19</c:v>
                </c:pt>
                <c:pt idx="114">
                  <c:v>2.7468432256835736E+19</c:v>
                </c:pt>
                <c:pt idx="115">
                  <c:v>2.7453231157923131E+19</c:v>
                </c:pt>
                <c:pt idx="116">
                  <c:v>2.7438446981879136E+19</c:v>
                </c:pt>
                <c:pt idx="117">
                  <c:v>2.7424066845048938E+19</c:v>
                </c:pt>
                <c:pt idx="118">
                  <c:v>2.7410077959386149E+19</c:v>
                </c:pt>
                <c:pt idx="119">
                  <c:v>2.7396467637673103E+19</c:v>
                </c:pt>
                <c:pt idx="120">
                  <c:v>2.7383223298423202E+19</c:v>
                </c:pt>
                <c:pt idx="121">
                  <c:v>2.7370332470476947E+19</c:v>
                </c:pt>
                <c:pt idx="122">
                  <c:v>2.7357782797304185E+19</c:v>
                </c:pt>
                <c:pt idx="123">
                  <c:v>2.734556204102393E+19</c:v>
                </c:pt>
                <c:pt idx="124">
                  <c:v>2.7333658086152905E+19</c:v>
                </c:pt>
                <c:pt idx="125">
                  <c:v>2.7322058943093834E+19</c:v>
                </c:pt>
                <c:pt idx="126">
                  <c:v>2.7310752751373668E+19</c:v>
                </c:pt>
                <c:pt idx="127">
                  <c:v>2.729972778264209E+19</c:v>
                </c:pt>
                <c:pt idx="128">
                  <c:v>2.7288972443439608E+19</c:v>
                </c:pt>
                <c:pt idx="129">
                  <c:v>2.7278475277745439E+19</c:v>
                </c:pt>
                <c:pt idx="130">
                  <c:v>2.7268224969313133E+19</c:v>
                </c:pt>
                <c:pt idx="131">
                  <c:v>2.7258210343803888E+19</c:v>
                </c:pt>
                <c:pt idx="132">
                  <c:v>2.7248420370725061E+19</c:v>
                </c:pt>
                <c:pt idx="133">
                  <c:v>2.7238844165182804E+19</c:v>
                </c:pt>
                <c:pt idx="134">
                  <c:v>2.7229470989455905E+19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courbes!$P$1</c:f>
              <c:strCache>
                <c:ptCount val="1"/>
                <c:pt idx="0">
                  <c:v>O5 - Am241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courbes!$P$2:$P$122</c:f>
              <c:numCache>
                <c:formatCode>0.0000E+00</c:formatCode>
                <c:ptCount val="121"/>
                <c:pt idx="0">
                  <c:v>3.2520680334545068E+19</c:v>
                </c:pt>
                <c:pt idx="1">
                  <c:v>3.2531438086500602E+19</c:v>
                </c:pt>
                <c:pt idx="2">
                  <c:v>3.2536002229100179E+19</c:v>
                </c:pt>
                <c:pt idx="3">
                  <c:v>3.2534718116800365E+19</c:v>
                </c:pt>
                <c:pt idx="4">
                  <c:v>3.2527917260325671E+19</c:v>
                </c:pt>
                <c:pt idx="5">
                  <c:v>3.2515917849021063E+19</c:v>
                </c:pt>
                <c:pt idx="6">
                  <c:v>3.2499025273204437E+19</c:v>
                </c:pt>
                <c:pt idx="7">
                  <c:v>3.2477532646519136E+19</c:v>
                </c:pt>
                <c:pt idx="8">
                  <c:v>3.2451721328286433E+19</c:v>
                </c:pt>
                <c:pt idx="9">
                  <c:v>3.2421861445858046E+19</c:v>
                </c:pt>
                <c:pt idx="10">
                  <c:v>3.238821241696861E+19</c:v>
                </c:pt>
                <c:pt idx="11">
                  <c:v>3.2351023472088191E+19</c:v>
                </c:pt>
                <c:pt idx="12">
                  <c:v>3.2310534176774779E+19</c:v>
                </c:pt>
                <c:pt idx="13">
                  <c:v>3.2266931951070454E+19</c:v>
                </c:pt>
                <c:pt idx="14">
                  <c:v>3.2220462806552199E+19</c:v>
                </c:pt>
                <c:pt idx="15">
                  <c:v>3.2171334118576828E+19</c:v>
                </c:pt>
                <c:pt idx="16">
                  <c:v>3.2119744258704642E+19</c:v>
                </c:pt>
                <c:pt idx="17">
                  <c:v>3.206588294657373E+19</c:v>
                </c:pt>
                <c:pt idx="18">
                  <c:v>3.2009931601774174E+19</c:v>
                </c:pt>
                <c:pt idx="19">
                  <c:v>3.195206369572234E+19</c:v>
                </c:pt>
                <c:pt idx="20">
                  <c:v>3.189244510353517E+19</c:v>
                </c:pt>
                <c:pt idx="21">
                  <c:v>3.1831234455904383E+19</c:v>
                </c:pt>
                <c:pt idx="22">
                  <c:v>3.176858349097078E+19</c:v>
                </c:pt>
                <c:pt idx="23">
                  <c:v>3.1704637406198501E+19</c:v>
                </c:pt>
                <c:pt idx="24">
                  <c:v>3.1639535210249282E+19</c:v>
                </c:pt>
                <c:pt idx="25">
                  <c:v>3.1573380656958255E+19</c:v>
                </c:pt>
                <c:pt idx="26">
                  <c:v>3.150631800119543E+19</c:v>
                </c:pt>
                <c:pt idx="27">
                  <c:v>3.1438465469479817E+19</c:v>
                </c:pt>
                <c:pt idx="28">
                  <c:v>3.1369935530901938E+19</c:v>
                </c:pt>
                <c:pt idx="29">
                  <c:v>3.1300835132535149E+19</c:v>
                </c:pt>
                <c:pt idx="30">
                  <c:v>3.1231265934846951E+19</c:v>
                </c:pt>
                <c:pt idx="31">
                  <c:v>3.1161324547110334E+19</c:v>
                </c:pt>
                <c:pt idx="32">
                  <c:v>3.1091102762815099E+19</c:v>
                </c:pt>
                <c:pt idx="33">
                  <c:v>3.1020687795079184E+19</c:v>
                </c:pt>
                <c:pt idx="34">
                  <c:v>3.0950162512059998E+19</c:v>
                </c:pt>
                <c:pt idx="35">
                  <c:v>3.0879605672365724E+19</c:v>
                </c:pt>
                <c:pt idx="36">
                  <c:v>3.0809092160466678E+19</c:v>
                </c:pt>
                <c:pt idx="37">
                  <c:v>3.0738673164120076E+19</c:v>
                </c:pt>
                <c:pt idx="38">
                  <c:v>3.0668427828409905E+19</c:v>
                </c:pt>
                <c:pt idx="39">
                  <c:v>3.0598417880107106E+19</c:v>
                </c:pt>
                <c:pt idx="40">
                  <c:v>3.0528701448736838E+19</c:v>
                </c:pt>
                <c:pt idx="41">
                  <c:v>3.0459333222714343E+19</c:v>
                </c:pt>
                <c:pt idx="42">
                  <c:v>3.0390364605480862E+19</c:v>
                </c:pt>
                <c:pt idx="43">
                  <c:v>3.0321843871639638E+19</c:v>
                </c:pt>
                <c:pt idx="44">
                  <c:v>3.0253816323091755E+19</c:v>
                </c:pt>
                <c:pt idx="45">
                  <c:v>3.0186324445172134E+19</c:v>
                </c:pt>
                <c:pt idx="46">
                  <c:v>3.0119408062785434E+19</c:v>
                </c:pt>
                <c:pt idx="47">
                  <c:v>3.0053104496541983E+19</c:v>
                </c:pt>
                <c:pt idx="48">
                  <c:v>2.9987448718893703E+19</c:v>
                </c:pt>
                <c:pt idx="49">
                  <c:v>2.9922459889353515E+19</c:v>
                </c:pt>
                <c:pt idx="50">
                  <c:v>2.9858176432813711E+19</c:v>
                </c:pt>
                <c:pt idx="51">
                  <c:v>2.9794625214403756E+19</c:v>
                </c:pt>
                <c:pt idx="52">
                  <c:v>2.9731830924882604E+19</c:v>
                </c:pt>
                <c:pt idx="53">
                  <c:v>2.9669816183050772E+19</c:v>
                </c:pt>
                <c:pt idx="54">
                  <c:v>2.9608601638162412E+19</c:v>
                </c:pt>
                <c:pt idx="55">
                  <c:v>2.9548206072337441E+19</c:v>
                </c:pt>
                <c:pt idx="56">
                  <c:v>2.9488646502973608E+19</c:v>
                </c:pt>
                <c:pt idx="57">
                  <c:v>2.9429938285158572E+19</c:v>
                </c:pt>
                <c:pt idx="58">
                  <c:v>2.9372095214082015E+19</c:v>
                </c:pt>
                <c:pt idx="59">
                  <c:v>2.9315129627447718E+19</c:v>
                </c:pt>
                <c:pt idx="60">
                  <c:v>2.9259052507885666E+19</c:v>
                </c:pt>
                <c:pt idx="61">
                  <c:v>2.9203864381665047E+19</c:v>
                </c:pt>
                <c:pt idx="62">
                  <c:v>2.9149579022299845E+19</c:v>
                </c:pt>
                <c:pt idx="63">
                  <c:v>2.9096202612237042E+19</c:v>
                </c:pt>
                <c:pt idx="64">
                  <c:v>2.9043740084474556E+19</c:v>
                </c:pt>
                <c:pt idx="65">
                  <c:v>2.8992195188764041E+19</c:v>
                </c:pt>
                <c:pt idx="66">
                  <c:v>2.8941570557813686E+19</c:v>
                </c:pt>
                <c:pt idx="67">
                  <c:v>2.8891867773491024E+19</c:v>
                </c:pt>
                <c:pt idx="68">
                  <c:v>2.8843087433025741E+19</c:v>
                </c:pt>
                <c:pt idx="69">
                  <c:v>2.8795229215212483E+19</c:v>
                </c:pt>
                <c:pt idx="70">
                  <c:v>2.8748291946613641E+19</c:v>
                </c:pt>
                <c:pt idx="71">
                  <c:v>2.8702273667762192E+19</c:v>
                </c:pt>
                <c:pt idx="72">
                  <c:v>2.8657171699364463E+19</c:v>
                </c:pt>
                <c:pt idx="73">
                  <c:v>2.8612976527908012E+19</c:v>
                </c:pt>
                <c:pt idx="74">
                  <c:v>2.8569687724351353E+19</c:v>
                </c:pt>
                <c:pt idx="75">
                  <c:v>2.8527299942410707E+19</c:v>
                </c:pt>
                <c:pt idx="76">
                  <c:v>2.8485807177089118E+19</c:v>
                </c:pt>
                <c:pt idx="77">
                  <c:v>2.8445202806640751E+19</c:v>
                </c:pt>
                <c:pt idx="78">
                  <c:v>2.8405479634535158E+19</c:v>
                </c:pt>
                <c:pt idx="79">
                  <c:v>2.8366629931421598E+19</c:v>
                </c:pt>
                <c:pt idx="80">
                  <c:v>2.8328645477093319E+19</c:v>
                </c:pt>
                <c:pt idx="81">
                  <c:v>2.8291517602451825E+19</c:v>
                </c:pt>
                <c:pt idx="82">
                  <c:v>2.8255237231471215E+19</c:v>
                </c:pt>
                <c:pt idx="83">
                  <c:v>2.8219794923162419E+19</c:v>
                </c:pt>
                <c:pt idx="84">
                  <c:v>2.8185180913537544E+19</c:v>
                </c:pt>
                <c:pt idx="85">
                  <c:v>2.8151381039278285E+19</c:v>
                </c:pt>
                <c:pt idx="86">
                  <c:v>2.8118387345578435E+19</c:v>
                </c:pt>
                <c:pt idx="87">
                  <c:v>2.8086188749629649E+19</c:v>
                </c:pt>
                <c:pt idx="88">
                  <c:v>2.8054773878144205E+19</c:v>
                </c:pt>
                <c:pt idx="89">
                  <c:v>2.8024131093233676E+19</c:v>
                </c:pt>
                <c:pt idx="90">
                  <c:v>2.7994248518287573E+19</c:v>
                </c:pt>
                <c:pt idx="91">
                  <c:v>2.7965114063851999E+19</c:v>
                </c:pt>
                <c:pt idx="92">
                  <c:v>2.7936715453508301E+19</c:v>
                </c:pt>
                <c:pt idx="93">
                  <c:v>2.7909040249751736E+19</c:v>
                </c:pt>
                <c:pt idx="94">
                  <c:v>2.788207587987012E+19</c:v>
                </c:pt>
                <c:pt idx="95">
                  <c:v>2.7855809661822476E+19</c:v>
                </c:pt>
                <c:pt idx="96">
                  <c:v>2.7830228830117704E+19</c:v>
                </c:pt>
                <c:pt idx="97">
                  <c:v>2.780531784469479E+19</c:v>
                </c:pt>
                <c:pt idx="98">
                  <c:v>2.7781065390016774E+19</c:v>
                </c:pt>
                <c:pt idx="99">
                  <c:v>2.7757458209656992E+19</c:v>
                </c:pt>
                <c:pt idx="100">
                  <c:v>2.7734482978298253E+19</c:v>
                </c:pt>
                <c:pt idx="101">
                  <c:v>2.7712126317054501E+19</c:v>
                </c:pt>
                <c:pt idx="102">
                  <c:v>2.7690374808792449E+19</c:v>
                </c:pt>
                <c:pt idx="103">
                  <c:v>2.7669215013453222E+19</c:v>
                </c:pt>
                <c:pt idx="104">
                  <c:v>2.7648633483373974E+19</c:v>
                </c:pt>
                <c:pt idx="105">
                  <c:v>2.7628616778609574E+19</c:v>
                </c:pt>
                <c:pt idx="106">
                  <c:v>2.7609151482254205E+19</c:v>
                </c:pt>
                <c:pt idx="107">
                  <c:v>2.759022421576301E+19</c:v>
                </c:pt>
                <c:pt idx="108">
                  <c:v>2.7571821654273769E+19</c:v>
                </c:pt>
                <c:pt idx="109">
                  <c:v>2.755392877245064E+19</c:v>
                </c:pt>
                <c:pt idx="110">
                  <c:v>2.7536533403336753E+19</c:v>
                </c:pt>
                <c:pt idx="111">
                  <c:v>2.7519622218138608E+19</c:v>
                </c:pt>
                <c:pt idx="112">
                  <c:v>2.7503181945383694E+19</c:v>
                </c:pt>
                <c:pt idx="113">
                  <c:v>2.748719937941409E+19</c:v>
                </c:pt>
                <c:pt idx="114">
                  <c:v>2.747166138888013E+19</c:v>
                </c:pt>
                <c:pt idx="115">
                  <c:v>2.7456554925233979E+19</c:v>
                </c:pt>
                <c:pt idx="116">
                  <c:v>2.7441867031223325E+19</c:v>
                </c:pt>
                <c:pt idx="117">
                  <c:v>2.7427584849384944E+19</c:v>
                </c:pt>
                <c:pt idx="118">
                  <c:v>2.7413695630538355E+19</c:v>
                </c:pt>
                <c:pt idx="119">
                  <c:v>2.7400186742279467E+19</c:v>
                </c:pt>
                <c:pt idx="120">
                  <c:v>2.7387045677474169E+19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courbes!$AK$1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courbes!$AK$2:$AK$51</c:f>
              <c:numCache>
                <c:formatCode>0.0000E+00</c:formatCode>
                <c:ptCount val="50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courbes!$AW$1</c:f>
              <c:strCache>
                <c:ptCount val="1"/>
                <c:pt idx="0">
                  <c:v>VESTA - Am241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courbes!$AW$2:$AW$8</c:f>
              <c:numCache>
                <c:formatCode>0.0000E+00</c:formatCode>
                <c:ptCount val="7"/>
                <c:pt idx="0">
                  <c:v>3.2520680334545068E+19</c:v>
                </c:pt>
                <c:pt idx="1">
                  <c:v>3.2520680334545068E+19</c:v>
                </c:pt>
                <c:pt idx="2">
                  <c:v>3.2494808671589978E+19</c:v>
                </c:pt>
                <c:pt idx="3">
                  <c:v>3.2305083143252664E+19</c:v>
                </c:pt>
                <c:pt idx="4">
                  <c:v>3.1761778221195825E+19</c:v>
                </c:pt>
                <c:pt idx="5">
                  <c:v>2.9916266263732916E+19</c:v>
                </c:pt>
                <c:pt idx="6">
                  <c:v>2.9269474689855726E+19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courbes!$G$1</c:f>
              <c:strCache>
                <c:ptCount val="1"/>
                <c:pt idx="0">
                  <c:v>RK1 - Am241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courbes!$G$2:$G$136</c:f>
              <c:numCache>
                <c:formatCode>0.0000E+00</c:formatCode>
                <c:ptCount val="135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97568"/>
        <c:axId val="85628032"/>
      </c:scatterChart>
      <c:valAx>
        <c:axId val="8559756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85628032"/>
        <c:crosses val="autoZero"/>
        <c:crossBetween val="midCat"/>
      </c:valAx>
      <c:valAx>
        <c:axId val="85628032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855975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courbes!$AC$1</c:f>
              <c:strCache>
                <c:ptCount val="1"/>
                <c:pt idx="0">
                  <c:v> Exact Simpl. - U235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courbes!$AC$2:$AC$136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8.7053382330057064E+19</c:v>
                </c:pt>
                <c:pt idx="2">
                  <c:v>8.5209347666220237E+19</c:v>
                </c:pt>
                <c:pt idx="3">
                  <c:v>8.3404374825720037E+19</c:v>
                </c:pt>
                <c:pt idx="4">
                  <c:v>8.1637636369640964E+19</c:v>
                </c:pt>
                <c:pt idx="5">
                  <c:v>7.9908322386543198E+19</c:v>
                </c:pt>
                <c:pt idx="6">
                  <c:v>7.8215640121181553E+19</c:v>
                </c:pt>
                <c:pt idx="7">
                  <c:v>7.6558813611089199E+19</c:v>
                </c:pt>
                <c:pt idx="8">
                  <c:v>7.493708333085945E+19</c:v>
                </c:pt>
                <c:pt idx="9">
                  <c:v>7.3349705843962864E+19</c:v>
                </c:pt>
                <c:pt idx="10">
                  <c:v>7.1795953461939675E+19</c:v>
                </c:pt>
                <c:pt idx="11">
                  <c:v>7.0275113910811517E+19</c:v>
                </c:pt>
                <c:pt idx="12">
                  <c:v>6.878649000455952E+19</c:v>
                </c:pt>
                <c:pt idx="13">
                  <c:v>6.7329399325519053E+19</c:v>
                </c:pt>
                <c:pt idx="14">
                  <c:v>6.5903173911544521E+19</c:v>
                </c:pt>
                <c:pt idx="15">
                  <c:v>6.4507159949801021E+19</c:v>
                </c:pt>
                <c:pt idx="16">
                  <c:v>6.3140717477042233E+19</c:v>
                </c:pt>
                <c:pt idx="17">
                  <c:v>6.1803220086237323E+19</c:v>
                </c:pt>
                <c:pt idx="18">
                  <c:v>6.0494054639412314E+19</c:v>
                </c:pt>
                <c:pt idx="19">
                  <c:v>5.9212620986574242E+19</c:v>
                </c:pt>
                <c:pt idx="20">
                  <c:v>5.7958331690589307E+19</c:v>
                </c:pt>
                <c:pt idx="21">
                  <c:v>5.6730611757888913E+19</c:v>
                </c:pt>
                <c:pt idx="22">
                  <c:v>5.5528898374880059E+19</c:v>
                </c:pt>
                <c:pt idx="23">
                  <c:v>5.4352640649939304E+19</c:v>
                </c:pt>
                <c:pt idx="24">
                  <c:v>5.3201299360872022E+19</c:v>
                </c:pt>
                <c:pt idx="25">
                  <c:v>5.2074346707721232E+19</c:v>
                </c:pt>
                <c:pt idx="26">
                  <c:v>5.0971266070812557E+19</c:v>
                </c:pt>
                <c:pt idx="27">
                  <c:v>4.9891551773924458E+19</c:v>
                </c:pt>
                <c:pt idx="28">
                  <c:v>4.8834708852475322E+19</c:v>
                </c:pt>
                <c:pt idx="29">
                  <c:v>4.7800252826620822E+19</c:v>
                </c:pt>
                <c:pt idx="30">
                  <c:v>4.6787709479157817E+19</c:v>
                </c:pt>
                <c:pt idx="31">
                  <c:v>4.5796614638132847E+19</c:v>
                </c:pt>
                <c:pt idx="32">
                  <c:v>4.4826513964055585E+19</c:v>
                </c:pt>
                <c:pt idx="33">
                  <c:v>4.3876962741619704E+19</c:v>
                </c:pt>
                <c:pt idx="34">
                  <c:v>4.2947525675835679E+19</c:v>
                </c:pt>
                <c:pt idx="35">
                  <c:v>4.2037776692482064E+19</c:v>
                </c:pt>
                <c:pt idx="36">
                  <c:v>4.1147298742783795E+19</c:v>
                </c:pt>
                <c:pt idx="37">
                  <c:v>4.0275683612227936E+19</c:v>
                </c:pt>
                <c:pt idx="38">
                  <c:v>3.9422531733429191E+19</c:v>
                </c:pt>
                <c:pt idx="39">
                  <c:v>3.8587452002959606E+19</c:v>
                </c:pt>
                <c:pt idx="40">
                  <c:v>3.7770061602058101E+19</c:v>
                </c:pt>
                <c:pt idx="41">
                  <c:v>3.69699858211381E+19</c:v>
                </c:pt>
                <c:pt idx="42">
                  <c:v>3.6186857888012456E+19</c:v>
                </c:pt>
                <c:pt idx="43">
                  <c:v>3.5420318799757042E+19</c:v>
                </c:pt>
                <c:pt idx="44">
                  <c:v>3.4670017158136033E+19</c:v>
                </c:pt>
                <c:pt idx="45">
                  <c:v>3.393560900851327E+19</c:v>
                </c:pt>
                <c:pt idx="46">
                  <c:v>3.3216757682175943E+19</c:v>
                </c:pt>
                <c:pt idx="47">
                  <c:v>3.251313364199834E+19</c:v>
                </c:pt>
                <c:pt idx="48">
                  <c:v>3.1824414331374805E+19</c:v>
                </c:pt>
                <c:pt idx="49">
                  <c:v>3.1150284026352775E+19</c:v>
                </c:pt>
                <c:pt idx="50">
                  <c:v>3.0490433690898047E+19</c:v>
                </c:pt>
                <c:pt idx="51">
                  <c:v>2.9844560835225891E+19</c:v>
                </c:pt>
                <c:pt idx="52">
                  <c:v>2.9212369377133162E+19</c:v>
                </c:pt>
                <c:pt idx="53">
                  <c:v>2.8593569506267722E+19</c:v>
                </c:pt>
                <c:pt idx="54">
                  <c:v>2.7987877551273116E+19</c:v>
                </c:pt>
                <c:pt idx="55">
                  <c:v>2.7395015849747378E+19</c:v>
                </c:pt>
                <c:pt idx="56">
                  <c:v>2.681471262095657E+19</c:v>
                </c:pt>
                <c:pt idx="57">
                  <c:v>2.6246701841244516E+19</c:v>
                </c:pt>
                <c:pt idx="58">
                  <c:v>2.5690723122081833E+19</c:v>
                </c:pt>
                <c:pt idx="59">
                  <c:v>2.5146521590698074E+19</c:v>
                </c:pt>
                <c:pt idx="60">
                  <c:v>2.4613847773242532E+19</c:v>
                </c:pt>
                <c:pt idx="61">
                  <c:v>2.4092457480419983E+19</c:v>
                </c:pt>
                <c:pt idx="62">
                  <c:v>2.3582111695548965E+19</c:v>
                </c:pt>
                <c:pt idx="63">
                  <c:v>2.3082576464991371E+19</c:v>
                </c:pt>
                <c:pt idx="64">
                  <c:v>2.2593622790902915E+19</c:v>
                </c:pt>
                <c:pt idx="65">
                  <c:v>2.2115026526255616E+19</c:v>
                </c:pt>
                <c:pt idx="66">
                  <c:v>2.1646568272083845E+19</c:v>
                </c:pt>
                <c:pt idx="67">
                  <c:v>2.118803327690709E+19</c:v>
                </c:pt>
                <c:pt idx="68">
                  <c:v>2.073921133828318E+19</c:v>
                </c:pt>
                <c:pt idx="69">
                  <c:v>2.0299896706446901E+19</c:v>
                </c:pt>
                <c:pt idx="70">
                  <c:v>1.9869887989989822E+19</c:v>
                </c:pt>
                <c:pt idx="71">
                  <c:v>1.9448988063538082E+19</c:v>
                </c:pt>
                <c:pt idx="72">
                  <c:v>1.9037003977385812E+19</c:v>
                </c:pt>
                <c:pt idx="73">
                  <c:v>1.8633746869042786E+19</c:v>
                </c:pt>
                <c:pt idx="74">
                  <c:v>1.8239031876655733E+19</c:v>
                </c:pt>
                <c:pt idx="75">
                  <c:v>1.785267805426364E+19</c:v>
                </c:pt>
                <c:pt idx="76">
                  <c:v>1.7474508288848167E+19</c:v>
                </c:pt>
                <c:pt idx="77">
                  <c:v>1.7104349219141188E+19</c:v>
                </c:pt>
                <c:pt idx="78">
                  <c:v>1.6742031156152195E+19</c:v>
                </c:pt>
                <c:pt idx="79">
                  <c:v>1.6387388005379164E+19</c:v>
                </c:pt>
                <c:pt idx="80">
                  <c:v>1.6040257190667223E+19</c:v>
                </c:pt>
                <c:pt idx="81">
                  <c:v>1.570047957968018E+19</c:v>
                </c:pt>
                <c:pt idx="82">
                  <c:v>1.5367899410950814E+19</c:v>
                </c:pt>
                <c:pt idx="83">
                  <c:v>1.5042364222476397E+19</c:v>
                </c:pt>
                <c:pt idx="84">
                  <c:v>1.4723724781826793E+19</c:v>
                </c:pt>
                <c:pt idx="85">
                  <c:v>1.4411835017733075E+19</c:v>
                </c:pt>
                <c:pt idx="86">
                  <c:v>1.4106551953125243E+19</c:v>
                </c:pt>
                <c:pt idx="87">
                  <c:v>1.3807735639588434E+19</c:v>
                </c:pt>
                <c:pt idx="88">
                  <c:v>1.3515249093207515E+19</c:v>
                </c:pt>
                <c:pt idx="89">
                  <c:v>1.3228958231770661E+19</c:v>
                </c:pt>
                <c:pt idx="90">
                  <c:v>1.2948731813303153E+19</c:v>
                </c:pt>
                <c:pt idx="91">
                  <c:v>1.2674441375903187E+19</c:v>
                </c:pt>
                <c:pt idx="92">
                  <c:v>1.2405961178852149E+19</c:v>
                </c:pt>
                <c:pt idx="93">
                  <c:v>1.2143168144972313E+19</c:v>
                </c:pt>
                <c:pt idx="94">
                  <c:v>1.1885941804205576E+19</c:v>
                </c:pt>
                <c:pt idx="95">
                  <c:v>1.1634164238387382E+19</c:v>
                </c:pt>
                <c:pt idx="96">
                  <c:v>1.1387720027190438E+19</c:v>
                </c:pt>
                <c:pt idx="97">
                  <c:v>1.1146496195213521E+19</c:v>
                </c:pt>
                <c:pt idx="98">
                  <c:v>1.0910382160191103E+19</c:v>
                </c:pt>
                <c:pt idx="99">
                  <c:v>1.0679269682300021E+19</c:v>
                </c:pt>
                <c:pt idx="100">
                  <c:v>1.0453052814539979E+19</c:v>
                </c:pt>
                <c:pt idx="101">
                  <c:v>1.0231627854165137E+19</c:v>
                </c:pt>
                <c:pt idx="102">
                  <c:v>1.0014893295144511E+19</c:v>
                </c:pt>
                <c:pt idx="103">
                  <c:v>9.8027497816293908E+18</c:v>
                </c:pt>
                <c:pt idx="104">
                  <c:v>9.5951000624064573E+18</c:v>
                </c:pt>
                <c:pt idx="105">
                  <c:v>9.39184894631569E+18</c:v>
                </c:pt>
                <c:pt idx="106">
                  <c:v>9.1929032586126889E+18</c:v>
                </c:pt>
                <c:pt idx="107">
                  <c:v>8.9981717982553221E+18</c:v>
                </c:pt>
                <c:pt idx="108">
                  <c:v>8.8075652960951798E+18</c:v>
                </c:pt>
                <c:pt idx="109">
                  <c:v>8.6209963739546542E+18</c:v>
                </c:pt>
                <c:pt idx="110">
                  <c:v>8.438379504570879E+18</c:v>
                </c:pt>
                <c:pt idx="111">
                  <c:v>8.2596309723881574E+18</c:v>
                </c:pt>
                <c:pt idx="112">
                  <c:v>8.0846688351809382E+18</c:v>
                </c:pt>
                <c:pt idx="113">
                  <c:v>7.9134128864897004E+18</c:v>
                </c:pt>
                <c:pt idx="114">
                  <c:v>7.7457846188525732E+18</c:v>
                </c:pt>
                <c:pt idx="115">
                  <c:v>7.5817071878157957E+18</c:v>
                </c:pt>
                <c:pt idx="116">
                  <c:v>7.4211053767065457E+18</c:v>
                </c:pt>
                <c:pt idx="117">
                  <c:v>7.263905562151979E+18</c:v>
                </c:pt>
                <c:pt idx="118">
                  <c:v>7.1100356803286692E+18</c:v>
                </c:pt>
                <c:pt idx="119">
                  <c:v>6.9594251939269734E+18</c:v>
                </c:pt>
                <c:pt idx="120">
                  <c:v>6.8120050598151987E+18</c:v>
                </c:pt>
                <c:pt idx="121">
                  <c:v>6.6677076973887191E+18</c:v>
                </c:pt>
                <c:pt idx="122">
                  <c:v>6.5264669575895603E+18</c:v>
                </c:pt>
                <c:pt idx="123">
                  <c:v>6.3882180925822147E+18</c:v>
                </c:pt>
                <c:pt idx="124">
                  <c:v>6.2528977260718408E+18</c:v>
                </c:pt>
                <c:pt idx="125">
                  <c:v>6.1204438242511667E+18</c:v>
                </c:pt>
                <c:pt idx="126">
                  <c:v>5.990795667362858E+18</c:v>
                </c:pt>
                <c:pt idx="127">
                  <c:v>5.8638938218642452E+18</c:v>
                </c:pt>
                <c:pt idx="128">
                  <c:v>5.739680113181696E+18</c:v>
                </c:pt>
                <c:pt idx="129">
                  <c:v>5.6180975990421228E+18</c:v>
                </c:pt>
                <c:pt idx="130">
                  <c:v>5.4990905433693972E+18</c:v>
                </c:pt>
                <c:pt idx="131">
                  <c:v>5.3826043907337267E+18</c:v>
                </c:pt>
                <c:pt idx="132">
                  <c:v>5.2685857413422469E+18</c:v>
                </c:pt>
                <c:pt idx="133">
                  <c:v>5.1569823265593948E+18</c:v>
                </c:pt>
                <c:pt idx="134">
                  <c:v>5.0477429849458299E+18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courbes!$Q$1</c:f>
              <c:strCache>
                <c:ptCount val="1"/>
                <c:pt idx="0">
                  <c:v>O5 - U235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courbes!$Q$2:$Q$122</c:f>
              <c:numCache>
                <c:formatCode>0.0000E+00</c:formatCode>
                <c:ptCount val="121"/>
                <c:pt idx="0">
                  <c:v>8.8937324162937733E+19</c:v>
                </c:pt>
                <c:pt idx="1">
                  <c:v>8.7058541148012282E+19</c:v>
                </c:pt>
                <c:pt idx="2">
                  <c:v>8.5219547583508103E+19</c:v>
                </c:pt>
                <c:pt idx="3">
                  <c:v>8.3419500516275012E+19</c:v>
                </c:pt>
                <c:pt idx="4">
                  <c:v>8.1657574833394631E+19</c:v>
                </c:pt>
                <c:pt idx="5">
                  <c:v>7.9932962863074492E+19</c:v>
                </c:pt>
                <c:pt idx="6">
                  <c:v>7.8244873975541776E+19</c:v>
                </c:pt>
                <c:pt idx="7">
                  <c:v>7.6592534183937196E+19</c:v>
                </c:pt>
                <c:pt idx="8">
                  <c:v>7.4975185745208984E+19</c:v>
                </c:pt>
                <c:pt idx="9">
                  <c:v>7.3392086761006711E+19</c:v>
                </c:pt>
                <c:pt idx="10">
                  <c:v>7.18425107785752E+19</c:v>
                </c:pt>
                <c:pt idx="11">
                  <c:v>7.0325746391648403E+19</c:v>
                </c:pt>
                <c:pt idx="12">
                  <c:v>6.8841096841343312E+19</c:v>
                </c:pt>
                <c:pt idx="13">
                  <c:v>6.7387901249598177E+19</c:v>
                </c:pt>
                <c:pt idx="14">
                  <c:v>6.5965478990608884E+19</c:v>
                </c:pt>
                <c:pt idx="15">
                  <c:v>6.4573178126032019E+19</c:v>
                </c:pt>
                <c:pt idx="16">
                  <c:v>6.3210360515172794E+19</c:v>
                </c:pt>
                <c:pt idx="17">
                  <c:v>6.1876401506314822E+19</c:v>
                </c:pt>
                <c:pt idx="18">
                  <c:v>6.0570689628049744E+19</c:v>
                </c:pt>
                <c:pt idx="19">
                  <c:v>5.9292626280606876E+19</c:v>
                </c:pt>
                <c:pt idx="20">
                  <c:v>5.8041625427182952E+19</c:v>
                </c:pt>
                <c:pt idx="21">
                  <c:v>5.681711328527174E+19</c:v>
                </c:pt>
                <c:pt idx="22">
                  <c:v>5.5618528017993736E+19</c:v>
                </c:pt>
                <c:pt idx="23">
                  <c:v>5.4445319425425826E+19</c:v>
                </c:pt>
                <c:pt idx="24">
                  <c:v>5.3296948635930984E+19</c:v>
                </c:pt>
                <c:pt idx="25">
                  <c:v>5.2172904528232202E+19</c:v>
                </c:pt>
                <c:pt idx="26">
                  <c:v>5.107266070793642E+19</c:v>
                </c:pt>
                <c:pt idx="27">
                  <c:v>4.999571296762241E+19</c:v>
                </c:pt>
                <c:pt idx="28">
                  <c:v>4.8941567770968441E+19</c:v>
                </c:pt>
                <c:pt idx="29">
                  <c:v>4.7909742014025605E+19</c:v>
                </c:pt>
                <c:pt idx="30">
                  <c:v>4.6899762786491023E+19</c:v>
                </c:pt>
                <c:pt idx="31">
                  <c:v>4.5911167132981182E+19</c:v>
                </c:pt>
                <c:pt idx="32">
                  <c:v>4.494350181430512E+19</c:v>
                </c:pt>
                <c:pt idx="33">
                  <c:v>4.3996323068737815E+19</c:v>
                </c:pt>
                <c:pt idx="34">
                  <c:v>4.3069196373293335E+19</c:v>
                </c:pt>
                <c:pt idx="35">
                  <c:v>4.216169620499814E+19</c:v>
                </c:pt>
                <c:pt idx="36">
                  <c:v>4.1273405802164421E+19</c:v>
                </c:pt>
                <c:pt idx="37">
                  <c:v>4.0403929865323635E+19</c:v>
                </c:pt>
                <c:pt idx="38">
                  <c:v>3.9552861282606506E+19</c:v>
                </c:pt>
                <c:pt idx="39">
                  <c:v>3.8719810101606212E+19</c:v>
                </c:pt>
                <c:pt idx="40">
                  <c:v>3.7904394622932607E+19</c:v>
                </c:pt>
                <c:pt idx="41">
                  <c:v>3.710624121558034E+19</c:v>
                </c:pt>
                <c:pt idx="42">
                  <c:v>3.6324984132296843E+19</c:v>
                </c:pt>
                <c:pt idx="43">
                  <c:v>3.5560265324950516E+19</c:v>
                </c:pt>
                <c:pt idx="44">
                  <c:v>3.4811734259898708E+19</c:v>
                </c:pt>
                <c:pt idx="45">
                  <c:v>3.4079047733355815E+19</c:v>
                </c:pt>
                <c:pt idx="46">
                  <c:v>3.3361869686761353E+19</c:v>
                </c:pt>
                <c:pt idx="47">
                  <c:v>3.2659871022148022E+19</c:v>
                </c:pt>
                <c:pt idx="48">
                  <c:v>3.1972729417509753E+19</c:v>
                </c:pt>
                <c:pt idx="49">
                  <c:v>3.1300139149779128E+19</c:v>
                </c:pt>
                <c:pt idx="50">
                  <c:v>3.0641785360041153E+19</c:v>
                </c:pt>
                <c:pt idx="51">
                  <c:v>2.999736646054366E+19</c:v>
                </c:pt>
                <c:pt idx="52">
                  <c:v>2.9366587246400373E+19</c:v>
                </c:pt>
                <c:pt idx="53">
                  <c:v>2.874915875279618E+19</c:v>
                </c:pt>
                <c:pt idx="54">
                  <c:v>2.8144798112192434E+19</c:v>
                </c:pt>
                <c:pt idx="55">
                  <c:v>2.7553228411532259E+19</c:v>
                </c:pt>
                <c:pt idx="56">
                  <c:v>2.6974178549445833E+19</c:v>
                </c:pt>
                <c:pt idx="57">
                  <c:v>2.6407383093455684E+19</c:v>
                </c:pt>
                <c:pt idx="58">
                  <c:v>2.585258213718197E+19</c:v>
                </c:pt>
                <c:pt idx="59">
                  <c:v>2.5309521157547827E+19</c:v>
                </c:pt>
                <c:pt idx="60">
                  <c:v>2.4777950871984574E+19</c:v>
                </c:pt>
                <c:pt idx="61">
                  <c:v>2.4257634835576541E+19</c:v>
                </c:pt>
                <c:pt idx="62">
                  <c:v>2.3748329537637671E+19</c:v>
                </c:pt>
                <c:pt idx="63">
                  <c:v>2.3249801731416486E+19</c:v>
                </c:pt>
                <c:pt idx="64">
                  <c:v>2.2761823106650128E+19</c:v>
                </c:pt>
                <c:pt idx="65">
                  <c:v>2.2284170179126759E+19</c:v>
                </c:pt>
                <c:pt idx="66">
                  <c:v>2.1816624180248011E+19</c:v>
                </c:pt>
                <c:pt idx="67">
                  <c:v>2.1358970946591379E+19</c:v>
                </c:pt>
                <c:pt idx="68">
                  <c:v>2.0911000809472659E+19</c:v>
                </c:pt>
                <c:pt idx="69">
                  <c:v>2.0472508484508369E+19</c:v>
                </c:pt>
                <c:pt idx="70">
                  <c:v>2.0043292961178141E+19</c:v>
                </c:pt>
                <c:pt idx="71">
                  <c:v>1.9623157392387215E+19</c:v>
                </c:pt>
                <c:pt idx="72">
                  <c:v>1.9211908984028762E+19</c:v>
                </c:pt>
                <c:pt idx="73">
                  <c:v>1.8809364870653096E+19</c:v>
                </c:pt>
                <c:pt idx="74">
                  <c:v>1.8415336722063604E+19</c:v>
                </c:pt>
                <c:pt idx="75">
                  <c:v>1.8029644146195816E+19</c:v>
                </c:pt>
                <c:pt idx="76">
                  <c:v>1.7652110568845099E+19</c:v>
                </c:pt>
                <c:pt idx="77">
                  <c:v>1.7282563148254206E+19</c:v>
                </c:pt>
                <c:pt idx="78">
                  <c:v>1.6920832689700876E+19</c:v>
                </c:pt>
                <c:pt idx="79">
                  <c:v>1.6566753560085393E+19</c:v>
                </c:pt>
                <c:pt idx="80">
                  <c:v>1.6220163602518149E+19</c:v>
                </c:pt>
                <c:pt idx="81">
                  <c:v>1.588090405090722E+19</c:v>
                </c:pt>
                <c:pt idx="82">
                  <c:v>1.554881944454595E+19</c:v>
                </c:pt>
                <c:pt idx="83">
                  <c:v>1.5223757542700495E+19</c:v>
                </c:pt>
                <c:pt idx="84">
                  <c:v>1.4905569239197424E+19</c:v>
                </c:pt>
                <c:pt idx="85">
                  <c:v>1.4594113106690859E+19</c:v>
                </c:pt>
                <c:pt idx="86">
                  <c:v>1.4289243491340442E+19</c:v>
                </c:pt>
                <c:pt idx="87">
                  <c:v>1.3990820878654276E+19</c:v>
                </c:pt>
                <c:pt idx="88">
                  <c:v>1.3698708706853534E+19</c:v>
                </c:pt>
                <c:pt idx="89">
                  <c:v>1.3412773300814555E+19</c:v>
                </c:pt>
                <c:pt idx="90">
                  <c:v>1.3132883806010974E+19</c:v>
                </c:pt>
                <c:pt idx="91">
                  <c:v>1.2858912122455824E+19</c:v>
                </c:pt>
                <c:pt idx="92">
                  <c:v>1.2590732838643671E+19</c:v>
                </c:pt>
                <c:pt idx="93">
                  <c:v>1.2328223165492701E+19</c:v>
                </c:pt>
                <c:pt idx="94">
                  <c:v>1.2071262870286868E+19</c:v>
                </c:pt>
                <c:pt idx="95">
                  <c:v>1.1819734210617989E+19</c:v>
                </c:pt>
                <c:pt idx="96">
                  <c:v>1.1573521868327852E+19</c:v>
                </c:pt>
                <c:pt idx="97">
                  <c:v>1.1332516464059711E+19</c:v>
                </c:pt>
                <c:pt idx="98">
                  <c:v>1.1096605349643246E+19</c:v>
                </c:pt>
                <c:pt idx="99">
                  <c:v>1.0865680625072339E+19</c:v>
                </c:pt>
                <c:pt idx="100">
                  <c:v>1.0639636673950966E+19</c:v>
                </c:pt>
                <c:pt idx="101">
                  <c:v>1.041837011240414E+19</c:v>
                </c:pt>
                <c:pt idx="102">
                  <c:v>1.0201779737988913E+19</c:v>
                </c:pt>
                <c:pt idx="103">
                  <c:v>9.9897664786053448E+18</c:v>
                </c:pt>
                <c:pt idx="104">
                  <c:v>9.7822333414074634E+18</c:v>
                </c:pt>
                <c:pt idx="105">
                  <c:v>9.5790853617142702E+18</c:v>
                </c:pt>
                <c:pt idx="106">
                  <c:v>9.380229551920681E+18</c:v>
                </c:pt>
                <c:pt idx="107">
                  <c:v>9.1855748504085309E+18</c:v>
                </c:pt>
                <c:pt idx="108">
                  <c:v>8.9950320704575355E+18</c:v>
                </c:pt>
                <c:pt idx="109">
                  <c:v>8.8085166184078367E+18</c:v>
                </c:pt>
                <c:pt idx="110">
                  <c:v>8.6259413724692152E+18</c:v>
                </c:pt>
                <c:pt idx="111">
                  <c:v>8.4472228830710344E+18</c:v>
                </c:pt>
                <c:pt idx="112">
                  <c:v>8.2722794667704658E+18</c:v>
                </c:pt>
                <c:pt idx="113">
                  <c:v>8.101031166740396E+18</c:v>
                </c:pt>
                <c:pt idx="114">
                  <c:v>7.9333997132573573E+18</c:v>
                </c:pt>
                <c:pt idx="115">
                  <c:v>7.769308484189438E+18</c:v>
                </c:pt>
                <c:pt idx="116">
                  <c:v>7.608682465484202E+18</c:v>
                </c:pt>
                <c:pt idx="117">
                  <c:v>7.4514482116566221E+18</c:v>
                </c:pt>
                <c:pt idx="118">
                  <c:v>7.2975338062769848E+18</c:v>
                </c:pt>
                <c:pt idx="119">
                  <c:v>7.1468688224588145E+18</c:v>
                </c:pt>
                <c:pt idx="120">
                  <c:v>6.9993842833467976E+18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courbes!$AM$1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courbes!$AM$2:$AM$51</c:f>
              <c:numCache>
                <c:formatCode>0.0000E+00</c:formatCode>
                <c:ptCount val="50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courbes!$AP$1</c:f>
              <c:strCache>
                <c:ptCount val="1"/>
                <c:pt idx="0">
                  <c:v>VESTA - U235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courbes!$AP$2:$AP$8</c:f>
              <c:numCache>
                <c:formatCode>0.0000E+00</c:formatCode>
                <c:ptCount val="7"/>
                <c:pt idx="0">
                  <c:v>8.8937324162937733E+19</c:v>
                </c:pt>
                <c:pt idx="1">
                  <c:v>8.58863158607495E+19</c:v>
                </c:pt>
                <c:pt idx="2">
                  <c:v>8.0086807161689129E+19</c:v>
                </c:pt>
                <c:pt idx="3">
                  <c:v>6.8945873163047076E+19</c:v>
                </c:pt>
                <c:pt idx="4">
                  <c:v>5.3561185406970372E+19</c:v>
                </c:pt>
                <c:pt idx="5">
                  <c:v>2.5168657722300748E+19</c:v>
                </c:pt>
                <c:pt idx="6">
                  <c:v>7.4529304786881649E+18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courbes!$H$1</c:f>
              <c:strCache>
                <c:ptCount val="1"/>
                <c:pt idx="0">
                  <c:v>RK1 - U235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courbes!$H$2:$H$136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659008"/>
        <c:axId val="85668992"/>
      </c:scatterChart>
      <c:valAx>
        <c:axId val="8565900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85668992"/>
        <c:crosses val="autoZero"/>
        <c:crossBetween val="midCat"/>
      </c:valAx>
      <c:valAx>
        <c:axId val="85668992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856590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courbes!$AD$1</c:f>
              <c:strCache>
                <c:ptCount val="1"/>
                <c:pt idx="0">
                  <c:v> Exact Simpl. - U238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courbes!$AD$2:$AD$136</c:f>
              <c:numCache>
                <c:formatCode>0.0000E+00</c:formatCode>
                <c:ptCount val="135"/>
                <c:pt idx="0">
                  <c:v>1.6799927091276066E+22</c:v>
                </c:pt>
                <c:pt idx="1">
                  <c:v>1.6752064971806066E+22</c:v>
                </c:pt>
                <c:pt idx="2">
                  <c:v>1.6704339209027838E+22</c:v>
                </c:pt>
                <c:pt idx="3">
                  <c:v>1.6656749414468249E+22</c:v>
                </c:pt>
                <c:pt idx="4">
                  <c:v>1.660929520076091E+22</c:v>
                </c:pt>
                <c:pt idx="5">
                  <c:v>1.6561976181643016E+22</c:v>
                </c:pt>
                <c:pt idx="6">
                  <c:v>1.6514791971952207E+22</c:v>
                </c:pt>
                <c:pt idx="7">
                  <c:v>1.6467742187623425E+22</c:v>
                </c:pt>
                <c:pt idx="8">
                  <c:v>1.6420826445685803E+22</c:v>
                </c:pt>
                <c:pt idx="9">
                  <c:v>1.6374044364259528E+22</c:v>
                </c:pt>
                <c:pt idx="10">
                  <c:v>1.6327395562552748E+22</c:v>
                </c:pt>
                <c:pt idx="11">
                  <c:v>1.6280879660858471E+22</c:v>
                </c:pt>
                <c:pt idx="12">
                  <c:v>1.6234496280551462E+22</c:v>
                </c:pt>
                <c:pt idx="13">
                  <c:v>1.6188245044085173E+22</c:v>
                </c:pt>
                <c:pt idx="14">
                  <c:v>1.6142125574988667E+22</c:v>
                </c:pt>
                <c:pt idx="15">
                  <c:v>1.6096137497863558E+22</c:v>
                </c:pt>
                <c:pt idx="16">
                  <c:v>1.6050280438380938E+22</c:v>
                </c:pt>
                <c:pt idx="17">
                  <c:v>1.6004554023278358E+22</c:v>
                </c:pt>
                <c:pt idx="18">
                  <c:v>1.5958957880356763E+22</c:v>
                </c:pt>
                <c:pt idx="19">
                  <c:v>1.5913491638477476E+22</c:v>
                </c:pt>
                <c:pt idx="20">
                  <c:v>1.5868154927559177E+22</c:v>
                </c:pt>
                <c:pt idx="21">
                  <c:v>1.5822947378574892E+22</c:v>
                </c:pt>
                <c:pt idx="22">
                  <c:v>1.5777868623548976E+22</c:v>
                </c:pt>
                <c:pt idx="23">
                  <c:v>1.5732918295554135E+22</c:v>
                </c:pt>
                <c:pt idx="24">
                  <c:v>1.5688096028708431E+22</c:v>
                </c:pt>
                <c:pt idx="25">
                  <c:v>1.5643401458172304E+22</c:v>
                </c:pt>
                <c:pt idx="26">
                  <c:v>1.5598834220145595E+22</c:v>
                </c:pt>
                <c:pt idx="27">
                  <c:v>1.5554393951864609E+22</c:v>
                </c:pt>
                <c:pt idx="28">
                  <c:v>1.5510080291599131E+22</c:v>
                </c:pt>
                <c:pt idx="29">
                  <c:v>1.5465892878649506E+22</c:v>
                </c:pt>
                <c:pt idx="30">
                  <c:v>1.5421831353343691E+22</c:v>
                </c:pt>
                <c:pt idx="31">
                  <c:v>1.5377895357034325E+22</c:v>
                </c:pt>
                <c:pt idx="32">
                  <c:v>1.5334084532095821E+22</c:v>
                </c:pt>
                <c:pt idx="33">
                  <c:v>1.5290398521921443E+22</c:v>
                </c:pt>
                <c:pt idx="34">
                  <c:v>1.5246836970920421E+22</c:v>
                </c:pt>
                <c:pt idx="35">
                  <c:v>1.5203399524515026E+22</c:v>
                </c:pt>
                <c:pt idx="36">
                  <c:v>1.5160085829137721E+22</c:v>
                </c:pt>
                <c:pt idx="37">
                  <c:v>1.5116895532228253E+22</c:v>
                </c:pt>
                <c:pt idx="38">
                  <c:v>1.5073828282230796E+22</c:v>
                </c:pt>
                <c:pt idx="39">
                  <c:v>1.5030883728591096E+22</c:v>
                </c:pt>
                <c:pt idx="40">
                  <c:v>1.4988061521753596E+22</c:v>
                </c:pt>
                <c:pt idx="41">
                  <c:v>1.4945361313158622E+22</c:v>
                </c:pt>
                <c:pt idx="42">
                  <c:v>1.4902782755239511E+22</c:v>
                </c:pt>
                <c:pt idx="43">
                  <c:v>1.4860325501419815E+22</c:v>
                </c:pt>
                <c:pt idx="44">
                  <c:v>1.4817989206110452E+22</c:v>
                </c:pt>
                <c:pt idx="45">
                  <c:v>1.4775773524706908E+22</c:v>
                </c:pt>
                <c:pt idx="46">
                  <c:v>1.4733678113586439E+22</c:v>
                </c:pt>
                <c:pt idx="47">
                  <c:v>1.4691702630105253E+22</c:v>
                </c:pt>
                <c:pt idx="48">
                  <c:v>1.4649846732595736E+22</c:v>
                </c:pt>
                <c:pt idx="49">
                  <c:v>1.4608110080363667E+22</c:v>
                </c:pt>
                <c:pt idx="50">
                  <c:v>1.4566492333685451E+22</c:v>
                </c:pt>
                <c:pt idx="51">
                  <c:v>1.4524993153805335E+22</c:v>
                </c:pt>
                <c:pt idx="52">
                  <c:v>1.4483612202932673E+22</c:v>
                </c:pt>
                <c:pt idx="53">
                  <c:v>1.4442349144239172E+22</c:v>
                </c:pt>
                <c:pt idx="54">
                  <c:v>1.4401203641856129E+22</c:v>
                </c:pt>
                <c:pt idx="55">
                  <c:v>1.4360175360871728E+22</c:v>
                </c:pt>
                <c:pt idx="56">
                  <c:v>1.4319263967328294E+22</c:v>
                </c:pt>
                <c:pt idx="57">
                  <c:v>1.4278469128219582E+22</c:v>
                </c:pt>
                <c:pt idx="58">
                  <c:v>1.4237790511488058E+22</c:v>
                </c:pt>
                <c:pt idx="59">
                  <c:v>1.4197227786022211E+22</c:v>
                </c:pt>
                <c:pt idx="60">
                  <c:v>1.4156780621653845E+22</c:v>
                </c:pt>
                <c:pt idx="61">
                  <c:v>1.4116448689155398E+22</c:v>
                </c:pt>
                <c:pt idx="62">
                  <c:v>1.407623166023726E+22</c:v>
                </c:pt>
                <c:pt idx="63">
                  <c:v>1.4036129207545097E+22</c:v>
                </c:pt>
                <c:pt idx="64">
                  <c:v>1.3996141004657198E+22</c:v>
                </c:pt>
                <c:pt idx="65">
                  <c:v>1.3956266726081801E+22</c:v>
                </c:pt>
                <c:pt idx="66">
                  <c:v>1.3916506047254465E+22</c:v>
                </c:pt>
                <c:pt idx="67">
                  <c:v>1.3876858644535404E+22</c:v>
                </c:pt>
                <c:pt idx="68">
                  <c:v>1.3837324195206875E+22</c:v>
                </c:pt>
                <c:pt idx="69">
                  <c:v>1.3797902377470535E+22</c:v>
                </c:pt>
                <c:pt idx="70">
                  <c:v>1.3758592870444826E+22</c:v>
                </c:pt>
                <c:pt idx="71">
                  <c:v>1.3719395354162374E+22</c:v>
                </c:pt>
                <c:pt idx="72">
                  <c:v>1.3680309509567365E+22</c:v>
                </c:pt>
                <c:pt idx="73">
                  <c:v>1.3641335018512965E+22</c:v>
                </c:pt>
                <c:pt idx="74">
                  <c:v>1.3602471563758727E+22</c:v>
                </c:pt>
                <c:pt idx="75">
                  <c:v>1.356371882896799E+22</c:v>
                </c:pt>
                <c:pt idx="76">
                  <c:v>1.352507649870534E+22</c:v>
                </c:pt>
                <c:pt idx="77">
                  <c:v>1.3486544258434008E+22</c:v>
                </c:pt>
                <c:pt idx="78">
                  <c:v>1.3448121794513326E+22</c:v>
                </c:pt>
                <c:pt idx="79">
                  <c:v>1.340980879419618E+22</c:v>
                </c:pt>
                <c:pt idx="80">
                  <c:v>1.3371604945626445E+22</c:v>
                </c:pt>
                <c:pt idx="81">
                  <c:v>1.333350993783647E+22</c:v>
                </c:pt>
                <c:pt idx="82">
                  <c:v>1.3295523460744521E+22</c:v>
                </c:pt>
                <c:pt idx="83">
                  <c:v>1.3257645205152281E+22</c:v>
                </c:pt>
                <c:pt idx="84">
                  <c:v>1.321987486274232E+22</c:v>
                </c:pt>
                <c:pt idx="85">
                  <c:v>1.318221212607559E+22</c:v>
                </c:pt>
                <c:pt idx="86">
                  <c:v>1.3144656688588916E+22</c:v>
                </c:pt>
                <c:pt idx="87">
                  <c:v>1.3107208244592506E+22</c:v>
                </c:pt>
                <c:pt idx="88">
                  <c:v>1.3069866489267473E+22</c:v>
                </c:pt>
                <c:pt idx="89">
                  <c:v>1.303263111866333E+22</c:v>
                </c:pt>
                <c:pt idx="90">
                  <c:v>1.2995501829695532E+22</c:v>
                </c:pt>
                <c:pt idx="91">
                  <c:v>1.2958478320143012E+22</c:v>
                </c:pt>
                <c:pt idx="92">
                  <c:v>1.2921560288645712E+22</c:v>
                </c:pt>
                <c:pt idx="93">
                  <c:v>1.2884747434702129E+22</c:v>
                </c:pt>
                <c:pt idx="94">
                  <c:v>1.2848039458666883E+22</c:v>
                </c:pt>
                <c:pt idx="95">
                  <c:v>1.2811436061748252E+22</c:v>
                </c:pt>
                <c:pt idx="96">
                  <c:v>1.2774936946005777E+22</c:v>
                </c:pt>
                <c:pt idx="97">
                  <c:v>1.2738541814347798E+22</c:v>
                </c:pt>
                <c:pt idx="98">
                  <c:v>1.2702250370529061E+22</c:v>
                </c:pt>
                <c:pt idx="99">
                  <c:v>1.2666062319148302E+22</c:v>
                </c:pt>
                <c:pt idx="100">
                  <c:v>1.2629977365645835E+22</c:v>
                </c:pt>
                <c:pt idx="101">
                  <c:v>1.2593995216301161E+22</c:v>
                </c:pt>
                <c:pt idx="102">
                  <c:v>1.2558115578230574E+22</c:v>
                </c:pt>
                <c:pt idx="103">
                  <c:v>1.2522338159384783E+22</c:v>
                </c:pt>
                <c:pt idx="104">
                  <c:v>1.2486662668546524E+22</c:v>
                </c:pt>
                <c:pt idx="105">
                  <c:v>1.2451088815328204E+22</c:v>
                </c:pt>
                <c:pt idx="106">
                  <c:v>1.2415616310169521E+22</c:v>
                </c:pt>
                <c:pt idx="107">
                  <c:v>1.2380244864335115E+22</c:v>
                </c:pt>
                <c:pt idx="108">
                  <c:v>1.2344974189912226E+22</c:v>
                </c:pt>
                <c:pt idx="109">
                  <c:v>1.2309803999808339E+22</c:v>
                </c:pt>
                <c:pt idx="110">
                  <c:v>1.2274734007748846E+22</c:v>
                </c:pt>
                <c:pt idx="111">
                  <c:v>1.2239763928274726E+22</c:v>
                </c:pt>
                <c:pt idx="112">
                  <c:v>1.2204893476740215E+22</c:v>
                </c:pt>
                <c:pt idx="113">
                  <c:v>1.2170122369310485E+22</c:v>
                </c:pt>
                <c:pt idx="114">
                  <c:v>1.2135450322959348E+22</c:v>
                </c:pt>
                <c:pt idx="115">
                  <c:v>1.2100877055466934E+22</c:v>
                </c:pt>
                <c:pt idx="116">
                  <c:v>1.2066402285417409E+22</c:v>
                </c:pt>
                <c:pt idx="117">
                  <c:v>1.2032025732196673E+22</c:v>
                </c:pt>
                <c:pt idx="118">
                  <c:v>1.1997747115990085E+22</c:v>
                </c:pt>
                <c:pt idx="119">
                  <c:v>1.196356615778018E+22</c:v>
                </c:pt>
                <c:pt idx="120">
                  <c:v>1.1929482579344399E+22</c:v>
                </c:pt>
                <c:pt idx="121">
                  <c:v>1.1895496103252822E+22</c:v>
                </c:pt>
                <c:pt idx="122">
                  <c:v>1.186160645286592E+22</c:v>
                </c:pt>
                <c:pt idx="123">
                  <c:v>1.1827813352332287E+22</c:v>
                </c:pt>
                <c:pt idx="124">
                  <c:v>1.179411652658641E+22</c:v>
                </c:pt>
                <c:pt idx="125">
                  <c:v>1.1760515701346417E+22</c:v>
                </c:pt>
                <c:pt idx="126">
                  <c:v>1.1727010603111857E+22</c:v>
                </c:pt>
                <c:pt idx="127">
                  <c:v>1.1693600959161463E+22</c:v>
                </c:pt>
                <c:pt idx="128">
                  <c:v>1.1660286497550942E+22</c:v>
                </c:pt>
                <c:pt idx="129">
                  <c:v>1.1627066947110749E+22</c:v>
                </c:pt>
                <c:pt idx="130">
                  <c:v>1.1593942037443891E+22</c:v>
                </c:pt>
                <c:pt idx="131">
                  <c:v>1.1560911498923727E+22</c:v>
                </c:pt>
                <c:pt idx="132">
                  <c:v>1.1527975062691755E+22</c:v>
                </c:pt>
                <c:pt idx="133">
                  <c:v>1.1495132460655447E+22</c:v>
                </c:pt>
                <c:pt idx="134">
                  <c:v>1.1462383425486059E+22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courbes!$R$1</c:f>
              <c:strCache>
                <c:ptCount val="1"/>
                <c:pt idx="0">
                  <c:v>O5 - U238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courbes!$R$2:$R$122</c:f>
              <c:numCache>
                <c:formatCode>0.0000E+00</c:formatCode>
                <c:ptCount val="121"/>
                <c:pt idx="0">
                  <c:v>1.6799927091276064E+22</c:v>
                </c:pt>
                <c:pt idx="1">
                  <c:v>1.675206497968709E+22</c:v>
                </c:pt>
                <c:pt idx="2">
                  <c:v>1.6704339224817908E+22</c:v>
                </c:pt>
                <c:pt idx="3">
                  <c:v>1.6656749438194034E+22</c:v>
                </c:pt>
                <c:pt idx="4">
                  <c:v>1.6609295232447757E+22</c:v>
                </c:pt>
                <c:pt idx="5">
                  <c:v>1.6561976221314947E+22</c:v>
                </c:pt>
                <c:pt idx="6">
                  <c:v>1.6514792019631901E+22</c:v>
                </c:pt>
                <c:pt idx="7">
                  <c:v>1.646774224333214E+22</c:v>
                </c:pt>
                <c:pt idx="8">
                  <c:v>1.6420826509443242E+22</c:v>
                </c:pt>
                <c:pt idx="9">
                  <c:v>1.637404443608366E+22</c:v>
                </c:pt>
                <c:pt idx="10">
                  <c:v>1.6327395642459575E+22</c:v>
                </c:pt>
                <c:pt idx="11">
                  <c:v>1.6280879748861668E+22</c:v>
                </c:pt>
                <c:pt idx="12">
                  <c:v>1.6234496376661975E+22</c:v>
                </c:pt>
                <c:pt idx="13">
                  <c:v>1.618824514833397E+22</c:v>
                </c:pt>
                <c:pt idx="14">
                  <c:v>1.6142125687390417E+22</c:v>
                </c:pt>
                <c:pt idx="15">
                  <c:v>1.6096137618432041E+22</c:v>
                </c:pt>
                <c:pt idx="16">
                  <c:v>1.6050280567129082E+22</c:v>
                </c:pt>
                <c:pt idx="17">
                  <c:v>1.60045541602182E+22</c:v>
                </c:pt>
                <c:pt idx="18">
                  <c:v>1.5958958025499415E+22</c:v>
                </c:pt>
                <c:pt idx="19">
                  <c:v>1.5913491791833058E+22</c:v>
                </c:pt>
                <c:pt idx="20">
                  <c:v>1.5868155089136669E+22</c:v>
                </c:pt>
                <c:pt idx="21">
                  <c:v>1.5822947548381944E+22</c:v>
                </c:pt>
                <c:pt idx="22">
                  <c:v>1.5777868801591663E+22</c:v>
                </c:pt>
                <c:pt idx="23">
                  <c:v>1.5732918481836627E+22</c:v>
                </c:pt>
                <c:pt idx="24">
                  <c:v>1.568809622323257E+22</c:v>
                </c:pt>
                <c:pt idx="25">
                  <c:v>1.5643401660959549E+22</c:v>
                </c:pt>
                <c:pt idx="26">
                  <c:v>1.5598834431201976E+22</c:v>
                </c:pt>
                <c:pt idx="27">
                  <c:v>1.5554394171195582E+22</c:v>
                </c:pt>
                <c:pt idx="28">
                  <c:v>1.5510080519209591E+22</c:v>
                </c:pt>
                <c:pt idx="29">
                  <c:v>1.5465893114543767E+22</c:v>
                </c:pt>
                <c:pt idx="30">
                  <c:v>1.5421831597525425E+22</c:v>
                </c:pt>
                <c:pt idx="31">
                  <c:v>1.5377895609506487E+22</c:v>
                </c:pt>
                <c:pt idx="32">
                  <c:v>1.5334084792860505E+22</c:v>
                </c:pt>
                <c:pt idx="33">
                  <c:v>1.5290398790979701E+22</c:v>
                </c:pt>
                <c:pt idx="34">
                  <c:v>1.5246837248271994E+22</c:v>
                </c:pt>
                <c:pt idx="35">
                  <c:v>1.5203399810158034E+22</c:v>
                </c:pt>
                <c:pt idx="36">
                  <c:v>1.5160086123068244E+22</c:v>
                </c:pt>
                <c:pt idx="37">
                  <c:v>1.5116895834461507E+22</c:v>
                </c:pt>
                <c:pt idx="38">
                  <c:v>1.5073828592767302E+22</c:v>
                </c:pt>
                <c:pt idx="39">
                  <c:v>1.5030884047430997E+22</c:v>
                </c:pt>
                <c:pt idx="40">
                  <c:v>1.4988061848896688E+22</c:v>
                </c:pt>
                <c:pt idx="41">
                  <c:v>1.4945361648604297E+22</c:v>
                </c:pt>
                <c:pt idx="42">
                  <c:v>1.4902783098986724E+22</c:v>
                </c:pt>
                <c:pt idx="43">
                  <c:v>1.4860325853466976E+22</c:v>
                </c:pt>
                <c:pt idx="44">
                  <c:v>1.4817989566455307E+22</c:v>
                </c:pt>
                <c:pt idx="45">
                  <c:v>1.4775773893346342E+22</c:v>
                </c:pt>
                <c:pt idx="46">
                  <c:v>1.4733678490516218E+22</c:v>
                </c:pt>
                <c:pt idx="47">
                  <c:v>1.4691703015319712E+22</c:v>
                </c:pt>
                <c:pt idx="48">
                  <c:v>1.4649847126087382E+22</c:v>
                </c:pt>
                <c:pt idx="49">
                  <c:v>1.4608110482143614E+22</c:v>
                </c:pt>
                <c:pt idx="50">
                  <c:v>1.4566492743750732E+22</c:v>
                </c:pt>
                <c:pt idx="51">
                  <c:v>1.4524993572152766E+22</c:v>
                </c:pt>
                <c:pt idx="52">
                  <c:v>1.4483612629558828E+22</c:v>
                </c:pt>
                <c:pt idx="53">
                  <c:v>1.4442349579140357E+22</c:v>
                </c:pt>
                <c:pt idx="54">
                  <c:v>1.4401204085028333E+22</c:v>
                </c:pt>
                <c:pt idx="55">
                  <c:v>1.4360175812310519E+22</c:v>
                </c:pt>
                <c:pt idx="56">
                  <c:v>1.4319264427028693E+22</c:v>
                </c:pt>
                <c:pt idx="57">
                  <c:v>1.4278469596175869E+22</c:v>
                </c:pt>
                <c:pt idx="58">
                  <c:v>1.4237790987693536E+22</c:v>
                </c:pt>
                <c:pt idx="59">
                  <c:v>1.4197228270468886E+22</c:v>
                </c:pt>
                <c:pt idx="60">
                  <c:v>1.4156781114332042E+22</c:v>
                </c:pt>
                <c:pt idx="61">
                  <c:v>1.4116449190073487E+22</c:v>
                </c:pt>
                <c:pt idx="62">
                  <c:v>1.4076232169390103E+22</c:v>
                </c:pt>
                <c:pt idx="63">
                  <c:v>1.4036129724927406E+22</c:v>
                </c:pt>
                <c:pt idx="64">
                  <c:v>1.3996141530263528E+22</c:v>
                </c:pt>
                <c:pt idx="65">
                  <c:v>1.395626725990653E+22</c:v>
                </c:pt>
                <c:pt idx="66">
                  <c:v>1.3916506589291707E+22</c:v>
                </c:pt>
                <c:pt idx="67">
                  <c:v>1.3876859194778952E+22</c:v>
                </c:pt>
                <c:pt idx="68">
                  <c:v>1.3837324753650045E+22</c:v>
                </c:pt>
                <c:pt idx="69">
                  <c:v>1.3797902944105983E+22</c:v>
                </c:pt>
                <c:pt idx="70">
                  <c:v>1.3758593445264324E+22</c:v>
                </c:pt>
                <c:pt idx="71">
                  <c:v>1.3719395937156493E+22</c:v>
                </c:pt>
                <c:pt idx="72">
                  <c:v>1.3680310100725101E+22</c:v>
                </c:pt>
                <c:pt idx="73">
                  <c:v>1.3641335617840795E+22</c:v>
                </c:pt>
                <c:pt idx="74">
                  <c:v>1.3602472171250125E+22</c:v>
                </c:pt>
                <c:pt idx="75">
                  <c:v>1.3563719444616337E+22</c:v>
                </c:pt>
                <c:pt idx="76">
                  <c:v>1.3525077122503896E+22</c:v>
                </c:pt>
                <c:pt idx="77">
                  <c:v>1.3486544890375904E+22</c:v>
                </c:pt>
                <c:pt idx="78">
                  <c:v>1.344812243459149E+22</c:v>
                </c:pt>
                <c:pt idx="79">
                  <c:v>1.3409809442403248E+22</c:v>
                </c:pt>
                <c:pt idx="80">
                  <c:v>1.337160560195464E+22</c:v>
                </c:pt>
                <c:pt idx="81">
                  <c:v>1.3333510602277404E+22</c:v>
                </c:pt>
                <c:pt idx="82">
                  <c:v>1.3295524133288985E+22</c:v>
                </c:pt>
                <c:pt idx="83">
                  <c:v>1.3257645885789934E+22</c:v>
                </c:pt>
                <c:pt idx="84">
                  <c:v>1.3219875551461331E+22</c:v>
                </c:pt>
                <c:pt idx="85">
                  <c:v>1.3182212822881039E+22</c:v>
                </c:pt>
                <c:pt idx="86">
                  <c:v>1.3144657393473351E+22</c:v>
                </c:pt>
                <c:pt idx="87">
                  <c:v>1.3107208957548407E+22</c:v>
                </c:pt>
                <c:pt idx="88">
                  <c:v>1.3069867210287228E+22</c:v>
                </c:pt>
                <c:pt idx="89">
                  <c:v>1.3032631847739212E+22</c:v>
                </c:pt>
                <c:pt idx="90">
                  <c:v>1.2995502566819657E+22</c:v>
                </c:pt>
                <c:pt idx="91">
                  <c:v>1.2958479065307222E+22</c:v>
                </c:pt>
                <c:pt idx="92">
                  <c:v>1.292156104184146E+22</c:v>
                </c:pt>
                <c:pt idx="93">
                  <c:v>1.2884748195920311E+22</c:v>
                </c:pt>
                <c:pt idx="94">
                  <c:v>1.2848040227897604E+22</c:v>
                </c:pt>
                <c:pt idx="95">
                  <c:v>1.2811436838980552E+22</c:v>
                </c:pt>
                <c:pt idx="96">
                  <c:v>1.277493773122725E+22</c:v>
                </c:pt>
                <c:pt idx="97">
                  <c:v>1.2738542607562405E+22</c:v>
                </c:pt>
                <c:pt idx="98">
                  <c:v>1.2702251171728662E+22</c:v>
                </c:pt>
                <c:pt idx="99">
                  <c:v>1.2666063128324697E+22</c:v>
                </c:pt>
                <c:pt idx="100">
                  <c:v>1.2629978182790756E+22</c:v>
                </c:pt>
                <c:pt idx="101">
                  <c:v>1.2593996041406235E+22</c:v>
                </c:pt>
                <c:pt idx="102">
                  <c:v>1.2558116411287271E+22</c:v>
                </c:pt>
                <c:pt idx="103">
                  <c:v>1.2522339000384326E+22</c:v>
                </c:pt>
                <c:pt idx="104">
                  <c:v>1.2486663517479778E+22</c:v>
                </c:pt>
                <c:pt idx="105">
                  <c:v>1.2451089672185485E+22</c:v>
                </c:pt>
                <c:pt idx="106">
                  <c:v>1.2415617174940391E+22</c:v>
                </c:pt>
                <c:pt idx="107">
                  <c:v>1.238024573700811E+22</c:v>
                </c:pt>
                <c:pt idx="108">
                  <c:v>1.2344975070474501E+22</c:v>
                </c:pt>
                <c:pt idx="109">
                  <c:v>1.2309804888262852E+22</c:v>
                </c:pt>
                <c:pt idx="110">
                  <c:v>1.2274734904086874E+22</c:v>
                </c:pt>
                <c:pt idx="111">
                  <c:v>1.2239764832487486E+22</c:v>
                </c:pt>
                <c:pt idx="112">
                  <c:v>1.2204894388818859E+22</c:v>
                </c:pt>
                <c:pt idx="113">
                  <c:v>1.2170123289246074E+22</c:v>
                </c:pt>
                <c:pt idx="114">
                  <c:v>1.2135451250742786E+22</c:v>
                </c:pt>
                <c:pt idx="115">
                  <c:v>1.2100877991088885E+22</c:v>
                </c:pt>
                <c:pt idx="116">
                  <c:v>1.2066403228868193E+22</c:v>
                </c:pt>
                <c:pt idx="117">
                  <c:v>1.2032026683466081E+22</c:v>
                </c:pt>
                <c:pt idx="118">
                  <c:v>1.1997748075067183E+22</c:v>
                </c:pt>
                <c:pt idx="119">
                  <c:v>1.1963567124653028E+22</c:v>
                </c:pt>
                <c:pt idx="120">
                  <c:v>1.192948355399973E+22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courbes!$AL$1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courbes!$AL$2:$AL$51</c:f>
              <c:numCache>
                <c:formatCode>0.0000E+00</c:formatCode>
                <c:ptCount val="50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courbes!$AQ$1</c:f>
              <c:strCache>
                <c:ptCount val="1"/>
                <c:pt idx="0">
                  <c:v>VESTA - U238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courbes!$AQ$2:$AQ$8</c:f>
              <c:numCache>
                <c:formatCode>0.0000E+00</c:formatCode>
                <c:ptCount val="7"/>
                <c:pt idx="0">
                  <c:v>1.6799927091276064E+22</c:v>
                </c:pt>
                <c:pt idx="1">
                  <c:v>1.6722149651038675E+22</c:v>
                </c:pt>
                <c:pt idx="2">
                  <c:v>1.6583878646172205E+22</c:v>
                </c:pt>
                <c:pt idx="3">
                  <c:v>1.6272768885222648E+22</c:v>
                </c:pt>
                <c:pt idx="4">
                  <c:v>1.5754252616973387E+22</c:v>
                </c:pt>
                <c:pt idx="5">
                  <c:v>1.4302407065875455E+22</c:v>
                </c:pt>
                <c:pt idx="6">
                  <c:v>1.2167848428249331E+22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courbes!$I$1</c:f>
              <c:strCache>
                <c:ptCount val="1"/>
                <c:pt idx="0">
                  <c:v>RK1 - U238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courbes!$I$2:$I$136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25888"/>
        <c:axId val="85927424"/>
      </c:scatterChart>
      <c:valAx>
        <c:axId val="8592588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85927424"/>
        <c:crosses val="autoZero"/>
        <c:crossBetween val="midCat"/>
      </c:valAx>
      <c:valAx>
        <c:axId val="85927424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859258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8497375328084"/>
          <c:y val="5.1400554097404488E-2"/>
          <c:w val="0.42517016622922132"/>
          <c:h val="0.8326195683872849"/>
        </c:manualLayout>
      </c:layout>
      <c:scatterChart>
        <c:scatterStyle val="lineMarker"/>
        <c:varyColors val="0"/>
        <c:ser>
          <c:idx val="0"/>
          <c:order val="0"/>
          <c:tx>
            <c:strRef>
              <c:f>courbes!$H$1</c:f>
              <c:strCache>
                <c:ptCount val="1"/>
                <c:pt idx="0">
                  <c:v>RK1 - U235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courbes!$H$2:$H$136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courbes!$Q$1</c:f>
              <c:strCache>
                <c:ptCount val="1"/>
                <c:pt idx="0">
                  <c:v>O5 - U235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courbes!$Q$2:$Q$122</c:f>
              <c:numCache>
                <c:formatCode>0.0000E+00</c:formatCode>
                <c:ptCount val="121"/>
                <c:pt idx="0">
                  <c:v>8.8937324162937733E+19</c:v>
                </c:pt>
                <c:pt idx="1">
                  <c:v>8.7058541148012282E+19</c:v>
                </c:pt>
                <c:pt idx="2">
                  <c:v>8.5219547583508103E+19</c:v>
                </c:pt>
                <c:pt idx="3">
                  <c:v>8.3419500516275012E+19</c:v>
                </c:pt>
                <c:pt idx="4">
                  <c:v>8.1657574833394631E+19</c:v>
                </c:pt>
                <c:pt idx="5">
                  <c:v>7.9932962863074492E+19</c:v>
                </c:pt>
                <c:pt idx="6">
                  <c:v>7.8244873975541776E+19</c:v>
                </c:pt>
                <c:pt idx="7">
                  <c:v>7.6592534183937196E+19</c:v>
                </c:pt>
                <c:pt idx="8">
                  <c:v>7.4975185745208984E+19</c:v>
                </c:pt>
                <c:pt idx="9">
                  <c:v>7.3392086761006711E+19</c:v>
                </c:pt>
                <c:pt idx="10">
                  <c:v>7.18425107785752E+19</c:v>
                </c:pt>
                <c:pt idx="11">
                  <c:v>7.0325746391648403E+19</c:v>
                </c:pt>
                <c:pt idx="12">
                  <c:v>6.8841096841343312E+19</c:v>
                </c:pt>
                <c:pt idx="13">
                  <c:v>6.7387901249598177E+19</c:v>
                </c:pt>
                <c:pt idx="14">
                  <c:v>6.5965478990608884E+19</c:v>
                </c:pt>
                <c:pt idx="15">
                  <c:v>6.4573178126032019E+19</c:v>
                </c:pt>
                <c:pt idx="16">
                  <c:v>6.3210360515172794E+19</c:v>
                </c:pt>
                <c:pt idx="17">
                  <c:v>6.1876401506314822E+19</c:v>
                </c:pt>
                <c:pt idx="18">
                  <c:v>6.0570689628049744E+19</c:v>
                </c:pt>
                <c:pt idx="19">
                  <c:v>5.9292626280606876E+19</c:v>
                </c:pt>
                <c:pt idx="20">
                  <c:v>5.8041625427182952E+19</c:v>
                </c:pt>
                <c:pt idx="21">
                  <c:v>5.681711328527174E+19</c:v>
                </c:pt>
                <c:pt idx="22">
                  <c:v>5.5618528017993736E+19</c:v>
                </c:pt>
                <c:pt idx="23">
                  <c:v>5.4445319425425826E+19</c:v>
                </c:pt>
                <c:pt idx="24">
                  <c:v>5.3296948635930984E+19</c:v>
                </c:pt>
                <c:pt idx="25">
                  <c:v>5.2172904528232202E+19</c:v>
                </c:pt>
                <c:pt idx="26">
                  <c:v>5.107266070793642E+19</c:v>
                </c:pt>
                <c:pt idx="27">
                  <c:v>4.999571296762241E+19</c:v>
                </c:pt>
                <c:pt idx="28">
                  <c:v>4.8941567770968441E+19</c:v>
                </c:pt>
                <c:pt idx="29">
                  <c:v>4.7909742014025605E+19</c:v>
                </c:pt>
                <c:pt idx="30">
                  <c:v>4.6899762786491023E+19</c:v>
                </c:pt>
                <c:pt idx="31">
                  <c:v>4.5911167132981182E+19</c:v>
                </c:pt>
                <c:pt idx="32">
                  <c:v>4.494350181430512E+19</c:v>
                </c:pt>
                <c:pt idx="33">
                  <c:v>4.3996323068737815E+19</c:v>
                </c:pt>
                <c:pt idx="34">
                  <c:v>4.3069196373293335E+19</c:v>
                </c:pt>
                <c:pt idx="35">
                  <c:v>4.216169620499814E+19</c:v>
                </c:pt>
                <c:pt idx="36">
                  <c:v>4.1273405802164421E+19</c:v>
                </c:pt>
                <c:pt idx="37">
                  <c:v>4.0403929865323635E+19</c:v>
                </c:pt>
                <c:pt idx="38">
                  <c:v>3.9552861282606506E+19</c:v>
                </c:pt>
                <c:pt idx="39">
                  <c:v>3.8719810101606212E+19</c:v>
                </c:pt>
                <c:pt idx="40">
                  <c:v>3.7904394622932607E+19</c:v>
                </c:pt>
                <c:pt idx="41">
                  <c:v>3.710624121558034E+19</c:v>
                </c:pt>
                <c:pt idx="42">
                  <c:v>3.6324984132296843E+19</c:v>
                </c:pt>
                <c:pt idx="43">
                  <c:v>3.5560265324950516E+19</c:v>
                </c:pt>
                <c:pt idx="44">
                  <c:v>3.4811734259898708E+19</c:v>
                </c:pt>
                <c:pt idx="45">
                  <c:v>3.4079047733355815E+19</c:v>
                </c:pt>
                <c:pt idx="46">
                  <c:v>3.3361869686761353E+19</c:v>
                </c:pt>
                <c:pt idx="47">
                  <c:v>3.2659871022148022E+19</c:v>
                </c:pt>
                <c:pt idx="48">
                  <c:v>3.1972729417509753E+19</c:v>
                </c:pt>
                <c:pt idx="49">
                  <c:v>3.1300139149779128E+19</c:v>
                </c:pt>
                <c:pt idx="50">
                  <c:v>3.0641785360041153E+19</c:v>
                </c:pt>
                <c:pt idx="51">
                  <c:v>2.999736646054366E+19</c:v>
                </c:pt>
                <c:pt idx="52">
                  <c:v>2.9366587246400373E+19</c:v>
                </c:pt>
                <c:pt idx="53">
                  <c:v>2.874915875279618E+19</c:v>
                </c:pt>
                <c:pt idx="54">
                  <c:v>2.8144798112192434E+19</c:v>
                </c:pt>
                <c:pt idx="55">
                  <c:v>2.7553228411532259E+19</c:v>
                </c:pt>
                <c:pt idx="56">
                  <c:v>2.6974178549445833E+19</c:v>
                </c:pt>
                <c:pt idx="57">
                  <c:v>2.6407383093455684E+19</c:v>
                </c:pt>
                <c:pt idx="58">
                  <c:v>2.585258213718197E+19</c:v>
                </c:pt>
                <c:pt idx="59">
                  <c:v>2.5309521157547827E+19</c:v>
                </c:pt>
                <c:pt idx="60">
                  <c:v>2.4777950871984574E+19</c:v>
                </c:pt>
                <c:pt idx="61">
                  <c:v>2.4257634835576541E+19</c:v>
                </c:pt>
                <c:pt idx="62">
                  <c:v>2.3748329537637671E+19</c:v>
                </c:pt>
                <c:pt idx="63">
                  <c:v>2.3249801731416486E+19</c:v>
                </c:pt>
                <c:pt idx="64">
                  <c:v>2.2761823106650128E+19</c:v>
                </c:pt>
                <c:pt idx="65">
                  <c:v>2.2284170179126759E+19</c:v>
                </c:pt>
                <c:pt idx="66">
                  <c:v>2.1816624180248011E+19</c:v>
                </c:pt>
                <c:pt idx="67">
                  <c:v>2.1358970946591379E+19</c:v>
                </c:pt>
                <c:pt idx="68">
                  <c:v>2.0911000809472659E+19</c:v>
                </c:pt>
                <c:pt idx="69">
                  <c:v>2.0472508484508369E+19</c:v>
                </c:pt>
                <c:pt idx="70">
                  <c:v>2.0043292961178141E+19</c:v>
                </c:pt>
                <c:pt idx="71">
                  <c:v>1.9623157392387215E+19</c:v>
                </c:pt>
                <c:pt idx="72">
                  <c:v>1.9211908984028762E+19</c:v>
                </c:pt>
                <c:pt idx="73">
                  <c:v>1.8809364870653096E+19</c:v>
                </c:pt>
                <c:pt idx="74">
                  <c:v>1.8415336722063604E+19</c:v>
                </c:pt>
                <c:pt idx="75">
                  <c:v>1.8029644146195816E+19</c:v>
                </c:pt>
                <c:pt idx="76">
                  <c:v>1.7652110568845099E+19</c:v>
                </c:pt>
                <c:pt idx="77">
                  <c:v>1.7282563148254206E+19</c:v>
                </c:pt>
                <c:pt idx="78">
                  <c:v>1.6920832689700876E+19</c:v>
                </c:pt>
                <c:pt idx="79">
                  <c:v>1.6566753560085393E+19</c:v>
                </c:pt>
                <c:pt idx="80">
                  <c:v>1.6220163602518149E+19</c:v>
                </c:pt>
                <c:pt idx="81">
                  <c:v>1.588090405090722E+19</c:v>
                </c:pt>
                <c:pt idx="82">
                  <c:v>1.554881944454595E+19</c:v>
                </c:pt>
                <c:pt idx="83">
                  <c:v>1.5223757542700495E+19</c:v>
                </c:pt>
                <c:pt idx="84">
                  <c:v>1.4905569239197424E+19</c:v>
                </c:pt>
                <c:pt idx="85">
                  <c:v>1.4594113106690859E+19</c:v>
                </c:pt>
                <c:pt idx="86">
                  <c:v>1.4289243491340442E+19</c:v>
                </c:pt>
                <c:pt idx="87">
                  <c:v>1.3990820878654276E+19</c:v>
                </c:pt>
                <c:pt idx="88">
                  <c:v>1.3698708706853534E+19</c:v>
                </c:pt>
                <c:pt idx="89">
                  <c:v>1.3412773300814555E+19</c:v>
                </c:pt>
                <c:pt idx="90">
                  <c:v>1.3132883806010974E+19</c:v>
                </c:pt>
                <c:pt idx="91">
                  <c:v>1.2858912122455824E+19</c:v>
                </c:pt>
                <c:pt idx="92">
                  <c:v>1.2590732838643671E+19</c:v>
                </c:pt>
                <c:pt idx="93">
                  <c:v>1.2328223165492701E+19</c:v>
                </c:pt>
                <c:pt idx="94">
                  <c:v>1.2071262870286868E+19</c:v>
                </c:pt>
                <c:pt idx="95">
                  <c:v>1.1819734210617989E+19</c:v>
                </c:pt>
                <c:pt idx="96">
                  <c:v>1.1573521868327852E+19</c:v>
                </c:pt>
                <c:pt idx="97">
                  <c:v>1.1332516464059711E+19</c:v>
                </c:pt>
                <c:pt idx="98">
                  <c:v>1.1096605349643246E+19</c:v>
                </c:pt>
                <c:pt idx="99">
                  <c:v>1.0865680625072339E+19</c:v>
                </c:pt>
                <c:pt idx="100">
                  <c:v>1.0639636673950966E+19</c:v>
                </c:pt>
                <c:pt idx="101">
                  <c:v>1.041837011240414E+19</c:v>
                </c:pt>
                <c:pt idx="102">
                  <c:v>1.0201779737988913E+19</c:v>
                </c:pt>
                <c:pt idx="103">
                  <c:v>9.9897664786053448E+18</c:v>
                </c:pt>
                <c:pt idx="104">
                  <c:v>9.7822333414074634E+18</c:v>
                </c:pt>
                <c:pt idx="105">
                  <c:v>9.5790853617142702E+18</c:v>
                </c:pt>
                <c:pt idx="106">
                  <c:v>9.380229551920681E+18</c:v>
                </c:pt>
                <c:pt idx="107">
                  <c:v>9.1855748504085309E+18</c:v>
                </c:pt>
                <c:pt idx="108">
                  <c:v>8.9950320704575355E+18</c:v>
                </c:pt>
                <c:pt idx="109">
                  <c:v>8.8085166184078367E+18</c:v>
                </c:pt>
                <c:pt idx="110">
                  <c:v>8.6259413724692152E+18</c:v>
                </c:pt>
                <c:pt idx="111">
                  <c:v>8.4472228830710344E+18</c:v>
                </c:pt>
                <c:pt idx="112">
                  <c:v>8.2722794667704658E+18</c:v>
                </c:pt>
                <c:pt idx="113">
                  <c:v>8.101031166740396E+18</c:v>
                </c:pt>
                <c:pt idx="114">
                  <c:v>7.9333997132573573E+18</c:v>
                </c:pt>
                <c:pt idx="115">
                  <c:v>7.769308484189438E+18</c:v>
                </c:pt>
                <c:pt idx="116">
                  <c:v>7.608682465484202E+18</c:v>
                </c:pt>
                <c:pt idx="117">
                  <c:v>7.4514482116566221E+18</c:v>
                </c:pt>
                <c:pt idx="118">
                  <c:v>7.2975338062769848E+18</c:v>
                </c:pt>
                <c:pt idx="119">
                  <c:v>7.1468688224588145E+18</c:v>
                </c:pt>
                <c:pt idx="120">
                  <c:v>6.9993842833467976E+18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courbes!$AC$1</c:f>
              <c:strCache>
                <c:ptCount val="1"/>
                <c:pt idx="0">
                  <c:v> Exact Simpl. - U235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courbes!$AC$2:$AC$136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8.7053382330057064E+19</c:v>
                </c:pt>
                <c:pt idx="2">
                  <c:v>8.5209347666220237E+19</c:v>
                </c:pt>
                <c:pt idx="3">
                  <c:v>8.3404374825720037E+19</c:v>
                </c:pt>
                <c:pt idx="4">
                  <c:v>8.1637636369640964E+19</c:v>
                </c:pt>
                <c:pt idx="5">
                  <c:v>7.9908322386543198E+19</c:v>
                </c:pt>
                <c:pt idx="6">
                  <c:v>7.8215640121181553E+19</c:v>
                </c:pt>
                <c:pt idx="7">
                  <c:v>7.6558813611089199E+19</c:v>
                </c:pt>
                <c:pt idx="8">
                  <c:v>7.493708333085945E+19</c:v>
                </c:pt>
                <c:pt idx="9">
                  <c:v>7.3349705843962864E+19</c:v>
                </c:pt>
                <c:pt idx="10">
                  <c:v>7.1795953461939675E+19</c:v>
                </c:pt>
                <c:pt idx="11">
                  <c:v>7.0275113910811517E+19</c:v>
                </c:pt>
                <c:pt idx="12">
                  <c:v>6.878649000455952E+19</c:v>
                </c:pt>
                <c:pt idx="13">
                  <c:v>6.7329399325519053E+19</c:v>
                </c:pt>
                <c:pt idx="14">
                  <c:v>6.5903173911544521E+19</c:v>
                </c:pt>
                <c:pt idx="15">
                  <c:v>6.4507159949801021E+19</c:v>
                </c:pt>
                <c:pt idx="16">
                  <c:v>6.3140717477042233E+19</c:v>
                </c:pt>
                <c:pt idx="17">
                  <c:v>6.1803220086237323E+19</c:v>
                </c:pt>
                <c:pt idx="18">
                  <c:v>6.0494054639412314E+19</c:v>
                </c:pt>
                <c:pt idx="19">
                  <c:v>5.9212620986574242E+19</c:v>
                </c:pt>
                <c:pt idx="20">
                  <c:v>5.7958331690589307E+19</c:v>
                </c:pt>
                <c:pt idx="21">
                  <c:v>5.6730611757888913E+19</c:v>
                </c:pt>
                <c:pt idx="22">
                  <c:v>5.5528898374880059E+19</c:v>
                </c:pt>
                <c:pt idx="23">
                  <c:v>5.4352640649939304E+19</c:v>
                </c:pt>
                <c:pt idx="24">
                  <c:v>5.3201299360872022E+19</c:v>
                </c:pt>
                <c:pt idx="25">
                  <c:v>5.2074346707721232E+19</c:v>
                </c:pt>
                <c:pt idx="26">
                  <c:v>5.0971266070812557E+19</c:v>
                </c:pt>
                <c:pt idx="27">
                  <c:v>4.9891551773924458E+19</c:v>
                </c:pt>
                <c:pt idx="28">
                  <c:v>4.8834708852475322E+19</c:v>
                </c:pt>
                <c:pt idx="29">
                  <c:v>4.7800252826620822E+19</c:v>
                </c:pt>
                <c:pt idx="30">
                  <c:v>4.6787709479157817E+19</c:v>
                </c:pt>
                <c:pt idx="31">
                  <c:v>4.5796614638132847E+19</c:v>
                </c:pt>
                <c:pt idx="32">
                  <c:v>4.4826513964055585E+19</c:v>
                </c:pt>
                <c:pt idx="33">
                  <c:v>4.3876962741619704E+19</c:v>
                </c:pt>
                <c:pt idx="34">
                  <c:v>4.2947525675835679E+19</c:v>
                </c:pt>
                <c:pt idx="35">
                  <c:v>4.2037776692482064E+19</c:v>
                </c:pt>
                <c:pt idx="36">
                  <c:v>4.1147298742783795E+19</c:v>
                </c:pt>
                <c:pt idx="37">
                  <c:v>4.0275683612227936E+19</c:v>
                </c:pt>
                <c:pt idx="38">
                  <c:v>3.9422531733429191E+19</c:v>
                </c:pt>
                <c:pt idx="39">
                  <c:v>3.8587452002959606E+19</c:v>
                </c:pt>
                <c:pt idx="40">
                  <c:v>3.7770061602058101E+19</c:v>
                </c:pt>
                <c:pt idx="41">
                  <c:v>3.69699858211381E+19</c:v>
                </c:pt>
                <c:pt idx="42">
                  <c:v>3.6186857888012456E+19</c:v>
                </c:pt>
                <c:pt idx="43">
                  <c:v>3.5420318799757042E+19</c:v>
                </c:pt>
                <c:pt idx="44">
                  <c:v>3.4670017158136033E+19</c:v>
                </c:pt>
                <c:pt idx="45">
                  <c:v>3.393560900851327E+19</c:v>
                </c:pt>
                <c:pt idx="46">
                  <c:v>3.3216757682175943E+19</c:v>
                </c:pt>
                <c:pt idx="47">
                  <c:v>3.251313364199834E+19</c:v>
                </c:pt>
                <c:pt idx="48">
                  <c:v>3.1824414331374805E+19</c:v>
                </c:pt>
                <c:pt idx="49">
                  <c:v>3.1150284026352775E+19</c:v>
                </c:pt>
                <c:pt idx="50">
                  <c:v>3.0490433690898047E+19</c:v>
                </c:pt>
                <c:pt idx="51">
                  <c:v>2.9844560835225891E+19</c:v>
                </c:pt>
                <c:pt idx="52">
                  <c:v>2.9212369377133162E+19</c:v>
                </c:pt>
                <c:pt idx="53">
                  <c:v>2.8593569506267722E+19</c:v>
                </c:pt>
                <c:pt idx="54">
                  <c:v>2.7987877551273116E+19</c:v>
                </c:pt>
                <c:pt idx="55">
                  <c:v>2.7395015849747378E+19</c:v>
                </c:pt>
                <c:pt idx="56">
                  <c:v>2.681471262095657E+19</c:v>
                </c:pt>
                <c:pt idx="57">
                  <c:v>2.6246701841244516E+19</c:v>
                </c:pt>
                <c:pt idx="58">
                  <c:v>2.5690723122081833E+19</c:v>
                </c:pt>
                <c:pt idx="59">
                  <c:v>2.5146521590698074E+19</c:v>
                </c:pt>
                <c:pt idx="60">
                  <c:v>2.4613847773242532E+19</c:v>
                </c:pt>
                <c:pt idx="61">
                  <c:v>2.4092457480419983E+19</c:v>
                </c:pt>
                <c:pt idx="62">
                  <c:v>2.3582111695548965E+19</c:v>
                </c:pt>
                <c:pt idx="63">
                  <c:v>2.3082576464991371E+19</c:v>
                </c:pt>
                <c:pt idx="64">
                  <c:v>2.2593622790902915E+19</c:v>
                </c:pt>
                <c:pt idx="65">
                  <c:v>2.2115026526255616E+19</c:v>
                </c:pt>
                <c:pt idx="66">
                  <c:v>2.1646568272083845E+19</c:v>
                </c:pt>
                <c:pt idx="67">
                  <c:v>2.118803327690709E+19</c:v>
                </c:pt>
                <c:pt idx="68">
                  <c:v>2.073921133828318E+19</c:v>
                </c:pt>
                <c:pt idx="69">
                  <c:v>2.0299896706446901E+19</c:v>
                </c:pt>
                <c:pt idx="70">
                  <c:v>1.9869887989989822E+19</c:v>
                </c:pt>
                <c:pt idx="71">
                  <c:v>1.9448988063538082E+19</c:v>
                </c:pt>
                <c:pt idx="72">
                  <c:v>1.9037003977385812E+19</c:v>
                </c:pt>
                <c:pt idx="73">
                  <c:v>1.8633746869042786E+19</c:v>
                </c:pt>
                <c:pt idx="74">
                  <c:v>1.8239031876655733E+19</c:v>
                </c:pt>
                <c:pt idx="75">
                  <c:v>1.785267805426364E+19</c:v>
                </c:pt>
                <c:pt idx="76">
                  <c:v>1.7474508288848167E+19</c:v>
                </c:pt>
                <c:pt idx="77">
                  <c:v>1.7104349219141188E+19</c:v>
                </c:pt>
                <c:pt idx="78">
                  <c:v>1.6742031156152195E+19</c:v>
                </c:pt>
                <c:pt idx="79">
                  <c:v>1.6387388005379164E+19</c:v>
                </c:pt>
                <c:pt idx="80">
                  <c:v>1.6040257190667223E+19</c:v>
                </c:pt>
                <c:pt idx="81">
                  <c:v>1.570047957968018E+19</c:v>
                </c:pt>
                <c:pt idx="82">
                  <c:v>1.5367899410950814E+19</c:v>
                </c:pt>
                <c:pt idx="83">
                  <c:v>1.5042364222476397E+19</c:v>
                </c:pt>
                <c:pt idx="84">
                  <c:v>1.4723724781826793E+19</c:v>
                </c:pt>
                <c:pt idx="85">
                  <c:v>1.4411835017733075E+19</c:v>
                </c:pt>
                <c:pt idx="86">
                  <c:v>1.4106551953125243E+19</c:v>
                </c:pt>
                <c:pt idx="87">
                  <c:v>1.3807735639588434E+19</c:v>
                </c:pt>
                <c:pt idx="88">
                  <c:v>1.3515249093207515E+19</c:v>
                </c:pt>
                <c:pt idx="89">
                  <c:v>1.3228958231770661E+19</c:v>
                </c:pt>
                <c:pt idx="90">
                  <c:v>1.2948731813303153E+19</c:v>
                </c:pt>
                <c:pt idx="91">
                  <c:v>1.2674441375903187E+19</c:v>
                </c:pt>
                <c:pt idx="92">
                  <c:v>1.2405961178852149E+19</c:v>
                </c:pt>
                <c:pt idx="93">
                  <c:v>1.2143168144972313E+19</c:v>
                </c:pt>
                <c:pt idx="94">
                  <c:v>1.1885941804205576E+19</c:v>
                </c:pt>
                <c:pt idx="95">
                  <c:v>1.1634164238387382E+19</c:v>
                </c:pt>
                <c:pt idx="96">
                  <c:v>1.1387720027190438E+19</c:v>
                </c:pt>
                <c:pt idx="97">
                  <c:v>1.1146496195213521E+19</c:v>
                </c:pt>
                <c:pt idx="98">
                  <c:v>1.0910382160191103E+19</c:v>
                </c:pt>
                <c:pt idx="99">
                  <c:v>1.0679269682300021E+19</c:v>
                </c:pt>
                <c:pt idx="100">
                  <c:v>1.0453052814539979E+19</c:v>
                </c:pt>
                <c:pt idx="101">
                  <c:v>1.0231627854165137E+19</c:v>
                </c:pt>
                <c:pt idx="102">
                  <c:v>1.0014893295144511E+19</c:v>
                </c:pt>
                <c:pt idx="103">
                  <c:v>9.8027497816293908E+18</c:v>
                </c:pt>
                <c:pt idx="104">
                  <c:v>9.5951000624064573E+18</c:v>
                </c:pt>
                <c:pt idx="105">
                  <c:v>9.39184894631569E+18</c:v>
                </c:pt>
                <c:pt idx="106">
                  <c:v>9.1929032586126889E+18</c:v>
                </c:pt>
                <c:pt idx="107">
                  <c:v>8.9981717982553221E+18</c:v>
                </c:pt>
                <c:pt idx="108">
                  <c:v>8.8075652960951798E+18</c:v>
                </c:pt>
                <c:pt idx="109">
                  <c:v>8.6209963739546542E+18</c:v>
                </c:pt>
                <c:pt idx="110">
                  <c:v>8.438379504570879E+18</c:v>
                </c:pt>
                <c:pt idx="111">
                  <c:v>8.2596309723881574E+18</c:v>
                </c:pt>
                <c:pt idx="112">
                  <c:v>8.0846688351809382E+18</c:v>
                </c:pt>
                <c:pt idx="113">
                  <c:v>7.9134128864897004E+18</c:v>
                </c:pt>
                <c:pt idx="114">
                  <c:v>7.7457846188525732E+18</c:v>
                </c:pt>
                <c:pt idx="115">
                  <c:v>7.5817071878157957E+18</c:v>
                </c:pt>
                <c:pt idx="116">
                  <c:v>7.4211053767065457E+18</c:v>
                </c:pt>
                <c:pt idx="117">
                  <c:v>7.263905562151979E+18</c:v>
                </c:pt>
                <c:pt idx="118">
                  <c:v>7.1100356803286692E+18</c:v>
                </c:pt>
                <c:pt idx="119">
                  <c:v>6.9594251939269734E+18</c:v>
                </c:pt>
                <c:pt idx="120">
                  <c:v>6.8120050598151987E+18</c:v>
                </c:pt>
                <c:pt idx="121">
                  <c:v>6.6677076973887191E+18</c:v>
                </c:pt>
                <c:pt idx="122">
                  <c:v>6.5264669575895603E+18</c:v>
                </c:pt>
                <c:pt idx="123">
                  <c:v>6.3882180925822147E+18</c:v>
                </c:pt>
                <c:pt idx="124">
                  <c:v>6.2528977260718408E+18</c:v>
                </c:pt>
                <c:pt idx="125">
                  <c:v>6.1204438242511667E+18</c:v>
                </c:pt>
                <c:pt idx="126">
                  <c:v>5.990795667362858E+18</c:v>
                </c:pt>
                <c:pt idx="127">
                  <c:v>5.8638938218642452E+18</c:v>
                </c:pt>
                <c:pt idx="128">
                  <c:v>5.739680113181696E+18</c:v>
                </c:pt>
                <c:pt idx="129">
                  <c:v>5.6180975990421228E+18</c:v>
                </c:pt>
                <c:pt idx="130">
                  <c:v>5.4990905433693972E+18</c:v>
                </c:pt>
                <c:pt idx="131">
                  <c:v>5.3826043907337267E+18</c:v>
                </c:pt>
                <c:pt idx="132">
                  <c:v>5.2685857413422469E+18</c:v>
                </c:pt>
                <c:pt idx="133">
                  <c:v>5.1569823265593948E+18</c:v>
                </c:pt>
                <c:pt idx="134">
                  <c:v>5.0477429849458299E+18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courbes!$AL$1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courbes!$AL$2:$AL$136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courbes!$AP$1</c:f>
              <c:strCache>
                <c:ptCount val="1"/>
                <c:pt idx="0">
                  <c:v>VESTA - U235 </c:v>
                </c:pt>
              </c:strCache>
            </c:strRef>
          </c:tx>
          <c:marker>
            <c:symbol val="none"/>
          </c:marker>
          <c:xVal>
            <c:numRef>
              <c:f>courbes!$AO$2:$AO$8</c:f>
              <c:numCache>
                <c:formatCode>0.0000E+00</c:formatCode>
                <c:ptCount val="7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courbes!$AP$2:$AP$8</c:f>
              <c:numCache>
                <c:formatCode>0.0000E+00</c:formatCode>
                <c:ptCount val="7"/>
                <c:pt idx="0">
                  <c:v>8.8937324162937733E+19</c:v>
                </c:pt>
                <c:pt idx="1">
                  <c:v>8.58863158607495E+19</c:v>
                </c:pt>
                <c:pt idx="2">
                  <c:v>8.0086807161689129E+19</c:v>
                </c:pt>
                <c:pt idx="3">
                  <c:v>6.8945873163047076E+19</c:v>
                </c:pt>
                <c:pt idx="4">
                  <c:v>5.3561185406970372E+19</c:v>
                </c:pt>
                <c:pt idx="5">
                  <c:v>2.5168657722300748E+19</c:v>
                </c:pt>
                <c:pt idx="6">
                  <c:v>7.4529304786881649E+18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67232"/>
        <c:axId val="85968768"/>
      </c:scatterChart>
      <c:valAx>
        <c:axId val="859672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85968768"/>
        <c:crosses val="autoZero"/>
        <c:crossBetween val="midCat"/>
      </c:valAx>
      <c:valAx>
        <c:axId val="85968768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859672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courbes!$I$1</c:f>
              <c:strCache>
                <c:ptCount val="1"/>
                <c:pt idx="0">
                  <c:v>RK1 - U238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courbes!$I$2:$I$136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courbes!$R$1</c:f>
              <c:strCache>
                <c:ptCount val="1"/>
                <c:pt idx="0">
                  <c:v>O5 - U238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courbes!$R$2:$R$122</c:f>
              <c:numCache>
                <c:formatCode>0.0000E+00</c:formatCode>
                <c:ptCount val="121"/>
                <c:pt idx="0">
                  <c:v>1.6799927091276064E+22</c:v>
                </c:pt>
                <c:pt idx="1">
                  <c:v>1.675206497968709E+22</c:v>
                </c:pt>
                <c:pt idx="2">
                  <c:v>1.6704339224817908E+22</c:v>
                </c:pt>
                <c:pt idx="3">
                  <c:v>1.6656749438194034E+22</c:v>
                </c:pt>
                <c:pt idx="4">
                  <c:v>1.6609295232447757E+22</c:v>
                </c:pt>
                <c:pt idx="5">
                  <c:v>1.6561976221314947E+22</c:v>
                </c:pt>
                <c:pt idx="6">
                  <c:v>1.6514792019631901E+22</c:v>
                </c:pt>
                <c:pt idx="7">
                  <c:v>1.646774224333214E+22</c:v>
                </c:pt>
                <c:pt idx="8">
                  <c:v>1.6420826509443242E+22</c:v>
                </c:pt>
                <c:pt idx="9">
                  <c:v>1.637404443608366E+22</c:v>
                </c:pt>
                <c:pt idx="10">
                  <c:v>1.6327395642459575E+22</c:v>
                </c:pt>
                <c:pt idx="11">
                  <c:v>1.6280879748861668E+22</c:v>
                </c:pt>
                <c:pt idx="12">
                  <c:v>1.6234496376661975E+22</c:v>
                </c:pt>
                <c:pt idx="13">
                  <c:v>1.618824514833397E+22</c:v>
                </c:pt>
                <c:pt idx="14">
                  <c:v>1.6142125687390417E+22</c:v>
                </c:pt>
                <c:pt idx="15">
                  <c:v>1.6096137618432041E+22</c:v>
                </c:pt>
                <c:pt idx="16">
                  <c:v>1.6050280567129082E+22</c:v>
                </c:pt>
                <c:pt idx="17">
                  <c:v>1.60045541602182E+22</c:v>
                </c:pt>
                <c:pt idx="18">
                  <c:v>1.5958958025499415E+22</c:v>
                </c:pt>
                <c:pt idx="19">
                  <c:v>1.5913491791833058E+22</c:v>
                </c:pt>
                <c:pt idx="20">
                  <c:v>1.5868155089136669E+22</c:v>
                </c:pt>
                <c:pt idx="21">
                  <c:v>1.5822947548381944E+22</c:v>
                </c:pt>
                <c:pt idx="22">
                  <c:v>1.5777868801591663E+22</c:v>
                </c:pt>
                <c:pt idx="23">
                  <c:v>1.5732918481836627E+22</c:v>
                </c:pt>
                <c:pt idx="24">
                  <c:v>1.568809622323257E+22</c:v>
                </c:pt>
                <c:pt idx="25">
                  <c:v>1.5643401660959549E+22</c:v>
                </c:pt>
                <c:pt idx="26">
                  <c:v>1.5598834431201976E+22</c:v>
                </c:pt>
                <c:pt idx="27">
                  <c:v>1.5554394171195582E+22</c:v>
                </c:pt>
                <c:pt idx="28">
                  <c:v>1.5510080519209591E+22</c:v>
                </c:pt>
                <c:pt idx="29">
                  <c:v>1.5465893114543767E+22</c:v>
                </c:pt>
                <c:pt idx="30">
                  <c:v>1.5421831597525425E+22</c:v>
                </c:pt>
                <c:pt idx="31">
                  <c:v>1.5377895609506487E+22</c:v>
                </c:pt>
                <c:pt idx="32">
                  <c:v>1.5334084792860505E+22</c:v>
                </c:pt>
                <c:pt idx="33">
                  <c:v>1.5290398790979701E+22</c:v>
                </c:pt>
                <c:pt idx="34">
                  <c:v>1.5246837248271994E+22</c:v>
                </c:pt>
                <c:pt idx="35">
                  <c:v>1.5203399810158034E+22</c:v>
                </c:pt>
                <c:pt idx="36">
                  <c:v>1.5160086123068244E+22</c:v>
                </c:pt>
                <c:pt idx="37">
                  <c:v>1.5116895834461507E+22</c:v>
                </c:pt>
                <c:pt idx="38">
                  <c:v>1.5073828592767302E+22</c:v>
                </c:pt>
                <c:pt idx="39">
                  <c:v>1.5030884047430997E+22</c:v>
                </c:pt>
                <c:pt idx="40">
                  <c:v>1.4988061848896688E+22</c:v>
                </c:pt>
                <c:pt idx="41">
                  <c:v>1.4945361648604297E+22</c:v>
                </c:pt>
                <c:pt idx="42">
                  <c:v>1.4902783098986724E+22</c:v>
                </c:pt>
                <c:pt idx="43">
                  <c:v>1.4860325853466976E+22</c:v>
                </c:pt>
                <c:pt idx="44">
                  <c:v>1.4817989566455307E+22</c:v>
                </c:pt>
                <c:pt idx="45">
                  <c:v>1.4775773893346342E+22</c:v>
                </c:pt>
                <c:pt idx="46">
                  <c:v>1.4733678490516218E+22</c:v>
                </c:pt>
                <c:pt idx="47">
                  <c:v>1.4691703015319712E+22</c:v>
                </c:pt>
                <c:pt idx="48">
                  <c:v>1.4649847126087382E+22</c:v>
                </c:pt>
                <c:pt idx="49">
                  <c:v>1.4608110482143614E+22</c:v>
                </c:pt>
                <c:pt idx="50">
                  <c:v>1.4566492743750732E+22</c:v>
                </c:pt>
                <c:pt idx="51">
                  <c:v>1.4524993572152766E+22</c:v>
                </c:pt>
                <c:pt idx="52">
                  <c:v>1.4483612629558828E+22</c:v>
                </c:pt>
                <c:pt idx="53">
                  <c:v>1.4442349579140357E+22</c:v>
                </c:pt>
                <c:pt idx="54">
                  <c:v>1.4401204085028333E+22</c:v>
                </c:pt>
                <c:pt idx="55">
                  <c:v>1.4360175812310519E+22</c:v>
                </c:pt>
                <c:pt idx="56">
                  <c:v>1.4319264427028693E+22</c:v>
                </c:pt>
                <c:pt idx="57">
                  <c:v>1.4278469596175869E+22</c:v>
                </c:pt>
                <c:pt idx="58">
                  <c:v>1.4237790987693536E+22</c:v>
                </c:pt>
                <c:pt idx="59">
                  <c:v>1.4197228270468886E+22</c:v>
                </c:pt>
                <c:pt idx="60">
                  <c:v>1.4156781114332042E+22</c:v>
                </c:pt>
                <c:pt idx="61">
                  <c:v>1.4116449190073487E+22</c:v>
                </c:pt>
                <c:pt idx="62">
                  <c:v>1.4076232169390103E+22</c:v>
                </c:pt>
                <c:pt idx="63">
                  <c:v>1.4036129724927406E+22</c:v>
                </c:pt>
                <c:pt idx="64">
                  <c:v>1.3996141530263528E+22</c:v>
                </c:pt>
                <c:pt idx="65">
                  <c:v>1.395626725990653E+22</c:v>
                </c:pt>
                <c:pt idx="66">
                  <c:v>1.3916506589291707E+22</c:v>
                </c:pt>
                <c:pt idx="67">
                  <c:v>1.3876859194778952E+22</c:v>
                </c:pt>
                <c:pt idx="68">
                  <c:v>1.3837324753650045E+22</c:v>
                </c:pt>
                <c:pt idx="69">
                  <c:v>1.3797902944105983E+22</c:v>
                </c:pt>
                <c:pt idx="70">
                  <c:v>1.3758593445264324E+22</c:v>
                </c:pt>
                <c:pt idx="71">
                  <c:v>1.3719395937156493E+22</c:v>
                </c:pt>
                <c:pt idx="72">
                  <c:v>1.3680310100725101E+22</c:v>
                </c:pt>
                <c:pt idx="73">
                  <c:v>1.3641335617840795E+22</c:v>
                </c:pt>
                <c:pt idx="74">
                  <c:v>1.3602472171250125E+22</c:v>
                </c:pt>
                <c:pt idx="75">
                  <c:v>1.3563719444616337E+22</c:v>
                </c:pt>
                <c:pt idx="76">
                  <c:v>1.3525077122503896E+22</c:v>
                </c:pt>
                <c:pt idx="77">
                  <c:v>1.3486544890375904E+22</c:v>
                </c:pt>
                <c:pt idx="78">
                  <c:v>1.344812243459149E+22</c:v>
                </c:pt>
                <c:pt idx="79">
                  <c:v>1.3409809442403248E+22</c:v>
                </c:pt>
                <c:pt idx="80">
                  <c:v>1.337160560195464E+22</c:v>
                </c:pt>
                <c:pt idx="81">
                  <c:v>1.3333510602277404E+22</c:v>
                </c:pt>
                <c:pt idx="82">
                  <c:v>1.3295524133288985E+22</c:v>
                </c:pt>
                <c:pt idx="83">
                  <c:v>1.3257645885789934E+22</c:v>
                </c:pt>
                <c:pt idx="84">
                  <c:v>1.3219875551461331E+22</c:v>
                </c:pt>
                <c:pt idx="85">
                  <c:v>1.3182212822881039E+22</c:v>
                </c:pt>
                <c:pt idx="86">
                  <c:v>1.3144657393473351E+22</c:v>
                </c:pt>
                <c:pt idx="87">
                  <c:v>1.3107208957548407E+22</c:v>
                </c:pt>
                <c:pt idx="88">
                  <c:v>1.3069867210287228E+22</c:v>
                </c:pt>
                <c:pt idx="89">
                  <c:v>1.3032631847739212E+22</c:v>
                </c:pt>
                <c:pt idx="90">
                  <c:v>1.2995502566819657E+22</c:v>
                </c:pt>
                <c:pt idx="91">
                  <c:v>1.2958479065307222E+22</c:v>
                </c:pt>
                <c:pt idx="92">
                  <c:v>1.292156104184146E+22</c:v>
                </c:pt>
                <c:pt idx="93">
                  <c:v>1.2884748195920311E+22</c:v>
                </c:pt>
                <c:pt idx="94">
                  <c:v>1.2848040227897604E+22</c:v>
                </c:pt>
                <c:pt idx="95">
                  <c:v>1.2811436838980552E+22</c:v>
                </c:pt>
                <c:pt idx="96">
                  <c:v>1.277493773122725E+22</c:v>
                </c:pt>
                <c:pt idx="97">
                  <c:v>1.2738542607562405E+22</c:v>
                </c:pt>
                <c:pt idx="98">
                  <c:v>1.2702251171728662E+22</c:v>
                </c:pt>
                <c:pt idx="99">
                  <c:v>1.2666063128324697E+22</c:v>
                </c:pt>
                <c:pt idx="100">
                  <c:v>1.2629978182790756E+22</c:v>
                </c:pt>
                <c:pt idx="101">
                  <c:v>1.2593996041406235E+22</c:v>
                </c:pt>
                <c:pt idx="102">
                  <c:v>1.2558116411287271E+22</c:v>
                </c:pt>
                <c:pt idx="103">
                  <c:v>1.2522339000384326E+22</c:v>
                </c:pt>
                <c:pt idx="104">
                  <c:v>1.2486663517479778E+22</c:v>
                </c:pt>
                <c:pt idx="105">
                  <c:v>1.2451089672185485E+22</c:v>
                </c:pt>
                <c:pt idx="106">
                  <c:v>1.2415617174940391E+22</c:v>
                </c:pt>
                <c:pt idx="107">
                  <c:v>1.238024573700811E+22</c:v>
                </c:pt>
                <c:pt idx="108">
                  <c:v>1.2344975070474501E+22</c:v>
                </c:pt>
                <c:pt idx="109">
                  <c:v>1.2309804888262852E+22</c:v>
                </c:pt>
                <c:pt idx="110">
                  <c:v>1.2274734904086874E+22</c:v>
                </c:pt>
                <c:pt idx="111">
                  <c:v>1.2239764832487486E+22</c:v>
                </c:pt>
                <c:pt idx="112">
                  <c:v>1.2204894388818859E+22</c:v>
                </c:pt>
                <c:pt idx="113">
                  <c:v>1.2170123289246074E+22</c:v>
                </c:pt>
                <c:pt idx="114">
                  <c:v>1.2135451250742786E+22</c:v>
                </c:pt>
                <c:pt idx="115">
                  <c:v>1.2100877991088885E+22</c:v>
                </c:pt>
                <c:pt idx="116">
                  <c:v>1.2066403228868193E+22</c:v>
                </c:pt>
                <c:pt idx="117">
                  <c:v>1.2032026683466081E+22</c:v>
                </c:pt>
                <c:pt idx="118">
                  <c:v>1.1997748075067183E+22</c:v>
                </c:pt>
                <c:pt idx="119">
                  <c:v>1.1963567124653028E+22</c:v>
                </c:pt>
                <c:pt idx="120">
                  <c:v>1.192948355399973E+22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courbes!$AD$1</c:f>
              <c:strCache>
                <c:ptCount val="1"/>
                <c:pt idx="0">
                  <c:v> Exact Simpl. - U238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courbes!$AD$2:$AD$136</c:f>
              <c:numCache>
                <c:formatCode>0.0000E+00</c:formatCode>
                <c:ptCount val="135"/>
                <c:pt idx="0">
                  <c:v>1.6799927091276066E+22</c:v>
                </c:pt>
                <c:pt idx="1">
                  <c:v>1.6752064971806066E+22</c:v>
                </c:pt>
                <c:pt idx="2">
                  <c:v>1.6704339209027838E+22</c:v>
                </c:pt>
                <c:pt idx="3">
                  <c:v>1.6656749414468249E+22</c:v>
                </c:pt>
                <c:pt idx="4">
                  <c:v>1.660929520076091E+22</c:v>
                </c:pt>
                <c:pt idx="5">
                  <c:v>1.6561976181643016E+22</c:v>
                </c:pt>
                <c:pt idx="6">
                  <c:v>1.6514791971952207E+22</c:v>
                </c:pt>
                <c:pt idx="7">
                  <c:v>1.6467742187623425E+22</c:v>
                </c:pt>
                <c:pt idx="8">
                  <c:v>1.6420826445685803E+22</c:v>
                </c:pt>
                <c:pt idx="9">
                  <c:v>1.6374044364259528E+22</c:v>
                </c:pt>
                <c:pt idx="10">
                  <c:v>1.6327395562552748E+22</c:v>
                </c:pt>
                <c:pt idx="11">
                  <c:v>1.6280879660858471E+22</c:v>
                </c:pt>
                <c:pt idx="12">
                  <c:v>1.6234496280551462E+22</c:v>
                </c:pt>
                <c:pt idx="13">
                  <c:v>1.6188245044085173E+22</c:v>
                </c:pt>
                <c:pt idx="14">
                  <c:v>1.6142125574988667E+22</c:v>
                </c:pt>
                <c:pt idx="15">
                  <c:v>1.6096137497863558E+22</c:v>
                </c:pt>
                <c:pt idx="16">
                  <c:v>1.6050280438380938E+22</c:v>
                </c:pt>
                <c:pt idx="17">
                  <c:v>1.6004554023278358E+22</c:v>
                </c:pt>
                <c:pt idx="18">
                  <c:v>1.5958957880356763E+22</c:v>
                </c:pt>
                <c:pt idx="19">
                  <c:v>1.5913491638477476E+22</c:v>
                </c:pt>
                <c:pt idx="20">
                  <c:v>1.5868154927559177E+22</c:v>
                </c:pt>
                <c:pt idx="21">
                  <c:v>1.5822947378574892E+22</c:v>
                </c:pt>
                <c:pt idx="22">
                  <c:v>1.5777868623548976E+22</c:v>
                </c:pt>
                <c:pt idx="23">
                  <c:v>1.5732918295554135E+22</c:v>
                </c:pt>
                <c:pt idx="24">
                  <c:v>1.5688096028708431E+22</c:v>
                </c:pt>
                <c:pt idx="25">
                  <c:v>1.5643401458172304E+22</c:v>
                </c:pt>
                <c:pt idx="26">
                  <c:v>1.5598834220145595E+22</c:v>
                </c:pt>
                <c:pt idx="27">
                  <c:v>1.5554393951864609E+22</c:v>
                </c:pt>
                <c:pt idx="28">
                  <c:v>1.5510080291599131E+22</c:v>
                </c:pt>
                <c:pt idx="29">
                  <c:v>1.5465892878649506E+22</c:v>
                </c:pt>
                <c:pt idx="30">
                  <c:v>1.5421831353343691E+22</c:v>
                </c:pt>
                <c:pt idx="31">
                  <c:v>1.5377895357034325E+22</c:v>
                </c:pt>
                <c:pt idx="32">
                  <c:v>1.5334084532095821E+22</c:v>
                </c:pt>
                <c:pt idx="33">
                  <c:v>1.5290398521921443E+22</c:v>
                </c:pt>
                <c:pt idx="34">
                  <c:v>1.5246836970920421E+22</c:v>
                </c:pt>
                <c:pt idx="35">
                  <c:v>1.5203399524515026E+22</c:v>
                </c:pt>
                <c:pt idx="36">
                  <c:v>1.5160085829137721E+22</c:v>
                </c:pt>
                <c:pt idx="37">
                  <c:v>1.5116895532228253E+22</c:v>
                </c:pt>
                <c:pt idx="38">
                  <c:v>1.5073828282230796E+22</c:v>
                </c:pt>
                <c:pt idx="39">
                  <c:v>1.5030883728591096E+22</c:v>
                </c:pt>
                <c:pt idx="40">
                  <c:v>1.4988061521753596E+22</c:v>
                </c:pt>
                <c:pt idx="41">
                  <c:v>1.4945361313158622E+22</c:v>
                </c:pt>
                <c:pt idx="42">
                  <c:v>1.4902782755239511E+22</c:v>
                </c:pt>
                <c:pt idx="43">
                  <c:v>1.4860325501419815E+22</c:v>
                </c:pt>
                <c:pt idx="44">
                  <c:v>1.4817989206110452E+22</c:v>
                </c:pt>
                <c:pt idx="45">
                  <c:v>1.4775773524706908E+22</c:v>
                </c:pt>
                <c:pt idx="46">
                  <c:v>1.4733678113586439E+22</c:v>
                </c:pt>
                <c:pt idx="47">
                  <c:v>1.4691702630105253E+22</c:v>
                </c:pt>
                <c:pt idx="48">
                  <c:v>1.4649846732595736E+22</c:v>
                </c:pt>
                <c:pt idx="49">
                  <c:v>1.4608110080363667E+22</c:v>
                </c:pt>
                <c:pt idx="50">
                  <c:v>1.4566492333685451E+22</c:v>
                </c:pt>
                <c:pt idx="51">
                  <c:v>1.4524993153805335E+22</c:v>
                </c:pt>
                <c:pt idx="52">
                  <c:v>1.4483612202932673E+22</c:v>
                </c:pt>
                <c:pt idx="53">
                  <c:v>1.4442349144239172E+22</c:v>
                </c:pt>
                <c:pt idx="54">
                  <c:v>1.4401203641856129E+22</c:v>
                </c:pt>
                <c:pt idx="55">
                  <c:v>1.4360175360871728E+22</c:v>
                </c:pt>
                <c:pt idx="56">
                  <c:v>1.4319263967328294E+22</c:v>
                </c:pt>
                <c:pt idx="57">
                  <c:v>1.4278469128219582E+22</c:v>
                </c:pt>
                <c:pt idx="58">
                  <c:v>1.4237790511488058E+22</c:v>
                </c:pt>
                <c:pt idx="59">
                  <c:v>1.4197227786022211E+22</c:v>
                </c:pt>
                <c:pt idx="60">
                  <c:v>1.4156780621653845E+22</c:v>
                </c:pt>
                <c:pt idx="61">
                  <c:v>1.4116448689155398E+22</c:v>
                </c:pt>
                <c:pt idx="62">
                  <c:v>1.407623166023726E+22</c:v>
                </c:pt>
                <c:pt idx="63">
                  <c:v>1.4036129207545097E+22</c:v>
                </c:pt>
                <c:pt idx="64">
                  <c:v>1.3996141004657198E+22</c:v>
                </c:pt>
                <c:pt idx="65">
                  <c:v>1.3956266726081801E+22</c:v>
                </c:pt>
                <c:pt idx="66">
                  <c:v>1.3916506047254465E+22</c:v>
                </c:pt>
                <c:pt idx="67">
                  <c:v>1.3876858644535404E+22</c:v>
                </c:pt>
                <c:pt idx="68">
                  <c:v>1.3837324195206875E+22</c:v>
                </c:pt>
                <c:pt idx="69">
                  <c:v>1.3797902377470535E+22</c:v>
                </c:pt>
                <c:pt idx="70">
                  <c:v>1.3758592870444826E+22</c:v>
                </c:pt>
                <c:pt idx="71">
                  <c:v>1.3719395354162374E+22</c:v>
                </c:pt>
                <c:pt idx="72">
                  <c:v>1.3680309509567365E+22</c:v>
                </c:pt>
                <c:pt idx="73">
                  <c:v>1.3641335018512965E+22</c:v>
                </c:pt>
                <c:pt idx="74">
                  <c:v>1.3602471563758727E+22</c:v>
                </c:pt>
                <c:pt idx="75">
                  <c:v>1.356371882896799E+22</c:v>
                </c:pt>
                <c:pt idx="76">
                  <c:v>1.352507649870534E+22</c:v>
                </c:pt>
                <c:pt idx="77">
                  <c:v>1.3486544258434008E+22</c:v>
                </c:pt>
                <c:pt idx="78">
                  <c:v>1.3448121794513326E+22</c:v>
                </c:pt>
                <c:pt idx="79">
                  <c:v>1.340980879419618E+22</c:v>
                </c:pt>
                <c:pt idx="80">
                  <c:v>1.3371604945626445E+22</c:v>
                </c:pt>
                <c:pt idx="81">
                  <c:v>1.333350993783647E+22</c:v>
                </c:pt>
                <c:pt idx="82">
                  <c:v>1.3295523460744521E+22</c:v>
                </c:pt>
                <c:pt idx="83">
                  <c:v>1.3257645205152281E+22</c:v>
                </c:pt>
                <c:pt idx="84">
                  <c:v>1.321987486274232E+22</c:v>
                </c:pt>
                <c:pt idx="85">
                  <c:v>1.318221212607559E+22</c:v>
                </c:pt>
                <c:pt idx="86">
                  <c:v>1.3144656688588916E+22</c:v>
                </c:pt>
                <c:pt idx="87">
                  <c:v>1.3107208244592506E+22</c:v>
                </c:pt>
                <c:pt idx="88">
                  <c:v>1.3069866489267473E+22</c:v>
                </c:pt>
                <c:pt idx="89">
                  <c:v>1.303263111866333E+22</c:v>
                </c:pt>
                <c:pt idx="90">
                  <c:v>1.2995501829695532E+22</c:v>
                </c:pt>
                <c:pt idx="91">
                  <c:v>1.2958478320143012E+22</c:v>
                </c:pt>
                <c:pt idx="92">
                  <c:v>1.2921560288645712E+22</c:v>
                </c:pt>
                <c:pt idx="93">
                  <c:v>1.2884747434702129E+22</c:v>
                </c:pt>
                <c:pt idx="94">
                  <c:v>1.2848039458666883E+22</c:v>
                </c:pt>
                <c:pt idx="95">
                  <c:v>1.2811436061748252E+22</c:v>
                </c:pt>
                <c:pt idx="96">
                  <c:v>1.2774936946005777E+22</c:v>
                </c:pt>
                <c:pt idx="97">
                  <c:v>1.2738541814347798E+22</c:v>
                </c:pt>
                <c:pt idx="98">
                  <c:v>1.2702250370529061E+22</c:v>
                </c:pt>
                <c:pt idx="99">
                  <c:v>1.2666062319148302E+22</c:v>
                </c:pt>
                <c:pt idx="100">
                  <c:v>1.2629977365645835E+22</c:v>
                </c:pt>
                <c:pt idx="101">
                  <c:v>1.2593995216301161E+22</c:v>
                </c:pt>
                <c:pt idx="102">
                  <c:v>1.2558115578230574E+22</c:v>
                </c:pt>
                <c:pt idx="103">
                  <c:v>1.2522338159384783E+22</c:v>
                </c:pt>
                <c:pt idx="104">
                  <c:v>1.2486662668546524E+22</c:v>
                </c:pt>
                <c:pt idx="105">
                  <c:v>1.2451088815328204E+22</c:v>
                </c:pt>
                <c:pt idx="106">
                  <c:v>1.2415616310169521E+22</c:v>
                </c:pt>
                <c:pt idx="107">
                  <c:v>1.2380244864335115E+22</c:v>
                </c:pt>
                <c:pt idx="108">
                  <c:v>1.2344974189912226E+22</c:v>
                </c:pt>
                <c:pt idx="109">
                  <c:v>1.2309803999808339E+22</c:v>
                </c:pt>
                <c:pt idx="110">
                  <c:v>1.2274734007748846E+22</c:v>
                </c:pt>
                <c:pt idx="111">
                  <c:v>1.2239763928274726E+22</c:v>
                </c:pt>
                <c:pt idx="112">
                  <c:v>1.2204893476740215E+22</c:v>
                </c:pt>
                <c:pt idx="113">
                  <c:v>1.2170122369310485E+22</c:v>
                </c:pt>
                <c:pt idx="114">
                  <c:v>1.2135450322959348E+22</c:v>
                </c:pt>
                <c:pt idx="115">
                  <c:v>1.2100877055466934E+22</c:v>
                </c:pt>
                <c:pt idx="116">
                  <c:v>1.2066402285417409E+22</c:v>
                </c:pt>
                <c:pt idx="117">
                  <c:v>1.2032025732196673E+22</c:v>
                </c:pt>
                <c:pt idx="118">
                  <c:v>1.1997747115990085E+22</c:v>
                </c:pt>
                <c:pt idx="119">
                  <c:v>1.196356615778018E+22</c:v>
                </c:pt>
                <c:pt idx="120">
                  <c:v>1.1929482579344399E+22</c:v>
                </c:pt>
                <c:pt idx="121">
                  <c:v>1.1895496103252822E+22</c:v>
                </c:pt>
                <c:pt idx="122">
                  <c:v>1.186160645286592E+22</c:v>
                </c:pt>
                <c:pt idx="123">
                  <c:v>1.1827813352332287E+22</c:v>
                </c:pt>
                <c:pt idx="124">
                  <c:v>1.179411652658641E+22</c:v>
                </c:pt>
                <c:pt idx="125">
                  <c:v>1.1760515701346417E+22</c:v>
                </c:pt>
                <c:pt idx="126">
                  <c:v>1.1727010603111857E+22</c:v>
                </c:pt>
                <c:pt idx="127">
                  <c:v>1.1693600959161463E+22</c:v>
                </c:pt>
                <c:pt idx="128">
                  <c:v>1.1660286497550942E+22</c:v>
                </c:pt>
                <c:pt idx="129">
                  <c:v>1.1627066947110749E+22</c:v>
                </c:pt>
                <c:pt idx="130">
                  <c:v>1.1593942037443891E+22</c:v>
                </c:pt>
                <c:pt idx="131">
                  <c:v>1.1560911498923727E+22</c:v>
                </c:pt>
                <c:pt idx="132">
                  <c:v>1.1527975062691755E+22</c:v>
                </c:pt>
                <c:pt idx="133">
                  <c:v>1.1495132460655447E+22</c:v>
                </c:pt>
                <c:pt idx="134">
                  <c:v>1.1462383425486059E+22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courbes!$AM$1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courbes!$AM$2:$AM$136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courbes!$AQ$1</c:f>
              <c:strCache>
                <c:ptCount val="1"/>
                <c:pt idx="0">
                  <c:v>VESTA - U238 </c:v>
                </c:pt>
              </c:strCache>
            </c:strRef>
          </c:tx>
          <c:marker>
            <c:symbol val="none"/>
          </c:marker>
          <c:xVal>
            <c:numRef>
              <c:f>courbes!$AO$2:$AO$8</c:f>
              <c:numCache>
                <c:formatCode>0.0000E+00</c:formatCode>
                <c:ptCount val="7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courbes!$AQ$2:$AQ$8</c:f>
              <c:numCache>
                <c:formatCode>0.0000E+00</c:formatCode>
                <c:ptCount val="7"/>
                <c:pt idx="0">
                  <c:v>1.6799927091276064E+22</c:v>
                </c:pt>
                <c:pt idx="1">
                  <c:v>1.6722149651038675E+22</c:v>
                </c:pt>
                <c:pt idx="2">
                  <c:v>1.6583878646172205E+22</c:v>
                </c:pt>
                <c:pt idx="3">
                  <c:v>1.6272768885222648E+22</c:v>
                </c:pt>
                <c:pt idx="4">
                  <c:v>1.5754252616973387E+22</c:v>
                </c:pt>
                <c:pt idx="5">
                  <c:v>1.4302407065875455E+22</c:v>
                </c:pt>
                <c:pt idx="6">
                  <c:v>1.2167848428249331E+22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50944"/>
        <c:axId val="86452480"/>
      </c:scatterChart>
      <c:valAx>
        <c:axId val="86450944"/>
        <c:scaling>
          <c:orientation val="minMax"/>
          <c:max val="10"/>
        </c:scaling>
        <c:delete val="0"/>
        <c:axPos val="b"/>
        <c:numFmt formatCode="General" sourceLinked="0"/>
        <c:majorTickMark val="out"/>
        <c:minorTickMark val="none"/>
        <c:tickLblPos val="nextTo"/>
        <c:crossAx val="86452480"/>
        <c:crosses val="autoZero"/>
        <c:crossBetween val="midCat"/>
      </c:valAx>
      <c:valAx>
        <c:axId val="86452480"/>
        <c:scaling>
          <c:orientation val="minMax"/>
          <c:min val="1E+22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864509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le Pu238</a:t>
            </a:r>
            <a:endParaRPr lang="fr-FR">
              <a:effectLst/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courbes!$W$1</c:f>
              <c:strCache>
                <c:ptCount val="1"/>
                <c:pt idx="0">
                  <c:v>Exact Simpl. - Pu238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courbes!$W$2:$W$136</c:f>
              <c:numCache>
                <c:formatCode>0.0000E+00</c:formatCode>
                <c:ptCount val="135"/>
                <c:pt idx="0">
                  <c:v>1.2032336397210911E+19</c:v>
                </c:pt>
                <c:pt idx="1">
                  <c:v>1.2244524625048338E+19</c:v>
                </c:pt>
                <c:pt idx="2">
                  <c:v>1.2444513376394756E+19</c:v>
                </c:pt>
                <c:pt idx="3">
                  <c:v>1.2632688167675199E+19</c:v>
                </c:pt>
                <c:pt idx="4">
                  <c:v>1.2809424252398715E+19</c:v>
                </c:pt>
                <c:pt idx="5">
                  <c:v>1.2975086873141232E+19</c:v>
                </c:pt>
                <c:pt idx="6">
                  <c:v>1.3130031507619987E+19</c:v>
                </c:pt>
                <c:pt idx="7">
                  <c:v>1.3274604108994576E+19</c:v>
                </c:pt>
                <c:pt idx="8">
                  <c:v>1.3409141340525773E+19</c:v>
                </c:pt>
                <c:pt idx="9">
                  <c:v>1.3533970804720689E+19</c:v>
                </c:pt>
                <c:pt idx="10">
                  <c:v>1.3649411267090612E+19</c:v>
                </c:pt>
                <c:pt idx="11">
                  <c:v>1.3755772874643669E+19</c:v>
                </c:pt>
                <c:pt idx="12">
                  <c:v>1.3853357369232957E+19</c:v>
                </c:pt>
                <c:pt idx="13">
                  <c:v>1.3942458295877673E+19</c:v>
                </c:pt>
                <c:pt idx="14">
                  <c:v>1.4023361206171812E+19</c:v>
                </c:pt>
                <c:pt idx="15">
                  <c:v>1.4096343856893092E+19</c:v>
                </c:pt>
                <c:pt idx="16">
                  <c:v>1.4161676403921428E+19</c:v>
                </c:pt>
                <c:pt idx="17">
                  <c:v>1.4219621591574815E+19</c:v>
                </c:pt>
                <c:pt idx="18">
                  <c:v>1.4270434937467093E+19</c:v>
                </c:pt>
                <c:pt idx="19">
                  <c:v>1.4314364912990298E+19</c:v>
                </c:pt>
                <c:pt idx="20">
                  <c:v>1.4351653119522128E+19</c:v>
                </c:pt>
                <c:pt idx="21">
                  <c:v>1.438253446045592E+19</c:v>
                </c:pt>
                <c:pt idx="22">
                  <c:v>1.44072373091497E+19</c:v>
                </c:pt>
                <c:pt idx="23">
                  <c:v>1.4425983672887386E+19</c:v>
                </c:pt>
                <c:pt idx="24">
                  <c:v>1.4438989352943985E+19</c:v>
                </c:pt>
                <c:pt idx="25">
                  <c:v>1.4446464100844282E+19</c:v>
                </c:pt>
                <c:pt idx="26">
                  <c:v>1.4448611770902389E+19</c:v>
                </c:pt>
                <c:pt idx="27">
                  <c:v>1.4445630469127832E+19</c:v>
                </c:pt>
                <c:pt idx="28">
                  <c:v>1.4437712698581574E+19</c:v>
                </c:pt>
                <c:pt idx="29">
                  <c:v>1.4425045501264036E+19</c:v>
                </c:pt>
                <c:pt idx="30">
                  <c:v>1.4407810596614627E+19</c:v>
                </c:pt>
                <c:pt idx="31">
                  <c:v>1.4386184516701127E+19</c:v>
                </c:pt>
                <c:pt idx="32">
                  <c:v>1.4360338738175107E+19</c:v>
                </c:pt>
                <c:pt idx="33">
                  <c:v>1.4330439811068133E+19</c:v>
                </c:pt>
                <c:pt idx="34">
                  <c:v>1.4296649484501541E+19</c:v>
                </c:pt>
                <c:pt idx="35">
                  <c:v>1.4259124829381198E+19</c:v>
                </c:pt>
                <c:pt idx="36">
                  <c:v>1.4218018358146753E+19</c:v>
                </c:pt>
                <c:pt idx="37">
                  <c:v>1.4173478141643727E+19</c:v>
                </c:pt>
                <c:pt idx="38">
                  <c:v>1.4125647923184771E+19</c:v>
                </c:pt>
                <c:pt idx="39">
                  <c:v>1.4074667229865353E+19</c:v>
                </c:pt>
                <c:pt idx="40">
                  <c:v>1.402067148119724E+19</c:v>
                </c:pt>
                <c:pt idx="41">
                  <c:v>1.3963792095122317E+19</c:v>
                </c:pt>
                <c:pt idx="42">
                  <c:v>1.390415659146693E+19</c:v>
                </c:pt>
                <c:pt idx="43">
                  <c:v>1.3841888692896809E+19</c:v>
                </c:pt>
                <c:pt idx="44">
                  <c:v>1.3777108423429964E+19</c:v>
                </c:pt>
                <c:pt idx="45">
                  <c:v>1.3709932204564787E+19</c:v>
                </c:pt>
                <c:pt idx="46">
                  <c:v>1.3640472949078483E+19</c:v>
                </c:pt>
                <c:pt idx="47">
                  <c:v>1.3568840152550085E+19</c:v>
                </c:pt>
                <c:pt idx="48">
                  <c:v>1.3495139982661218E+19</c:v>
                </c:pt>
                <c:pt idx="49">
                  <c:v>1.3419475366326006E+19</c:v>
                </c:pt>
                <c:pt idx="50">
                  <c:v>1.3341946074701005E+19</c:v>
                </c:pt>
                <c:pt idx="51">
                  <c:v>1.3262648806124438E+19</c:v>
                </c:pt>
                <c:pt idx="52">
                  <c:v>1.3181677267033182E+19</c:v>
                </c:pt>
                <c:pt idx="53">
                  <c:v>1.3099122250904539E+19</c:v>
                </c:pt>
                <c:pt idx="54">
                  <c:v>1.3015071715269087E+19</c:v>
                </c:pt>
                <c:pt idx="55">
                  <c:v>1.2929610856839643E+19</c:v>
                </c:pt>
                <c:pt idx="56">
                  <c:v>1.2842822184800502E+19</c:v>
                </c:pt>
                <c:pt idx="57">
                  <c:v>1.2754785592299831E+19</c:v>
                </c:pt>
                <c:pt idx="58">
                  <c:v>1.2665578426187432E+19</c:v>
                </c:pt>
                <c:pt idx="59">
                  <c:v>1.2575275555039142E+19</c:v>
                </c:pt>
                <c:pt idx="60">
                  <c:v>1.2483949435507675E+19</c:v>
                </c:pt>
                <c:pt idx="61">
                  <c:v>1.2391670177039671E+19</c:v>
                </c:pt>
                <c:pt idx="62">
                  <c:v>1.2298505604996911E+19</c:v>
                </c:pt>
                <c:pt idx="63">
                  <c:v>1.2204521322219454E+19</c:v>
                </c:pt>
                <c:pt idx="64">
                  <c:v>1.2109780769067327E+19</c:v>
                </c:pt>
                <c:pt idx="65">
                  <c:v>1.2014345281976381E+19</c:v>
                </c:pt>
                <c:pt idx="66">
                  <c:v>1.1918274150563705E+19</c:v>
                </c:pt>
                <c:pt idx="67">
                  <c:v>1.1821624673316327E+19</c:v>
                </c:pt>
                <c:pt idx="68">
                  <c:v>1.1724452211896988E+19</c:v>
                </c:pt>
                <c:pt idx="69">
                  <c:v>1.1626810244099473E+19</c:v>
                </c:pt>
                <c:pt idx="70">
                  <c:v>1.1528750415485407E+19</c:v>
                </c:pt>
                <c:pt idx="71">
                  <c:v>1.1430322589733753E+19</c:v>
                </c:pt>
                <c:pt idx="72">
                  <c:v>1.1331574897733448E+19</c:v>
                </c:pt>
                <c:pt idx="73">
                  <c:v>1.1232553785448899E+19</c:v>
                </c:pt>
                <c:pt idx="74">
                  <c:v>1.1133304060587461E+19</c:v>
                </c:pt>
                <c:pt idx="75">
                  <c:v>1.1033868938097353E+19</c:v>
                </c:pt>
                <c:pt idx="76">
                  <c:v>1.0934290084523665E+19</c:v>
                </c:pt>
                <c:pt idx="77">
                  <c:v>1.0834607661249677E+19</c:v>
                </c:pt>
                <c:pt idx="78">
                  <c:v>1.0734860366649954E+19</c:v>
                </c:pt>
                <c:pt idx="79">
                  <c:v>1.0635085477181104E+19</c:v>
                </c:pt>
                <c:pt idx="80">
                  <c:v>1.0535318887435528E+19</c:v>
                </c:pt>
                <c:pt idx="81">
                  <c:v>1.0435595149182833E+19</c:v>
                </c:pt>
                <c:pt idx="82">
                  <c:v>1.0335947509423067E+19</c:v>
                </c:pt>
                <c:pt idx="83">
                  <c:v>1.0236407947475427E+19</c:v>
                </c:pt>
                <c:pt idx="84">
                  <c:v>1.0137007211125389E+19</c:v>
                </c:pt>
                <c:pt idx="85">
                  <c:v>1.0037774851852859E+19</c:v>
                </c:pt>
                <c:pt idx="86">
                  <c:v>9.9387392591632712E+18</c:v>
                </c:pt>
                <c:pt idx="87">
                  <c:v>9.8399276940431892E+18</c:v>
                </c:pt>
                <c:pt idx="88">
                  <c:v>9.7413663215613501E+18</c:v>
                </c:pt>
                <c:pt idx="89">
                  <c:v>9.6430802426356982E+18</c:v>
                </c:pt>
                <c:pt idx="90">
                  <c:v>9.5450935249864233E+18</c:v>
                </c:pt>
                <c:pt idx="91">
                  <c:v>9.4474292332945367E+18</c:v>
                </c:pt>
                <c:pt idx="92">
                  <c:v>9.350109458585172E+18</c:v>
                </c:pt>
                <c:pt idx="93">
                  <c:v>9.2531553468542771E+18</c:v>
                </c:pt>
                <c:pt idx="94">
                  <c:v>9.1565871269568635E+18</c:v>
                </c:pt>
                <c:pt idx="95">
                  <c:v>9.0604241377746821E+18</c:v>
                </c:pt>
                <c:pt idx="96">
                  <c:v>8.9646848546807706E+18</c:v>
                </c:pt>
                <c:pt idx="97">
                  <c:v>8.8693869153178419E+18</c:v>
                </c:pt>
                <c:pt idx="98">
                  <c:v>8.7745471447070269E+18</c:v>
                </c:pt>
                <c:pt idx="99">
                  <c:v>8.6801815797033759E+18</c:v>
                </c:pt>
                <c:pt idx="100">
                  <c:v>8.5863054928138015E+18</c:v>
                </c:pt>
                <c:pt idx="101">
                  <c:v>8.492933415393022E+18</c:v>
                </c:pt>
                <c:pt idx="102">
                  <c:v>8.4000791602326098E+18</c:v>
                </c:pt>
                <c:pt idx="103">
                  <c:v>8.3077558435578593E+18</c:v>
                </c:pt>
                <c:pt idx="104">
                  <c:v>8.2159759064469463E+18</c:v>
                </c:pt>
                <c:pt idx="105">
                  <c:v>8.1247511356864614E+18</c:v>
                </c:pt>
                <c:pt idx="106">
                  <c:v>8.0340926840770028E+18</c:v>
                </c:pt>
                <c:pt idx="107">
                  <c:v>7.9440110902023526E+18</c:v>
                </c:pt>
                <c:pt idx="108">
                  <c:v>7.8545162976752906E+18</c:v>
                </c:pt>
                <c:pt idx="109">
                  <c:v>7.7656176738728622E+18</c:v>
                </c:pt>
                <c:pt idx="110">
                  <c:v>7.6773240281736581E+18</c:v>
                </c:pt>
                <c:pt idx="111">
                  <c:v>7.5896436297092618E+18</c:v>
                </c:pt>
                <c:pt idx="112">
                  <c:v>7.5025842246418391E+18</c:v>
                </c:pt>
                <c:pt idx="113">
                  <c:v>7.4161530529795123E+18</c:v>
                </c:pt>
                <c:pt idx="114">
                  <c:v>7.3303568649408573E+18</c:v>
                </c:pt>
                <c:pt idx="115">
                  <c:v>7.2452019368797338E+18</c:v>
                </c:pt>
                <c:pt idx="116">
                  <c:v>7.1606940867811932E+18</c:v>
                </c:pt>
                <c:pt idx="117">
                  <c:v>7.0768386893391012E+18</c:v>
                </c:pt>
                <c:pt idx="118">
                  <c:v>6.9936406906258309E+18</c:v>
                </c:pt>
                <c:pt idx="119">
                  <c:v>6.9111046223641426E+18</c:v>
                </c:pt>
                <c:pt idx="120">
                  <c:v>6.8292346158110372E+18</c:v>
                </c:pt>
                <c:pt idx="121">
                  <c:v>6.7480344152633344E+18</c:v>
                </c:pt>
                <c:pt idx="122">
                  <c:v>6.6675073911942339E+18</c:v>
                </c:pt>
                <c:pt idx="123">
                  <c:v>6.5876565530302188E+18</c:v>
                </c:pt>
                <c:pt idx="124">
                  <c:v>6.5084845615770634E+18</c:v>
                </c:pt>
                <c:pt idx="125">
                  <c:v>6.4299937411039068E+18</c:v>
                </c:pt>
                <c:pt idx="126">
                  <c:v>6.3521860910937334E+18</c:v>
                </c:pt>
                <c:pt idx="127">
                  <c:v>6.2750632976687892E+18</c:v>
                </c:pt>
                <c:pt idx="128">
                  <c:v>6.1986267446989373E+18</c:v>
                </c:pt>
                <c:pt idx="129">
                  <c:v>6.1228775246009846E+18</c:v>
                </c:pt>
                <c:pt idx="130">
                  <c:v>6.0478164488367288E+18</c:v>
                </c:pt>
                <c:pt idx="131">
                  <c:v>5.9734440581172705E+18</c:v>
                </c:pt>
                <c:pt idx="132">
                  <c:v>5.8997606323210301E+18</c:v>
                </c:pt>
                <c:pt idx="133">
                  <c:v>5.8267662001326664E+18</c:v>
                </c:pt>
                <c:pt idx="134">
                  <c:v>5.7544605484099574E+18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courbes!$K$1</c:f>
              <c:strCache>
                <c:ptCount val="1"/>
                <c:pt idx="0">
                  <c:v>O5 - Pu238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courbes!$K$2:$K$115</c:f>
              <c:numCache>
                <c:formatCode>0.0000E+00</c:formatCode>
                <c:ptCount val="114"/>
                <c:pt idx="0">
                  <c:v>1.2032336397210882E+19</c:v>
                </c:pt>
                <c:pt idx="1">
                  <c:v>1.2596543937684191E+19</c:v>
                </c:pt>
                <c:pt idx="2">
                  <c:v>1.314285138892204E+19</c:v>
                </c:pt>
                <c:pt idx="3">
                  <c:v>1.3671672617136284E+19</c:v>
                </c:pt>
                <c:pt idx="4">
                  <c:v>1.418341442422512E+19</c:v>
                </c:pt>
                <c:pt idx="5">
                  <c:v>1.4678476591997563E+19</c:v>
                </c:pt>
                <c:pt idx="6">
                  <c:v>1.5157251926397983E+19</c:v>
                </c:pt>
                <c:pt idx="7">
                  <c:v>1.5620126301730623E+19</c:v>
                </c:pt>
                <c:pt idx="8">
                  <c:v>1.6067478704884113E+19</c:v>
                </c:pt>
                <c:pt idx="9">
                  <c:v>1.6499681279555987E+19</c:v>
                </c:pt>
                <c:pt idx="10">
                  <c:v>1.6917099370477197E+19</c:v>
                </c:pt>
                <c:pt idx="11">
                  <c:v>1.732009156763664E+19</c:v>
                </c:pt>
                <c:pt idx="12">
                  <c:v>1.7709009750505669E+19</c:v>
                </c:pt>
                <c:pt idx="13">
                  <c:v>1.8084206790398081E+19</c:v>
                </c:pt>
                <c:pt idx="14">
                  <c:v>1.8446016719520647E+19</c:v>
                </c:pt>
                <c:pt idx="15">
                  <c:v>1.8794772575702479E+19</c:v>
                </c:pt>
                <c:pt idx="16">
                  <c:v>1.9130801085002007E+19</c:v>
                </c:pt>
                <c:pt idx="17">
                  <c:v>1.9454422730904166E+19</c:v>
                </c:pt>
                <c:pt idx="18">
                  <c:v>1.9765951823517495E+19</c:v>
                </c:pt>
                <c:pt idx="19">
                  <c:v>2.0065696568771265E+19</c:v>
                </c:pt>
                <c:pt idx="20">
                  <c:v>2.0353959137612653E+19</c:v>
                </c:pt>
                <c:pt idx="21">
                  <c:v>2.0631035735203795E+19</c:v>
                </c:pt>
                <c:pt idx="22">
                  <c:v>2.0897216670119018E+19</c:v>
                </c:pt>
                <c:pt idx="23">
                  <c:v>2.1152786423541907E+19</c:v>
                </c:pt>
                <c:pt idx="24">
                  <c:v>2.1398023718462448E+19</c:v>
                </c:pt>
                <c:pt idx="25">
                  <c:v>2.1633204611790545E+19</c:v>
                </c:pt>
                <c:pt idx="26">
                  <c:v>2.1858594623160435E+19</c:v>
                </c:pt>
                <c:pt idx="27">
                  <c:v>2.2074455981244969E+19</c:v>
                </c:pt>
                <c:pt idx="28">
                  <c:v>2.2281045508420997E+19</c:v>
                </c:pt>
                <c:pt idx="29">
                  <c:v>2.2478614697759318E+19</c:v>
                </c:pt>
                <c:pt idx="30">
                  <c:v>2.2667409790014497E+19</c:v>
                </c:pt>
                <c:pt idx="31">
                  <c:v>2.2847671850614768E+19</c:v>
                </c:pt>
                <c:pt idx="32">
                  <c:v>2.3019636846651912E+19</c:v>
                </c:pt>
                <c:pt idx="33">
                  <c:v>2.3183535723871146E+19</c:v>
                </c:pt>
                <c:pt idx="34">
                  <c:v>2.333959448366098E+19</c:v>
                </c:pt>
                <c:pt idx="35">
                  <c:v>2.3488034260043112E+19</c:v>
                </c:pt>
                <c:pt idx="36">
                  <c:v>2.3629071396662321E+19</c:v>
                </c:pt>
                <c:pt idx="37">
                  <c:v>2.3762917868079403E+19</c:v>
                </c:pt>
                <c:pt idx="38">
                  <c:v>2.3889780324963009E+19</c:v>
                </c:pt>
                <c:pt idx="39">
                  <c:v>2.4009861190591513E+19</c:v>
                </c:pt>
                <c:pt idx="40">
                  <c:v>2.4123358397672296E+19</c:v>
                </c:pt>
                <c:pt idx="41">
                  <c:v>2.423046546345096E+19</c:v>
                </c:pt>
                <c:pt idx="42">
                  <c:v>2.4331371564820513E+19</c:v>
                </c:pt>
                <c:pt idx="43">
                  <c:v>2.4426261613430649E+19</c:v>
                </c:pt>
                <c:pt idx="44">
                  <c:v>2.4515316330796904E+19</c:v>
                </c:pt>
                <c:pt idx="45">
                  <c:v>2.4598712323409953E+19</c:v>
                </c:pt>
                <c:pt idx="46">
                  <c:v>2.4676622157844754E+19</c:v>
                </c:pt>
                <c:pt idx="47">
                  <c:v>2.4749214435869831E+19</c:v>
                </c:pt>
                <c:pt idx="48">
                  <c:v>2.481665386955647E+19</c:v>
                </c:pt>
                <c:pt idx="49">
                  <c:v>2.4879100257572585E+19</c:v>
                </c:pt>
                <c:pt idx="50">
                  <c:v>2.4936711261319193E+19</c:v>
                </c:pt>
                <c:pt idx="51">
                  <c:v>2.4989640165015855E+19</c:v>
                </c:pt>
                <c:pt idx="52">
                  <c:v>2.5038036612025692E+19</c:v>
                </c:pt>
                <c:pt idx="53">
                  <c:v>2.5082046673107005E+19</c:v>
                </c:pt>
                <c:pt idx="54">
                  <c:v>2.5121812914664894E+19</c:v>
                </c:pt>
                <c:pt idx="55">
                  <c:v>2.5157474467002839E+19</c:v>
                </c:pt>
                <c:pt idx="56">
                  <c:v>2.5189167092574368E+19</c:v>
                </c:pt>
                <c:pt idx="57">
                  <c:v>2.5217023254234624E+19</c:v>
                </c:pt>
                <c:pt idx="58">
                  <c:v>2.5241172183492002E+19</c:v>
                </c:pt>
                <c:pt idx="59">
                  <c:v>2.5261739948759761E+19</c:v>
                </c:pt>
                <c:pt idx="60">
                  <c:v>2.5278849523607638E+19</c:v>
                </c:pt>
                <c:pt idx="61">
                  <c:v>2.5292619075303313E+19</c:v>
                </c:pt>
                <c:pt idx="62">
                  <c:v>2.5303166505971208E+19</c:v>
                </c:pt>
                <c:pt idx="63">
                  <c:v>2.5310605615625998E+19</c:v>
                </c:pt>
                <c:pt idx="64">
                  <c:v>2.5315047311750672E+19</c:v>
                </c:pt>
                <c:pt idx="65">
                  <c:v>2.5316599668574077E+19</c:v>
                </c:pt>
                <c:pt idx="66">
                  <c:v>2.5315367986348536E+19</c:v>
                </c:pt>
                <c:pt idx="67">
                  <c:v>2.5311454850627351E+19</c:v>
                </c:pt>
                <c:pt idx="68">
                  <c:v>2.5304960191542432E+19</c:v>
                </c:pt>
                <c:pt idx="69">
                  <c:v>2.5295981343081812E+19</c:v>
                </c:pt>
                <c:pt idx="70">
                  <c:v>2.5284613102367257E+19</c:v>
                </c:pt>
                <c:pt idx="71">
                  <c:v>2.5270947788931817E+19</c:v>
                </c:pt>
                <c:pt idx="72">
                  <c:v>2.5255075303997342E+19</c:v>
                </c:pt>
                <c:pt idx="73">
                  <c:v>2.5237081184178864E+19</c:v>
                </c:pt>
                <c:pt idx="74">
                  <c:v>2.5217051733436129E+19</c:v>
                </c:pt>
                <c:pt idx="75">
                  <c:v>2.5195069630603432E+19</c:v>
                </c:pt>
                <c:pt idx="76">
                  <c:v>2.5171215297860641E+19</c:v>
                </c:pt>
                <c:pt idx="77">
                  <c:v>2.5145566950595908E+19</c:v>
                </c:pt>
                <c:pt idx="78">
                  <c:v>2.5118200647268413E+19</c:v>
                </c:pt>
                <c:pt idx="79">
                  <c:v>2.5089190339271029E+19</c:v>
                </c:pt>
                <c:pt idx="80">
                  <c:v>2.5058607920793072E+19</c:v>
                </c:pt>
                <c:pt idx="81">
                  <c:v>2.5026523278682993E+19</c:v>
                </c:pt>
                <c:pt idx="82">
                  <c:v>2.4993004342311072E+19</c:v>
                </c:pt>
                <c:pt idx="83">
                  <c:v>2.4958117133432164E+19</c:v>
                </c:pt>
                <c:pt idx="84">
                  <c:v>2.4921925816048378E+19</c:v>
                </c:pt>
                <c:pt idx="85">
                  <c:v>2.4884490773279646E+19</c:v>
                </c:pt>
                <c:pt idx="86">
                  <c:v>2.4845873662625366E+19</c:v>
                </c:pt>
                <c:pt idx="87">
                  <c:v>2.4806133062407373E+19</c:v>
                </c:pt>
                <c:pt idx="88">
                  <c:v>2.4765325820404527E+19</c:v>
                </c:pt>
                <c:pt idx="89">
                  <c:v>2.4723507094782747E+19</c:v>
                </c:pt>
                <c:pt idx="90">
                  <c:v>2.468073039502506E+19</c:v>
                </c:pt>
                <c:pt idx="91">
                  <c:v>2.4637047622861672E+19</c:v>
                </c:pt>
                <c:pt idx="92">
                  <c:v>2.4592509113199976E+19</c:v>
                </c:pt>
                <c:pt idx="93">
                  <c:v>2.4547163675054653E+19</c:v>
                </c:pt>
                <c:pt idx="94">
                  <c:v>2.4501058632477688E+19</c:v>
                </c:pt>
                <c:pt idx="95">
                  <c:v>2.4454239865488421E+19</c:v>
                </c:pt>
                <c:pt idx="96">
                  <c:v>2.4406751851003613E+19</c:v>
                </c:pt>
                <c:pt idx="97">
                  <c:v>2.4358635898320036E+19</c:v>
                </c:pt>
                <c:pt idx="98">
                  <c:v>2.4309934778589184E+19</c:v>
                </c:pt>
                <c:pt idx="99">
                  <c:v>2.4260688723264397E+19</c:v>
                </c:pt>
                <c:pt idx="100">
                  <c:v>2.421093665938781E+19</c:v>
                </c:pt>
                <c:pt idx="101">
                  <c:v>2.4160716242524951E+19</c:v>
                </c:pt>
                <c:pt idx="102">
                  <c:v>2.4110063889699303E+19</c:v>
                </c:pt>
                <c:pt idx="103">
                  <c:v>2.4059014812326941E+19</c:v>
                </c:pt>
                <c:pt idx="104">
                  <c:v>2.4007603049151082E+19</c:v>
                </c:pt>
                <c:pt idx="105">
                  <c:v>2.3955861499176653E+19</c:v>
                </c:pt>
                <c:pt idx="106">
                  <c:v>2.3903821954604958E+19</c:v>
                </c:pt>
                <c:pt idx="107">
                  <c:v>2.3851515133768159E+19</c:v>
                </c:pt>
                <c:pt idx="108">
                  <c:v>2.379897071406395E+19</c:v>
                </c:pt>
                <c:pt idx="109">
                  <c:v>2.3746215786343199E+19</c:v>
                </c:pt>
                <c:pt idx="110">
                  <c:v>2.3693278904525246E+19</c:v>
                </c:pt>
                <c:pt idx="111">
                  <c:v>2.3640186576478614E+19</c:v>
                </c:pt>
                <c:pt idx="112">
                  <c:v>2.3586964344651661E+19</c:v>
                </c:pt>
                <c:pt idx="113">
                  <c:v>2.3533636812121375E+19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courbes!$AF$1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courbes!$AE$2:$AE$510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courbes!$AF$2:$AF$51</c:f>
              <c:numCache>
                <c:formatCode>0.0000E+00</c:formatCode>
                <c:ptCount val="50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courbes!$AR$1</c:f>
              <c:strCache>
                <c:ptCount val="1"/>
                <c:pt idx="0">
                  <c:v>VESTA - Pu238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courbes!$AR$2:$AR$8</c:f>
              <c:numCache>
                <c:formatCode>0.0000E+00</c:formatCode>
                <c:ptCount val="7"/>
                <c:pt idx="0">
                  <c:v>1.2032336397210882E+19</c:v>
                </c:pt>
                <c:pt idx="1">
                  <c:v>1.1798109228699929E+19</c:v>
                </c:pt>
                <c:pt idx="2">
                  <c:v>1.1676658104286841E+19</c:v>
                </c:pt>
                <c:pt idx="3">
                  <c:v>1.2301263886982719E+19</c:v>
                </c:pt>
                <c:pt idx="4">
                  <c:v>1.4400633323266089E+19</c:v>
                </c:pt>
                <c:pt idx="5">
                  <c:v>2.0776817354953179E+19</c:v>
                </c:pt>
                <c:pt idx="6">
                  <c:v>2.7387228555151225E+19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courbes!$B$1</c:f>
              <c:strCache>
                <c:ptCount val="1"/>
                <c:pt idx="0">
                  <c:v>RK1 - Pu238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courbes!$B$2:$B$136</c:f>
              <c:numCache>
                <c:formatCode>0.0000E+00</c:formatCode>
                <c:ptCount val="135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500480"/>
        <c:axId val="86502400"/>
      </c:scatterChart>
      <c:valAx>
        <c:axId val="86500480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86502400"/>
        <c:crosses val="autoZero"/>
        <c:crossBetween val="midCat"/>
      </c:valAx>
      <c:valAx>
        <c:axId val="86502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Nombre de noyaux</a:t>
                </a:r>
              </a:p>
            </c:rich>
          </c:tx>
          <c:layout/>
          <c:overlay val="0"/>
        </c:title>
        <c:numFmt formatCode="0.0000E+00" sourceLinked="1"/>
        <c:majorTickMark val="out"/>
        <c:minorTickMark val="none"/>
        <c:tickLblPos val="nextTo"/>
        <c:crossAx val="865004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Dragon_vs_RK1!$E$1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Dragon_vs_RK1!$E$2:$E$574</c:f>
              <c:numCache>
                <c:formatCode>0.00E+00</c:formatCode>
                <c:ptCount val="573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Dragon_vs_RK1!$F$1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Dragon_vs_RK1!$F$2:$F$574</c:f>
              <c:numCache>
                <c:formatCode>0.00E+00</c:formatCode>
                <c:ptCount val="573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Dragon_vs_RK1!$G$1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Dragon_vs_RK1!$G$2:$G$574</c:f>
              <c:numCache>
                <c:formatCode>0.00E+00</c:formatCode>
                <c:ptCount val="573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Dragon_vs_RK1!$H$1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Dragon_vs_RK1!$H$2:$H$574</c:f>
              <c:numCache>
                <c:formatCode>0.00E+00</c:formatCode>
                <c:ptCount val="573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Dragon_vs_RK1!$I$1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Dragon_vs_RK1!$I$2:$I$574</c:f>
              <c:numCache>
                <c:formatCode>0.00E+00</c:formatCode>
                <c:ptCount val="573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Dragon_vs_RK1!$D$1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Dragon_vs_RK1!$D$2:$D$574</c:f>
              <c:numCache>
                <c:formatCode>0.00E+00</c:formatCode>
                <c:ptCount val="573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Dragon_vs_RK1!$K$1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Dragon_vs_RK1!$K$2:$K$574</c:f>
              <c:numCache>
                <c:formatCode>0.00E+00</c:formatCode>
                <c:ptCount val="573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Dragon_vs_RK1!$J$1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Dragon_vs_RK1!$J$2:$J$574</c:f>
              <c:numCache>
                <c:formatCode>0.00E+00</c:formatCode>
                <c:ptCount val="573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37824"/>
        <c:axId val="87039360"/>
      </c:scatterChart>
      <c:valAx>
        <c:axId val="8703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7039360"/>
        <c:crosses val="autoZero"/>
        <c:crossBetween val="midCat"/>
      </c:valAx>
      <c:valAx>
        <c:axId val="8703936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870378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Dragon_vs_RK1!$P$1</c:f>
              <c:strCache>
                <c:ptCount val="1"/>
                <c:pt idx="0">
                  <c:v>RK1 - Pu238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Dragon_vs_RK1!$P$2:$P$574</c:f>
              <c:numCache>
                <c:formatCode>0.00E+00</c:formatCode>
                <c:ptCount val="573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Dragon_vs_RK1!$Q$1</c:f>
              <c:strCache>
                <c:ptCount val="1"/>
                <c:pt idx="0">
                  <c:v>RK1 - Pu239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Dragon_vs_RK1!$Q$2:$Q$574</c:f>
              <c:numCache>
                <c:formatCode>0.00E+00</c:formatCode>
                <c:ptCount val="573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Dragon_vs_RK1!$R$1</c:f>
              <c:strCache>
                <c:ptCount val="1"/>
                <c:pt idx="0">
                  <c:v>RK1 - Pu240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Dragon_vs_RK1!$R$2:$R$574</c:f>
              <c:numCache>
                <c:formatCode>0.00E+00</c:formatCode>
                <c:ptCount val="573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Dragon_vs_RK1!$S$1</c:f>
              <c:strCache>
                <c:ptCount val="1"/>
                <c:pt idx="0">
                  <c:v>RK1 - Pu241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Dragon_vs_RK1!$S$2:$S$574</c:f>
              <c:numCache>
                <c:formatCode>0.00E+00</c:formatCode>
                <c:ptCount val="573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Dragon_vs_RK1!$T$1</c:f>
              <c:strCache>
                <c:ptCount val="1"/>
                <c:pt idx="0">
                  <c:v>RK1 - Pu242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Dragon_vs_RK1!$T$2:$T$574</c:f>
              <c:numCache>
                <c:formatCode>0.00E+00</c:formatCode>
                <c:ptCount val="573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Dragon_vs_RK1!$U$1</c:f>
              <c:strCache>
                <c:ptCount val="1"/>
                <c:pt idx="0">
                  <c:v>RK1 - Am241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Dragon_vs_RK1!$U$2:$U$574</c:f>
              <c:numCache>
                <c:formatCode>0.00E+00</c:formatCode>
                <c:ptCount val="573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Dragon_vs_RK1!$V$1</c:f>
              <c:strCache>
                <c:ptCount val="1"/>
                <c:pt idx="0">
                  <c:v>RK1 - U235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Dragon_vs_RK1!$V$2:$V$574</c:f>
              <c:numCache>
                <c:formatCode>0.00E+00</c:formatCode>
                <c:ptCount val="573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Dragon_vs_RK1!$W$1</c:f>
              <c:strCache>
                <c:ptCount val="1"/>
                <c:pt idx="0">
                  <c:v>RK1 - U238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Dragon_vs_RK1!$W$2:$W$574</c:f>
              <c:numCache>
                <c:formatCode>0.00E+00</c:formatCode>
                <c:ptCount val="573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89920"/>
        <c:axId val="87091456"/>
      </c:scatterChart>
      <c:valAx>
        <c:axId val="87089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7091456"/>
        <c:crosses val="autoZero"/>
        <c:crossBetween val="midCat"/>
      </c:valAx>
      <c:valAx>
        <c:axId val="87091456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870899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Dragon_vs_RK1!$AJ$1</c:f>
          <c:strCache>
            <c:ptCount val="1"/>
            <c:pt idx="0">
              <c:v>U238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Dragon_vs_RK1!$K$1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Dragon_vs_RK1!$K$2:$K$574</c:f>
              <c:numCache>
                <c:formatCode>0.00E+00</c:formatCode>
                <c:ptCount val="573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Dragon_vs_RK1!$W$1</c:f>
              <c:strCache>
                <c:ptCount val="1"/>
                <c:pt idx="0">
                  <c:v>RK1 - U238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Dragon_vs_RK1!$W$2:$W$574</c:f>
              <c:numCache>
                <c:formatCode>0.00E+00</c:formatCode>
                <c:ptCount val="573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86048"/>
        <c:axId val="87200512"/>
      </c:scatterChart>
      <c:valAx>
        <c:axId val="87186048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87200512"/>
        <c:crosses val="autoZero"/>
        <c:crossBetween val="midCat"/>
        <c:majorUnit val="1"/>
      </c:valAx>
      <c:valAx>
        <c:axId val="87200512"/>
        <c:scaling>
          <c:orientation val="minMax"/>
          <c:min val="1.0000000000000002E-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overlay val="0"/>
        </c:title>
        <c:numFmt formatCode="0.0E+00" sourceLinked="0"/>
        <c:majorTickMark val="none"/>
        <c:minorTickMark val="none"/>
        <c:tickLblPos val="nextTo"/>
        <c:crossAx val="871860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Dragon_vs_RK1!$AD$1</c:f>
          <c:strCache>
            <c:ptCount val="1"/>
            <c:pt idx="0">
              <c:v>Pu239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Dragon_vs_RK1!$E$1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Dragon_vs_RK1!$E$2:$E$574</c:f>
              <c:numCache>
                <c:formatCode>0.00E+00</c:formatCode>
                <c:ptCount val="573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Dragon_vs_RK1!$Q$1</c:f>
              <c:strCache>
                <c:ptCount val="1"/>
                <c:pt idx="0">
                  <c:v>RK1 - Pu239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Dragon_vs_RK1!$Q$2:$Q$574</c:f>
              <c:numCache>
                <c:formatCode>0.00E+00</c:formatCode>
                <c:ptCount val="573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295872"/>
        <c:axId val="87302144"/>
      </c:scatterChart>
      <c:valAx>
        <c:axId val="87295872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87302144"/>
        <c:crosses val="autoZero"/>
        <c:crossBetween val="midCat"/>
        <c:majorUnit val="1"/>
      </c:valAx>
      <c:valAx>
        <c:axId val="87302144"/>
        <c:scaling>
          <c:orientation val="minMax"/>
          <c:min val="1.5000000000000005E-3"/>
        </c:scaling>
        <c:delete val="0"/>
        <c:axPos val="l"/>
        <c:majorGridlines/>
        <c:title>
          <c:overlay val="0"/>
        </c:title>
        <c:numFmt formatCode="0.0E+00" sourceLinked="0"/>
        <c:majorTickMark val="none"/>
        <c:minorTickMark val="none"/>
        <c:tickLblPos val="nextTo"/>
        <c:crossAx val="872958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Dragon_vs_RK1!$AE$1</c:f>
          <c:strCache>
            <c:ptCount val="1"/>
            <c:pt idx="0">
              <c:v>Pu240</c:v>
            </c:pt>
          </c:strCache>
        </c:strRef>
      </c:tx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Dragon_vs_RK1!$F$1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Dragon_vs_RK1!$F$2:$F$574</c:f>
              <c:numCache>
                <c:formatCode>0.00E+00</c:formatCode>
                <c:ptCount val="573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Dragon_vs_RK1!$R$1</c:f>
              <c:strCache>
                <c:ptCount val="1"/>
                <c:pt idx="0">
                  <c:v>RK1 - Pu240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Dragon_vs_RK1!$R$2:$R$574</c:f>
              <c:numCache>
                <c:formatCode>0.00E+00</c:formatCode>
                <c:ptCount val="573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31968"/>
        <c:axId val="87333888"/>
      </c:scatterChart>
      <c:valAx>
        <c:axId val="87331968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87333888"/>
        <c:crosses val="autoZero"/>
        <c:crossBetween val="midCat"/>
        <c:majorUnit val="1"/>
      </c:valAx>
      <c:valAx>
        <c:axId val="87333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overlay val="0"/>
        </c:title>
        <c:numFmt formatCode="0.0E+00" sourceLinked="0"/>
        <c:majorTickMark val="none"/>
        <c:minorTickMark val="none"/>
        <c:tickLblPos val="nextTo"/>
        <c:crossAx val="873319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Dragon_vs_RK1!$AF$1</c:f>
          <c:strCache>
            <c:ptCount val="1"/>
            <c:pt idx="0">
              <c:v>Pu241</c:v>
            </c:pt>
          </c:strCache>
        </c:strRef>
      </c:tx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Dragon_vs_RK1!$G$1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Dragon_vs_RK1!$G$2:$G$574</c:f>
              <c:numCache>
                <c:formatCode>0.00E+00</c:formatCode>
                <c:ptCount val="573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Dragon_vs_RK1!$S$1</c:f>
              <c:strCache>
                <c:ptCount val="1"/>
                <c:pt idx="0">
                  <c:v>RK1 - Pu241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Dragon_vs_RK1!$S$2:$S$574</c:f>
              <c:numCache>
                <c:formatCode>0.00E+00</c:formatCode>
                <c:ptCount val="573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449984"/>
        <c:axId val="87451904"/>
      </c:scatterChart>
      <c:valAx>
        <c:axId val="87449984"/>
        <c:scaling>
          <c:orientation val="minMax"/>
          <c:min val="0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87451904"/>
        <c:crosses val="autoZero"/>
        <c:crossBetween val="midCat"/>
        <c:majorUnit val="1"/>
      </c:valAx>
      <c:valAx>
        <c:axId val="87451904"/>
        <c:scaling>
          <c:orientation val="minMax"/>
          <c:min val="1.1000000000000003E-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overlay val="0"/>
        </c:title>
        <c:numFmt formatCode="0.0E+00" sourceLinked="0"/>
        <c:majorTickMark val="none"/>
        <c:minorTickMark val="none"/>
        <c:tickLblPos val="nextTo"/>
        <c:crossAx val="874499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Dragon_vs_RK1!$AG$1</c:f>
          <c:strCache>
            <c:ptCount val="1"/>
            <c:pt idx="0">
              <c:v>Pu242</c:v>
            </c:pt>
          </c:strCache>
        </c:strRef>
      </c:tx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Dragon_vs_RK1!$H$1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Dragon_vs_RK1!$H$2:$H$574</c:f>
              <c:numCache>
                <c:formatCode>0.00E+00</c:formatCode>
                <c:ptCount val="573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Dragon_vs_RK1!$T$1</c:f>
              <c:strCache>
                <c:ptCount val="1"/>
                <c:pt idx="0">
                  <c:v>RK1 - Pu242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Dragon_vs_RK1!$T$2:$T$574</c:f>
              <c:numCache>
                <c:formatCode>0.00E+00</c:formatCode>
                <c:ptCount val="573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81856"/>
        <c:axId val="88696320"/>
      </c:scatterChart>
      <c:valAx>
        <c:axId val="88681856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88696320"/>
        <c:crosses val="autoZero"/>
        <c:crossBetween val="midCat"/>
        <c:majorUnit val="1"/>
      </c:valAx>
      <c:valAx>
        <c:axId val="886963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overlay val="0"/>
        </c:title>
        <c:numFmt formatCode="0.0E+00" sourceLinked="0"/>
        <c:majorTickMark val="none"/>
        <c:minorTickMark val="none"/>
        <c:tickLblPos val="nextTo"/>
        <c:crossAx val="886818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Dragon_vs_RK1!$AH$1</c:f>
          <c:strCache>
            <c:ptCount val="1"/>
            <c:pt idx="0">
              <c:v>Am241</c:v>
            </c:pt>
          </c:strCache>
        </c:strRef>
      </c:tx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Dragon_vs_RK1!$I$1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Dragon_vs_RK1!$I$2:$I$574</c:f>
              <c:numCache>
                <c:formatCode>0.00E+00</c:formatCode>
                <c:ptCount val="573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Dragon_vs_RK1!$U$1</c:f>
              <c:strCache>
                <c:ptCount val="1"/>
                <c:pt idx="0">
                  <c:v>RK1 - Am241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Dragon_vs_RK1!$U$2:$U$574</c:f>
              <c:numCache>
                <c:formatCode>0.00E+00</c:formatCode>
                <c:ptCount val="573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14624"/>
        <c:axId val="88729088"/>
      </c:scatterChart>
      <c:valAx>
        <c:axId val="88714624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88729088"/>
        <c:crosses val="autoZero"/>
        <c:crossBetween val="midCat"/>
        <c:majorUnit val="1"/>
      </c:valAx>
      <c:valAx>
        <c:axId val="88729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overlay val="0"/>
        </c:title>
        <c:numFmt formatCode="0.0E+00" sourceLinked="0"/>
        <c:majorTickMark val="none"/>
        <c:minorTickMark val="none"/>
        <c:tickLblPos val="nextTo"/>
        <c:crossAx val="887146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Dragon_vs_RK1!$AI$1</c:f>
          <c:strCache>
            <c:ptCount val="1"/>
            <c:pt idx="0">
              <c:v>U235</c:v>
            </c:pt>
          </c:strCache>
        </c:strRef>
      </c:tx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Dragon_vs_RK1!$J$1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Dragon_vs_RK1!$J$2:$J$574</c:f>
              <c:numCache>
                <c:formatCode>0.00E+00</c:formatCode>
                <c:ptCount val="573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Dragon_vs_RK1!$V$1</c:f>
              <c:strCache>
                <c:ptCount val="1"/>
                <c:pt idx="0">
                  <c:v>RK1 - U235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Dragon_vs_RK1!$V$2:$V$574</c:f>
              <c:numCache>
                <c:formatCode>0.00E+00</c:formatCode>
                <c:ptCount val="573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139264"/>
        <c:axId val="90141440"/>
      </c:scatterChart>
      <c:valAx>
        <c:axId val="90139264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90141440"/>
        <c:crosses val="autoZero"/>
        <c:crossBetween val="midCat"/>
        <c:majorUnit val="1"/>
      </c:valAx>
      <c:valAx>
        <c:axId val="9014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overlay val="0"/>
        </c:title>
        <c:numFmt formatCode="0.0E+00" sourceLinked="0"/>
        <c:majorTickMark val="none"/>
        <c:minorTickMark val="none"/>
        <c:tickLblPos val="nextTo"/>
        <c:crossAx val="901392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Dragon_vs_RK1!$AC$1</c:f>
          <c:strCache>
            <c:ptCount val="1"/>
            <c:pt idx="0">
              <c:v>Pu238</c:v>
            </c:pt>
          </c:strCache>
        </c:strRef>
      </c:tx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Dragon_vs_RK1!$D$1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Dragon_vs_RK1!$D$2:$D$574</c:f>
              <c:numCache>
                <c:formatCode>0.00E+00</c:formatCode>
                <c:ptCount val="573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Dragon_vs_RK1!$P$1</c:f>
              <c:strCache>
                <c:ptCount val="1"/>
                <c:pt idx="0">
                  <c:v>RK1 - Pu238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Dragon_vs_RK1!$P$2:$P$574</c:f>
              <c:numCache>
                <c:formatCode>0.00E+00</c:formatCode>
                <c:ptCount val="573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05152"/>
        <c:axId val="91107328"/>
      </c:scatterChart>
      <c:valAx>
        <c:axId val="91105152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#,##0" sourceLinked="0"/>
        <c:majorTickMark val="none"/>
        <c:minorTickMark val="none"/>
        <c:tickLblPos val="nextTo"/>
        <c:crossAx val="91107328"/>
        <c:crosses val="autoZero"/>
        <c:crossBetween val="midCat"/>
        <c:majorUnit val="1"/>
      </c:valAx>
      <c:valAx>
        <c:axId val="91107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overlay val="0"/>
        </c:title>
        <c:numFmt formatCode="0.0E+00" sourceLinked="0"/>
        <c:majorTickMark val="none"/>
        <c:minorTickMark val="none"/>
        <c:tickLblPos val="nextTo"/>
        <c:crossAx val="911051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Ecarts relatifs de concentration (DRAGON - RK1)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Dragon_vs_RK1!$AD$1</c:f>
              <c:strCache>
                <c:ptCount val="1"/>
                <c:pt idx="0">
                  <c:v>Pu239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Dragon_vs_RK1!$AD$2:$AD$51</c:f>
              <c:numCache>
                <c:formatCode>0.0%</c:formatCode>
                <c:ptCount val="50"/>
                <c:pt idx="0">
                  <c:v>0</c:v>
                </c:pt>
                <c:pt idx="1">
                  <c:v>2.0396492578342858E-3</c:v>
                </c:pt>
                <c:pt idx="2">
                  <c:v>2.3516422540121825E-3</c:v>
                </c:pt>
                <c:pt idx="3">
                  <c:v>8.9624010017879795E-4</c:v>
                </c:pt>
                <c:pt idx="4">
                  <c:v>1.221215704990411E-3</c:v>
                </c:pt>
                <c:pt idx="5">
                  <c:v>-2.5721345813320315E-4</c:v>
                </c:pt>
                <c:pt idx="6">
                  <c:v>1.0308907653401474E-4</c:v>
                </c:pt>
                <c:pt idx="7">
                  <c:v>5.0610211726793703E-4</c:v>
                </c:pt>
                <c:pt idx="8">
                  <c:v>-9.9833974493249112E-4</c:v>
                </c:pt>
                <c:pt idx="9">
                  <c:v>-5.7820295073000752E-4</c:v>
                </c:pt>
                <c:pt idx="10">
                  <c:v>-2.1310376757784633E-3</c:v>
                </c:pt>
                <c:pt idx="11">
                  <c:v>-1.6276371507742738E-3</c:v>
                </c:pt>
                <c:pt idx="12">
                  <c:v>-1.1097987303650156E-3</c:v>
                </c:pt>
                <c:pt idx="13">
                  <c:v>-2.6479555405038908E-3</c:v>
                </c:pt>
                <c:pt idx="14">
                  <c:v>-2.0701167026061524E-3</c:v>
                </c:pt>
                <c:pt idx="15">
                  <c:v>-3.6489572625295467E-3</c:v>
                </c:pt>
                <c:pt idx="16">
                  <c:v>-2.9953268722663082E-3</c:v>
                </c:pt>
                <c:pt idx="17">
                  <c:v>-2.3603257344151926E-3</c:v>
                </c:pt>
                <c:pt idx="18">
                  <c:v>-3.9001176847272344E-3</c:v>
                </c:pt>
                <c:pt idx="19">
                  <c:v>-3.1685325084230458E-3</c:v>
                </c:pt>
                <c:pt idx="20">
                  <c:v>-4.7027557152020082E-3</c:v>
                </c:pt>
                <c:pt idx="21">
                  <c:v>-3.910617371906051E-3</c:v>
                </c:pt>
                <c:pt idx="22">
                  <c:v>-3.0736139097889679E-3</c:v>
                </c:pt>
                <c:pt idx="23">
                  <c:v>-4.5570408287038252E-3</c:v>
                </c:pt>
                <c:pt idx="24">
                  <c:v>-3.6413841288711799E-3</c:v>
                </c:pt>
                <c:pt idx="25">
                  <c:v>-5.1310684434590281E-3</c:v>
                </c:pt>
                <c:pt idx="26">
                  <c:v>-4.1768566127464999E-3</c:v>
                </c:pt>
                <c:pt idx="27">
                  <c:v>-3.1650654591396576E-3</c:v>
                </c:pt>
                <c:pt idx="28">
                  <c:v>-4.5518776571463583E-3</c:v>
                </c:pt>
                <c:pt idx="29">
                  <c:v>-3.486342916232418E-3</c:v>
                </c:pt>
                <c:pt idx="30">
                  <c:v>-4.8466855312363256E-3</c:v>
                </c:pt>
                <c:pt idx="31">
                  <c:v>-3.7179343501846599E-3</c:v>
                </c:pt>
                <c:pt idx="32">
                  <c:v>-2.5199712848258688E-3</c:v>
                </c:pt>
                <c:pt idx="33">
                  <c:v>-3.7846257985121416E-3</c:v>
                </c:pt>
                <c:pt idx="34">
                  <c:v>-2.5093347808220344E-3</c:v>
                </c:pt>
                <c:pt idx="35">
                  <c:v>-3.7736055491821977E-3</c:v>
                </c:pt>
                <c:pt idx="36">
                  <c:v>-2.4123889167587762E-3</c:v>
                </c:pt>
                <c:pt idx="37">
                  <c:v>-1.0260462601773854E-3</c:v>
                </c:pt>
                <c:pt idx="38">
                  <c:v>-2.2116080427551192E-3</c:v>
                </c:pt>
                <c:pt idx="39">
                  <c:v>-7.2712393279134133E-4</c:v>
                </c:pt>
                <c:pt idx="40">
                  <c:v>-1.8332562392679237E-3</c:v>
                </c:pt>
                <c:pt idx="41">
                  <c:v>-2.4181257459753171E-4</c:v>
                </c:pt>
                <c:pt idx="42">
                  <c:v>1.383700964368718E-3</c:v>
                </c:pt>
                <c:pt idx="43">
                  <c:v>3.9075807417521041E-4</c:v>
                </c:pt>
                <c:pt idx="44">
                  <c:v>2.0768443140570707E-3</c:v>
                </c:pt>
                <c:pt idx="45">
                  <c:v>1.1279045603110065E-3</c:v>
                </c:pt>
                <c:pt idx="46">
                  <c:v>2.9401890114882198E-3</c:v>
                </c:pt>
                <c:pt idx="47">
                  <c:v>4.7947046735703188E-3</c:v>
                </c:pt>
                <c:pt idx="48">
                  <c:v>3.9898184354556958E-3</c:v>
                </c:pt>
                <c:pt idx="49">
                  <c:v>5.9220366458379399E-3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Dragon_vs_RK1!$AE$1</c:f>
              <c:strCache>
                <c:ptCount val="1"/>
                <c:pt idx="0">
                  <c:v>Pu240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Dragon_vs_RK1!$AE$2:$AE$51</c:f>
              <c:numCache>
                <c:formatCode>0.0%</c:formatCode>
                <c:ptCount val="50"/>
                <c:pt idx="0">
                  <c:v>0</c:v>
                </c:pt>
                <c:pt idx="1">
                  <c:v>-7.5966286801459632E-4</c:v>
                </c:pt>
                <c:pt idx="2">
                  <c:v>-1.512004706180022E-3</c:v>
                </c:pt>
                <c:pt idx="3">
                  <c:v>1.9622957523241199E-3</c:v>
                </c:pt>
                <c:pt idx="4">
                  <c:v>1.0818127896526195E-3</c:v>
                </c:pt>
                <c:pt idx="5">
                  <c:v>4.094584029722929E-3</c:v>
                </c:pt>
                <c:pt idx="6">
                  <c:v>3.1083856678911928E-3</c:v>
                </c:pt>
                <c:pt idx="7">
                  <c:v>2.1429845945646685E-3</c:v>
                </c:pt>
                <c:pt idx="8">
                  <c:v>4.6437769529896868E-3</c:v>
                </c:pt>
                <c:pt idx="9">
                  <c:v>3.6113666945342504E-3</c:v>
                </c:pt>
                <c:pt idx="10">
                  <c:v>5.7456980827791156E-3</c:v>
                </c:pt>
                <c:pt idx="11">
                  <c:v>4.664338140780086E-3</c:v>
                </c:pt>
                <c:pt idx="12">
                  <c:v>3.6271158079524868E-3</c:v>
                </c:pt>
                <c:pt idx="13">
                  <c:v>5.3789429193336407E-3</c:v>
                </c:pt>
                <c:pt idx="14">
                  <c:v>4.3012261491449351E-3</c:v>
                </c:pt>
                <c:pt idx="15">
                  <c:v>5.7780207105579658E-3</c:v>
                </c:pt>
                <c:pt idx="16">
                  <c:v>4.6876561317162474E-3</c:v>
                </c:pt>
                <c:pt idx="17">
                  <c:v>3.6383061553500267E-3</c:v>
                </c:pt>
                <c:pt idx="18">
                  <c:v>4.8180513321232788E-3</c:v>
                </c:pt>
                <c:pt idx="19">
                  <c:v>3.7743238703316822E-3</c:v>
                </c:pt>
                <c:pt idx="20">
                  <c:v>4.7457635103407446E-3</c:v>
                </c:pt>
                <c:pt idx="21">
                  <c:v>3.7089377100806868E-3</c:v>
                </c:pt>
                <c:pt idx="22">
                  <c:v>2.7336500066923006E-3</c:v>
                </c:pt>
                <c:pt idx="23">
                  <c:v>3.4802721512160739E-3</c:v>
                </c:pt>
                <c:pt idx="24">
                  <c:v>2.5283119642111771E-3</c:v>
                </c:pt>
                <c:pt idx="25">
                  <c:v>3.1125963081715777E-3</c:v>
                </c:pt>
                <c:pt idx="26">
                  <c:v>2.1960197191794903E-3</c:v>
                </c:pt>
                <c:pt idx="27">
                  <c:v>1.3256794960179936E-3</c:v>
                </c:pt>
                <c:pt idx="28">
                  <c:v>1.7590022290801264E-3</c:v>
                </c:pt>
                <c:pt idx="29">
                  <c:v>9.3924748837735585E-4</c:v>
                </c:pt>
                <c:pt idx="30">
                  <c:v>1.2381439615878639E-3</c:v>
                </c:pt>
                <c:pt idx="31">
                  <c:v>4.6857489677179531E-4</c:v>
                </c:pt>
                <c:pt idx="32">
                  <c:v>-2.463630745577276E-4</c:v>
                </c:pt>
                <c:pt idx="33">
                  <c:v>-4.4070727231429559E-5</c:v>
                </c:pt>
                <c:pt idx="34">
                  <c:v>-6.9442307149746485E-4</c:v>
                </c:pt>
                <c:pt idx="35">
                  <c:v>-5.9196359506166383E-4</c:v>
                </c:pt>
                <c:pt idx="36">
                  <c:v>-1.1785535165593744E-3</c:v>
                </c:pt>
                <c:pt idx="37">
                  <c:v>-1.7020712320754319E-3</c:v>
                </c:pt>
                <c:pt idx="38">
                  <c:v>-1.6590764569815039E-3</c:v>
                </c:pt>
                <c:pt idx="39">
                  <c:v>-2.1161235072996586E-3</c:v>
                </c:pt>
                <c:pt idx="40">
                  <c:v>-2.1311344680975276E-3</c:v>
                </c:pt>
                <c:pt idx="41">
                  <c:v>-2.5115393768758614E-3</c:v>
                </c:pt>
                <c:pt idx="42">
                  <c:v>-2.8313643563604978E-3</c:v>
                </c:pt>
                <c:pt idx="43">
                  <c:v>-2.873027384639158E-3</c:v>
                </c:pt>
                <c:pt idx="44">
                  <c:v>-3.113613224514008E-3</c:v>
                </c:pt>
                <c:pt idx="45">
                  <c:v>-3.1859182666027046E-3</c:v>
                </c:pt>
                <c:pt idx="46">
                  <c:v>-3.33733284816815E-3</c:v>
                </c:pt>
                <c:pt idx="47">
                  <c:v>-3.4190579176650283E-3</c:v>
                </c:pt>
                <c:pt idx="48">
                  <c:v>-3.4884857842912348E-3</c:v>
                </c:pt>
                <c:pt idx="49">
                  <c:v>-3.4784252005268103E-3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Dragon_vs_RK1!$AF$1</c:f>
              <c:strCache>
                <c:ptCount val="1"/>
                <c:pt idx="0">
                  <c:v>Pu241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Dragon_vs_RK1!$AF$2:$AF$51</c:f>
              <c:numCache>
                <c:formatCode>0.0%</c:formatCode>
                <c:ptCount val="50"/>
                <c:pt idx="0">
                  <c:v>0</c:v>
                </c:pt>
                <c:pt idx="1">
                  <c:v>2.0410721198635792E-3</c:v>
                </c:pt>
                <c:pt idx="2">
                  <c:v>3.9419296309302449E-3</c:v>
                </c:pt>
                <c:pt idx="3">
                  <c:v>-2.9308418489124048E-3</c:v>
                </c:pt>
                <c:pt idx="4">
                  <c:v>-7.8787289085237809E-4</c:v>
                </c:pt>
                <c:pt idx="5">
                  <c:v>-6.0547988393943467E-3</c:v>
                </c:pt>
                <c:pt idx="6">
                  <c:v>-3.7748509764189979E-3</c:v>
                </c:pt>
                <c:pt idx="7">
                  <c:v>-1.7418601122734898E-3</c:v>
                </c:pt>
                <c:pt idx="8">
                  <c:v>-5.3642378515244967E-3</c:v>
                </c:pt>
                <c:pt idx="9">
                  <c:v>-3.3048959603447664E-3</c:v>
                </c:pt>
                <c:pt idx="10">
                  <c:v>-5.9503819284380142E-3</c:v>
                </c:pt>
                <c:pt idx="11">
                  <c:v>-3.9128987053400075E-3</c:v>
                </c:pt>
                <c:pt idx="12">
                  <c:v>-2.132934296915519E-3</c:v>
                </c:pt>
                <c:pt idx="13">
                  <c:v>-3.8800614547945637E-3</c:v>
                </c:pt>
                <c:pt idx="14">
                  <c:v>-2.2702352517820577E-3</c:v>
                </c:pt>
                <c:pt idx="15">
                  <c:v>-3.3301404413973745E-3</c:v>
                </c:pt>
                <c:pt idx="16">
                  <c:v>-1.8909986204717344E-3</c:v>
                </c:pt>
                <c:pt idx="17">
                  <c:v>-7.2724476582263756E-4</c:v>
                </c:pt>
                <c:pt idx="18">
                  <c:v>-1.3726361237096061E-3</c:v>
                </c:pt>
                <c:pt idx="19">
                  <c:v>-3.5737351153775429E-4</c:v>
                </c:pt>
                <c:pt idx="20">
                  <c:v>-7.5220282846320081E-4</c:v>
                </c:pt>
                <c:pt idx="21">
                  <c:v>-2.9929803922549971E-5</c:v>
                </c:pt>
                <c:pt idx="22">
                  <c:v>5.19891929002536E-4</c:v>
                </c:pt>
                <c:pt idx="23">
                  <c:v>3.4355032038243714E-4</c:v>
                </c:pt>
                <c:pt idx="24">
                  <c:v>6.7185574870329214E-4</c:v>
                </c:pt>
                <c:pt idx="25">
                  <c:v>5.9104949204752215E-4</c:v>
                </c:pt>
                <c:pt idx="26">
                  <c:v>6.2938281152650588E-4</c:v>
                </c:pt>
                <c:pt idx="27">
                  <c:v>5.991373524325724E-4</c:v>
                </c:pt>
                <c:pt idx="28">
                  <c:v>4.7905079529704205E-4</c:v>
                </c:pt>
                <c:pt idx="29">
                  <c:v>3.2379701325450813E-4</c:v>
                </c:pt>
                <c:pt idx="30">
                  <c:v>1.9173425029291166E-4</c:v>
                </c:pt>
                <c:pt idx="31">
                  <c:v>-1.8800070660590545E-4</c:v>
                </c:pt>
                <c:pt idx="32">
                  <c:v>-6.4740090156220511E-4</c:v>
                </c:pt>
                <c:pt idx="33">
                  <c:v>-8.1873891615508578E-4</c:v>
                </c:pt>
                <c:pt idx="34">
                  <c:v>-1.4452450381488157E-3</c:v>
                </c:pt>
                <c:pt idx="35">
                  <c:v>-1.6675497923632403E-3</c:v>
                </c:pt>
                <c:pt idx="36">
                  <c:v>-2.3569405480514736E-3</c:v>
                </c:pt>
                <c:pt idx="37">
                  <c:v>-3.1027683584587519E-3</c:v>
                </c:pt>
                <c:pt idx="38">
                  <c:v>-3.4397611747380109E-3</c:v>
                </c:pt>
                <c:pt idx="39">
                  <c:v>-4.2361814126303087E-3</c:v>
                </c:pt>
                <c:pt idx="40">
                  <c:v>-4.6430637782939529E-3</c:v>
                </c:pt>
                <c:pt idx="41">
                  <c:v>-5.4476253523125682E-3</c:v>
                </c:pt>
                <c:pt idx="42">
                  <c:v>-6.3467309419577497E-3</c:v>
                </c:pt>
                <c:pt idx="43">
                  <c:v>-6.8249561183204256E-3</c:v>
                </c:pt>
                <c:pt idx="44">
                  <c:v>-7.6942933513558893E-3</c:v>
                </c:pt>
                <c:pt idx="45">
                  <c:v>-8.1929292305628829E-3</c:v>
                </c:pt>
                <c:pt idx="46">
                  <c:v>-9.0578422157258157E-3</c:v>
                </c:pt>
                <c:pt idx="47">
                  <c:v>-9.9586308484549621E-3</c:v>
                </c:pt>
                <c:pt idx="48">
                  <c:v>-1.040949222428564E-2</c:v>
                </c:pt>
                <c:pt idx="49">
                  <c:v>-1.1332663175770004E-2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Dragon_vs_RK1!$AG$1</c:f>
              <c:strCache>
                <c:ptCount val="1"/>
                <c:pt idx="0">
                  <c:v>Pu242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Dragon_vs_RK1!$AG$2:$AG$51</c:f>
              <c:numCache>
                <c:formatCode>0.0%</c:formatCode>
                <c:ptCount val="50"/>
                <c:pt idx="0">
                  <c:v>0</c:v>
                </c:pt>
                <c:pt idx="1">
                  <c:v>-9.3397144272427631E-4</c:v>
                </c:pt>
                <c:pt idx="2">
                  <c:v>-1.7960949993680963E-3</c:v>
                </c:pt>
                <c:pt idx="3">
                  <c:v>2.8188542022059542E-3</c:v>
                </c:pt>
                <c:pt idx="4">
                  <c:v>1.7074688844389773E-3</c:v>
                </c:pt>
                <c:pt idx="5">
                  <c:v>5.3933622323172961E-3</c:v>
                </c:pt>
                <c:pt idx="6">
                  <c:v>4.1335363915495681E-3</c:v>
                </c:pt>
                <c:pt idx="7">
                  <c:v>2.9739298442817319E-3</c:v>
                </c:pt>
                <c:pt idx="8">
                  <c:v>5.7882903901568059E-3</c:v>
                </c:pt>
                <c:pt idx="9">
                  <c:v>4.5425829104547722E-3</c:v>
                </c:pt>
                <c:pt idx="10">
                  <c:v>6.8536585945791588E-3</c:v>
                </c:pt>
                <c:pt idx="11">
                  <c:v>5.5816270833923959E-3</c:v>
                </c:pt>
                <c:pt idx="12">
                  <c:v>4.3789296025542757E-3</c:v>
                </c:pt>
                <c:pt idx="13">
                  <c:v>6.2346178271826501E-3</c:v>
                </c:pt>
                <c:pt idx="14">
                  <c:v>5.0249123896921755E-3</c:v>
                </c:pt>
                <c:pt idx="15">
                  <c:v>6.6017547088534851E-3</c:v>
                </c:pt>
                <c:pt idx="16">
                  <c:v>5.4069770072996837E-3</c:v>
                </c:pt>
                <c:pt idx="17">
                  <c:v>4.2589017649392437E-3</c:v>
                </c:pt>
                <c:pt idx="18">
                  <c:v>5.5777286751652246E-3</c:v>
                </c:pt>
                <c:pt idx="19">
                  <c:v>4.4409966735187182E-3</c:v>
                </c:pt>
                <c:pt idx="20">
                  <c:v>5.603407888077375E-3</c:v>
                </c:pt>
                <c:pt idx="21">
                  <c:v>4.4834557408224068E-3</c:v>
                </c:pt>
                <c:pt idx="22">
                  <c:v>3.4097134039074248E-3</c:v>
                </c:pt>
                <c:pt idx="23">
                  <c:v>4.4118125841327155E-3</c:v>
                </c:pt>
                <c:pt idx="24">
                  <c:v>3.3484574871882979E-3</c:v>
                </c:pt>
                <c:pt idx="25">
                  <c:v>4.2449850226071442E-3</c:v>
                </c:pt>
                <c:pt idx="26">
                  <c:v>3.1928223732767907E-3</c:v>
                </c:pt>
                <c:pt idx="27">
                  <c:v>2.1678461112056447E-3</c:v>
                </c:pt>
                <c:pt idx="28">
                  <c:v>2.9524261530609127E-3</c:v>
                </c:pt>
                <c:pt idx="29">
                  <c:v>1.9256678047714466E-3</c:v>
                </c:pt>
                <c:pt idx="30">
                  <c:v>2.6381355158565053E-3</c:v>
                </c:pt>
                <c:pt idx="31">
                  <c:v>1.6128576572843158E-3</c:v>
                </c:pt>
                <c:pt idx="32">
                  <c:v>6.1575407041708529E-4</c:v>
                </c:pt>
                <c:pt idx="33">
                  <c:v>1.2394606176506665E-3</c:v>
                </c:pt>
                <c:pt idx="34">
                  <c:v>2.3185949908155205E-4</c:v>
                </c:pt>
                <c:pt idx="35">
                  <c:v>7.908447857031633E-4</c:v>
                </c:pt>
                <c:pt idx="36">
                  <c:v>-2.1723306437227116E-4</c:v>
                </c:pt>
                <c:pt idx="37">
                  <c:v>-1.2192763251871769E-3</c:v>
                </c:pt>
                <c:pt idx="38">
                  <c:v>-7.4077942591943666E-4</c:v>
                </c:pt>
                <c:pt idx="39">
                  <c:v>-1.7491889416046101E-3</c:v>
                </c:pt>
                <c:pt idx="40">
                  <c:v>-1.3085426669777551E-3</c:v>
                </c:pt>
                <c:pt idx="41">
                  <c:v>-2.3191501164538885E-3</c:v>
                </c:pt>
                <c:pt idx="42">
                  <c:v>-3.3350237857694026E-3</c:v>
                </c:pt>
                <c:pt idx="43">
                  <c:v>-2.9654609664124597E-3</c:v>
                </c:pt>
                <c:pt idx="44">
                  <c:v>-3.9803933821448258E-3</c:v>
                </c:pt>
                <c:pt idx="45">
                  <c:v>-3.6534964249523932E-3</c:v>
                </c:pt>
                <c:pt idx="46">
                  <c:v>-4.6814209645064803E-3</c:v>
                </c:pt>
                <c:pt idx="47">
                  <c:v>-5.6849430421495673E-3</c:v>
                </c:pt>
                <c:pt idx="48">
                  <c:v>-5.422593137357744E-3</c:v>
                </c:pt>
                <c:pt idx="49">
                  <c:v>-6.4397168824034262E-3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Dragon_vs_RK1!$AH$1</c:f>
              <c:strCache>
                <c:ptCount val="1"/>
                <c:pt idx="0">
                  <c:v>Am241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Dragon_vs_RK1!$AH$2:$AH$51</c:f>
              <c:numCache>
                <c:formatCode>0.0%</c:formatCode>
                <c:ptCount val="50"/>
                <c:pt idx="0">
                  <c:v>0</c:v>
                </c:pt>
                <c:pt idx="1">
                  <c:v>-3.984136500490335E-3</c:v>
                </c:pt>
                <c:pt idx="2">
                  <c:v>-7.509795847153505E-3</c:v>
                </c:pt>
                <c:pt idx="3">
                  <c:v>-1.1152636888571371E-2</c:v>
                </c:pt>
                <c:pt idx="4">
                  <c:v>-1.4012105804224347E-2</c:v>
                </c:pt>
                <c:pt idx="5">
                  <c:v>-1.7620014177813559E-2</c:v>
                </c:pt>
                <c:pt idx="6">
                  <c:v>-1.9818331048014729E-2</c:v>
                </c:pt>
                <c:pt idx="7">
                  <c:v>-2.1588919799833794E-2</c:v>
                </c:pt>
                <c:pt idx="8">
                  <c:v>-2.4817122041617661E-2</c:v>
                </c:pt>
                <c:pt idx="9">
                  <c:v>-2.6001746375067778E-2</c:v>
                </c:pt>
                <c:pt idx="10">
                  <c:v>-2.893200960758234E-2</c:v>
                </c:pt>
                <c:pt idx="11">
                  <c:v>-2.9612490879523067E-2</c:v>
                </c:pt>
                <c:pt idx="12">
                  <c:v>-2.9982398208684011E-2</c:v>
                </c:pt>
                <c:pt idx="13">
                  <c:v>-3.2340727310973753E-2</c:v>
                </c:pt>
                <c:pt idx="14">
                  <c:v>-3.2263125138294102E-2</c:v>
                </c:pt>
                <c:pt idx="15">
                  <c:v>-3.4179498383479667E-2</c:v>
                </c:pt>
                <c:pt idx="16">
                  <c:v>-3.3655918314916045E-2</c:v>
                </c:pt>
                <c:pt idx="17">
                  <c:v>-3.2943264870461265E-2</c:v>
                </c:pt>
                <c:pt idx="18">
                  <c:v>-3.4245214532454007E-2</c:v>
                </c:pt>
                <c:pt idx="19">
                  <c:v>-3.3140629732673933E-2</c:v>
                </c:pt>
                <c:pt idx="20">
                  <c:v>-3.4036126765972861E-2</c:v>
                </c:pt>
                <c:pt idx="21">
                  <c:v>-3.2581442790193052E-2</c:v>
                </c:pt>
                <c:pt idx="22">
                  <c:v>-3.0978617673217457E-2</c:v>
                </c:pt>
                <c:pt idx="23">
                  <c:v>-3.1261082413579028E-2</c:v>
                </c:pt>
                <c:pt idx="24">
                  <c:v>-2.9353676672069215E-2</c:v>
                </c:pt>
                <c:pt idx="25">
                  <c:v>-2.9222574588757735E-2</c:v>
                </c:pt>
                <c:pt idx="26">
                  <c:v>-2.7038905677896356E-2</c:v>
                </c:pt>
                <c:pt idx="27">
                  <c:v>-2.4734510366616797E-2</c:v>
                </c:pt>
                <c:pt idx="28">
                  <c:v>-2.4069342559747037E-2</c:v>
                </c:pt>
                <c:pt idx="29">
                  <c:v>-2.1526962235066685E-2</c:v>
                </c:pt>
                <c:pt idx="30">
                  <c:v>-2.0478393340781127E-2</c:v>
                </c:pt>
                <c:pt idx="31">
                  <c:v>-1.7725791325382777E-2</c:v>
                </c:pt>
                <c:pt idx="32">
                  <c:v>-1.4879471733448328E-2</c:v>
                </c:pt>
                <c:pt idx="33">
                  <c:v>-1.3331307009528068E-2</c:v>
                </c:pt>
                <c:pt idx="34">
                  <c:v>-1.0315469514160262E-2</c:v>
                </c:pt>
                <c:pt idx="35">
                  <c:v>-8.4298129167233466E-3</c:v>
                </c:pt>
                <c:pt idx="36">
                  <c:v>-5.2575876200832445E-3</c:v>
                </c:pt>
                <c:pt idx="37">
                  <c:v>-1.9684725575593929E-3</c:v>
                </c:pt>
                <c:pt idx="38">
                  <c:v>2.919370768010097E-4</c:v>
                </c:pt>
                <c:pt idx="39">
                  <c:v>3.7121855696872863E-3</c:v>
                </c:pt>
                <c:pt idx="40">
                  <c:v>6.2873258622260847E-3</c:v>
                </c:pt>
                <c:pt idx="41">
                  <c:v>9.8895772256996153E-3</c:v>
                </c:pt>
                <c:pt idx="42">
                  <c:v>1.3516460334850688E-2</c:v>
                </c:pt>
                <c:pt idx="43">
                  <c:v>1.6437240145253971E-2</c:v>
                </c:pt>
                <c:pt idx="44">
                  <c:v>2.0213435070595483E-2</c:v>
                </c:pt>
                <c:pt idx="45">
                  <c:v>2.3408522629780552E-2</c:v>
                </c:pt>
                <c:pt idx="46">
                  <c:v>2.7348405841938036E-2</c:v>
                </c:pt>
                <c:pt idx="47">
                  <c:v>3.1325737615934074E-2</c:v>
                </c:pt>
                <c:pt idx="48">
                  <c:v>3.4825586918163454E-2</c:v>
                </c:pt>
                <c:pt idx="49">
                  <c:v>3.8972324775217539E-2</c:v>
                </c:pt>
              </c:numCache>
            </c:numRef>
          </c:yVal>
          <c:smooth val="0"/>
        </c:ser>
        <c:ser>
          <c:idx val="7"/>
          <c:order val="6"/>
          <c:tx>
            <c:strRef>
              <c:f>Dragon_vs_RK1!$AJ$1</c:f>
              <c:strCache>
                <c:ptCount val="1"/>
                <c:pt idx="0">
                  <c:v>U238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Dragon_vs_RK1!$AJ$2:$AJ$51</c:f>
              <c:numCache>
                <c:formatCode>0.0%</c:formatCode>
                <c:ptCount val="50"/>
                <c:pt idx="0">
                  <c:v>0</c:v>
                </c:pt>
                <c:pt idx="1">
                  <c:v>4.9046803868955284E-4</c:v>
                </c:pt>
                <c:pt idx="2">
                  <c:v>9.5967508528726499E-4</c:v>
                </c:pt>
                <c:pt idx="3">
                  <c:v>-1.3895747011036729E-3</c:v>
                </c:pt>
                <c:pt idx="4">
                  <c:v>-8.4389983109601835E-4</c:v>
                </c:pt>
                <c:pt idx="5">
                  <c:v>-3.1719358611083342E-3</c:v>
                </c:pt>
                <c:pt idx="6">
                  <c:v>-2.5484484308320424E-3</c:v>
                </c:pt>
                <c:pt idx="7">
                  <c:v>-1.9462206514076178E-3</c:v>
                </c:pt>
                <c:pt idx="8">
                  <c:v>-4.1528088761707115E-3</c:v>
                </c:pt>
                <c:pt idx="9">
                  <c:v>-3.4709834017765109E-3</c:v>
                </c:pt>
                <c:pt idx="10">
                  <c:v>-5.5927735817247271E-3</c:v>
                </c:pt>
                <c:pt idx="11">
                  <c:v>-4.8293916136191717E-3</c:v>
                </c:pt>
                <c:pt idx="12">
                  <c:v>-4.0872158451737382E-3</c:v>
                </c:pt>
                <c:pt idx="13">
                  <c:v>-6.0820282176906959E-3</c:v>
                </c:pt>
                <c:pt idx="14">
                  <c:v>-5.2562651988079983E-3</c:v>
                </c:pt>
                <c:pt idx="15">
                  <c:v>-7.2923524524613932E-3</c:v>
                </c:pt>
                <c:pt idx="16">
                  <c:v>-6.3817837571619991E-3</c:v>
                </c:pt>
                <c:pt idx="17">
                  <c:v>-5.4263568936164684E-3</c:v>
                </c:pt>
                <c:pt idx="18">
                  <c:v>-7.332010266533965E-3</c:v>
                </c:pt>
                <c:pt idx="19">
                  <c:v>-6.3549760525107996E-3</c:v>
                </c:pt>
                <c:pt idx="20">
                  <c:v>-8.1698577701438541E-3</c:v>
                </c:pt>
                <c:pt idx="21">
                  <c:v>-7.1709860411487093E-3</c:v>
                </c:pt>
                <c:pt idx="22">
                  <c:v>-6.0577510547501177E-3</c:v>
                </c:pt>
                <c:pt idx="23">
                  <c:v>-7.8040234384258392E-3</c:v>
                </c:pt>
                <c:pt idx="24">
                  <c:v>-6.6669473905156245E-3</c:v>
                </c:pt>
                <c:pt idx="25">
                  <c:v>-8.3188251861296258E-3</c:v>
                </c:pt>
                <c:pt idx="26">
                  <c:v>-7.1575961584531139E-3</c:v>
                </c:pt>
                <c:pt idx="27">
                  <c:v>-5.9475676971368213E-3</c:v>
                </c:pt>
                <c:pt idx="28">
                  <c:v>-7.5275402613711063E-3</c:v>
                </c:pt>
                <c:pt idx="29">
                  <c:v>-6.2211114710054088E-3</c:v>
                </c:pt>
                <c:pt idx="30">
                  <c:v>-7.7025780017282415E-3</c:v>
                </c:pt>
                <c:pt idx="31">
                  <c:v>-6.369322934536222E-3</c:v>
                </c:pt>
                <c:pt idx="32">
                  <c:v>-4.9112056754713074E-3</c:v>
                </c:pt>
                <c:pt idx="33">
                  <c:v>-6.3161089217587309E-3</c:v>
                </c:pt>
                <c:pt idx="34">
                  <c:v>-4.9028088022242443E-3</c:v>
                </c:pt>
                <c:pt idx="35">
                  <c:v>-6.204939133383016E-3</c:v>
                </c:pt>
                <c:pt idx="36">
                  <c:v>-4.6881231055376209E-3</c:v>
                </c:pt>
                <c:pt idx="37">
                  <c:v>-3.0403627869936799E-3</c:v>
                </c:pt>
                <c:pt idx="38">
                  <c:v>-4.3374125166725664E-3</c:v>
                </c:pt>
                <c:pt idx="39">
                  <c:v>-2.6574723524894236E-3</c:v>
                </c:pt>
                <c:pt idx="40">
                  <c:v>-3.7699708063421021E-3</c:v>
                </c:pt>
                <c:pt idx="41">
                  <c:v>-2.0565075087422514E-3</c:v>
                </c:pt>
                <c:pt idx="42">
                  <c:v>-2.8445625377013407E-4</c:v>
                </c:pt>
                <c:pt idx="43">
                  <c:v>-1.3101021395308056E-3</c:v>
                </c:pt>
                <c:pt idx="44">
                  <c:v>5.7718905421105273E-4</c:v>
                </c:pt>
                <c:pt idx="45">
                  <c:v>-4.147048411647481E-4</c:v>
                </c:pt>
                <c:pt idx="46">
                  <c:v>1.5095119484431659E-3</c:v>
                </c:pt>
                <c:pt idx="47">
                  <c:v>3.4964149330458665E-3</c:v>
                </c:pt>
                <c:pt idx="48">
                  <c:v>2.6784394827070795E-3</c:v>
                </c:pt>
                <c:pt idx="49">
                  <c:v>4.7885435572150217E-3</c:v>
                </c:pt>
              </c:numCache>
            </c:numRef>
          </c:yVal>
          <c:smooth val="0"/>
        </c:ser>
        <c:ser>
          <c:idx val="6"/>
          <c:order val="0"/>
          <c:tx>
            <c:strRef>
              <c:f>Dragon_vs_RK1!$AI$1</c:f>
              <c:strCache>
                <c:ptCount val="1"/>
                <c:pt idx="0">
                  <c:v>U235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Dragon_vs_RK1!$AI$2:$AI$51</c:f>
              <c:numCache>
                <c:formatCode>0.0%</c:formatCode>
                <c:ptCount val="50"/>
                <c:pt idx="0">
                  <c:v>0</c:v>
                </c:pt>
                <c:pt idx="1">
                  <c:v>2.783718630866606E-3</c:v>
                </c:pt>
                <c:pt idx="2">
                  <c:v>5.7224075007125527E-3</c:v>
                </c:pt>
                <c:pt idx="3">
                  <c:v>-1.2644933587246767E-2</c:v>
                </c:pt>
                <c:pt idx="4">
                  <c:v>-9.3249770339551129E-3</c:v>
                </c:pt>
                <c:pt idx="5">
                  <c:v>-2.7004519103551641E-2</c:v>
                </c:pt>
                <c:pt idx="6">
                  <c:v>-2.3306688843466029E-2</c:v>
                </c:pt>
                <c:pt idx="7">
                  <c:v>-1.9399783440265807E-2</c:v>
                </c:pt>
                <c:pt idx="8">
                  <c:v>-3.6251882331356289E-2</c:v>
                </c:pt>
                <c:pt idx="9">
                  <c:v>-3.1975076953632581E-2</c:v>
                </c:pt>
                <c:pt idx="10">
                  <c:v>-4.8193467353258641E-2</c:v>
                </c:pt>
                <c:pt idx="11">
                  <c:v>-4.3562155852246313E-2</c:v>
                </c:pt>
                <c:pt idx="12">
                  <c:v>-3.8689424804763381E-2</c:v>
                </c:pt>
                <c:pt idx="13">
                  <c:v>-5.418328927781968E-2</c:v>
                </c:pt>
                <c:pt idx="14">
                  <c:v>-4.8954997800590302E-2</c:v>
                </c:pt>
                <c:pt idx="15">
                  <c:v>-6.3872338178506169E-2</c:v>
                </c:pt>
                <c:pt idx="16">
                  <c:v>-5.8311834091023099E-2</c:v>
                </c:pt>
                <c:pt idx="17">
                  <c:v>-5.2496258148771915E-2</c:v>
                </c:pt>
                <c:pt idx="18">
                  <c:v>-6.6722237737915288E-2</c:v>
                </c:pt>
                <c:pt idx="19">
                  <c:v>-6.0574620482932419E-2</c:v>
                </c:pt>
                <c:pt idx="20">
                  <c:v>-7.42583158920882E-2</c:v>
                </c:pt>
                <c:pt idx="21">
                  <c:v>-6.7739976818648448E-2</c:v>
                </c:pt>
                <c:pt idx="22">
                  <c:v>-6.0973466008526635E-2</c:v>
                </c:pt>
                <c:pt idx="23">
                  <c:v>-7.405109950031917E-2</c:v>
                </c:pt>
                <c:pt idx="24">
                  <c:v>-6.6921475617210041E-2</c:v>
                </c:pt>
                <c:pt idx="25">
                  <c:v>-7.9487963645050758E-2</c:v>
                </c:pt>
                <c:pt idx="26">
                  <c:v>-7.2002291025555581E-2</c:v>
                </c:pt>
                <c:pt idx="27">
                  <c:v>-6.4220232551673195E-2</c:v>
                </c:pt>
                <c:pt idx="28">
                  <c:v>-7.6201365733085905E-2</c:v>
                </c:pt>
                <c:pt idx="29">
                  <c:v>-6.8072317660201817E-2</c:v>
                </c:pt>
                <c:pt idx="30">
                  <c:v>-7.9558521515874253E-2</c:v>
                </c:pt>
                <c:pt idx="31">
                  <c:v>-7.1055908809934121E-2</c:v>
                </c:pt>
                <c:pt idx="32">
                  <c:v>-6.2267668876469645E-2</c:v>
                </c:pt>
                <c:pt idx="33">
                  <c:v>-7.3159887437983587E-2</c:v>
                </c:pt>
                <c:pt idx="34">
                  <c:v>-6.3976491487511847E-2</c:v>
                </c:pt>
                <c:pt idx="35">
                  <c:v>-7.446455030855359E-2</c:v>
                </c:pt>
                <c:pt idx="36">
                  <c:v>-6.4868127020208083E-2</c:v>
                </c:pt>
                <c:pt idx="37">
                  <c:v>-5.4943204477761159E-2</c:v>
                </c:pt>
                <c:pt idx="38">
                  <c:v>-6.4865137721604377E-2</c:v>
                </c:pt>
                <c:pt idx="39">
                  <c:v>-5.4544329610328041E-2</c:v>
                </c:pt>
                <c:pt idx="40">
                  <c:v>-6.4073718323870377E-2</c:v>
                </c:pt>
                <c:pt idx="41">
                  <c:v>-5.3390537459679602E-2</c:v>
                </c:pt>
                <c:pt idx="42">
                  <c:v>-4.2354777801136549E-2</c:v>
                </c:pt>
                <c:pt idx="43">
                  <c:v>-5.1336561653185502E-2</c:v>
                </c:pt>
                <c:pt idx="44">
                  <c:v>-3.9826879396020427E-2</c:v>
                </c:pt>
                <c:pt idx="45">
                  <c:v>-4.8403865642179765E-2</c:v>
                </c:pt>
                <c:pt idx="46">
                  <c:v>-3.6524337432184396E-2</c:v>
                </c:pt>
                <c:pt idx="47">
                  <c:v>-2.4309225141247781E-2</c:v>
                </c:pt>
                <c:pt idx="48">
                  <c:v>-3.2418127058604952E-2</c:v>
                </c:pt>
                <c:pt idx="49">
                  <c:v>-1.9780723367125573E-2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366528"/>
        <c:axId val="91368448"/>
      </c:scatterChart>
      <c:valAx>
        <c:axId val="91366528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General" sourceLinked="1"/>
        <c:majorTickMark val="none"/>
        <c:minorTickMark val="none"/>
        <c:tickLblPos val="nextTo"/>
        <c:crossAx val="91368448"/>
        <c:crosses val="autoZero"/>
        <c:crossBetween val="midCat"/>
      </c:valAx>
      <c:valAx>
        <c:axId val="91368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écart (%)</a:t>
                </a:r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913665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Ecarts relatifs de concentration (DRAGON - RK1)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Dragon_vs_RK1!$AC$1</c:f>
              <c:strCache>
                <c:ptCount val="1"/>
                <c:pt idx="0">
                  <c:v>Pu238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Dragon_vs_RK1!$AC$2:$AC$51</c:f>
              <c:numCache>
                <c:formatCode>0.0%</c:formatCode>
                <c:ptCount val="50"/>
                <c:pt idx="0">
                  <c:v>0</c:v>
                </c:pt>
                <c:pt idx="1">
                  <c:v>0.1204884995424543</c:v>
                </c:pt>
                <c:pt idx="2">
                  <c:v>0.21899156526765159</c:v>
                </c:pt>
                <c:pt idx="3">
                  <c:v>0.33652844054476078</c:v>
                </c:pt>
                <c:pt idx="4">
                  <c:v>0.392215158617927</c:v>
                </c:pt>
                <c:pt idx="5">
                  <c:v>0.46457141306399069</c:v>
                </c:pt>
                <c:pt idx="6">
                  <c:v>0.48874078016353822</c:v>
                </c:pt>
                <c:pt idx="7">
                  <c:v>0.50296381331634465</c:v>
                </c:pt>
                <c:pt idx="8">
                  <c:v>0.53235389150510182</c:v>
                </c:pt>
                <c:pt idx="9">
                  <c:v>0.53034290436458853</c:v>
                </c:pt>
                <c:pt idx="10">
                  <c:v>0.54153150107984682</c:v>
                </c:pt>
                <c:pt idx="11">
                  <c:v>0.52968325631511826</c:v>
                </c:pt>
                <c:pt idx="12">
                  <c:v>0.51534942517670201</c:v>
                </c:pt>
                <c:pt idx="13">
                  <c:v>0.51117622112090899</c:v>
                </c:pt>
                <c:pt idx="14">
                  <c:v>0.49245006827929227</c:v>
                </c:pt>
                <c:pt idx="15">
                  <c:v>0.48167566874468876</c:v>
                </c:pt>
                <c:pt idx="16">
                  <c:v>0.46043554873167858</c:v>
                </c:pt>
                <c:pt idx="17">
                  <c:v>0.439022992622007</c:v>
                </c:pt>
                <c:pt idx="18">
                  <c:v>0.42305429616336659</c:v>
                </c:pt>
                <c:pt idx="19">
                  <c:v>0.40091745102124576</c:v>
                </c:pt>
                <c:pt idx="20">
                  <c:v>0.38263945487342799</c:v>
                </c:pt>
                <c:pt idx="21">
                  <c:v>0.36045995892297145</c:v>
                </c:pt>
                <c:pt idx="22">
                  <c:v>0.33866827292605234</c:v>
                </c:pt>
                <c:pt idx="23">
                  <c:v>0.31912207479084576</c:v>
                </c:pt>
                <c:pt idx="24">
                  <c:v>0.29784693152879405</c:v>
                </c:pt>
                <c:pt idx="25">
                  <c:v>0.27786404136007037</c:v>
                </c:pt>
                <c:pt idx="26">
                  <c:v>0.25736283628460066</c:v>
                </c:pt>
                <c:pt idx="27">
                  <c:v>0.23741408996796601</c:v>
                </c:pt>
                <c:pt idx="28">
                  <c:v>0.21778422769798703</c:v>
                </c:pt>
                <c:pt idx="29">
                  <c:v>0.19879642785262283</c:v>
                </c:pt>
                <c:pt idx="30">
                  <c:v>0.17957748367999501</c:v>
                </c:pt>
                <c:pt idx="31">
                  <c:v>0.16160568059227556</c:v>
                </c:pt>
                <c:pt idx="32">
                  <c:v>0.14417842418561547</c:v>
                </c:pt>
                <c:pt idx="33">
                  <c:v>0.12599548172083858</c:v>
                </c:pt>
                <c:pt idx="34">
                  <c:v>0.10960225523388259</c:v>
                </c:pt>
                <c:pt idx="35">
                  <c:v>9.2108915755436407E-2</c:v>
                </c:pt>
                <c:pt idx="36">
                  <c:v>7.6801476474264482E-2</c:v>
                </c:pt>
                <c:pt idx="37">
                  <c:v>6.1997906037606437E-2</c:v>
                </c:pt>
                <c:pt idx="38">
                  <c:v>4.5756557545681337E-2</c:v>
                </c:pt>
                <c:pt idx="39">
                  <c:v>3.1964204645261382E-2</c:v>
                </c:pt>
                <c:pt idx="40">
                  <c:v>1.6598454298015243E-2</c:v>
                </c:pt>
                <c:pt idx="41">
                  <c:v>3.7565515823896434E-3</c:v>
                </c:pt>
                <c:pt idx="42">
                  <c:v>-8.6269544049033097E-3</c:v>
                </c:pt>
                <c:pt idx="43">
                  <c:v>-2.2658917128798112E-2</c:v>
                </c:pt>
                <c:pt idx="44">
                  <c:v>-3.4128980004292972E-2</c:v>
                </c:pt>
                <c:pt idx="45">
                  <c:v>-4.729013021216983E-2</c:v>
                </c:pt>
                <c:pt idx="46">
                  <c:v>-5.7908553100532445E-2</c:v>
                </c:pt>
                <c:pt idx="47">
                  <c:v>-6.8075279808017905E-2</c:v>
                </c:pt>
                <c:pt idx="48">
                  <c:v>-7.9986421489702059E-2</c:v>
                </c:pt>
                <c:pt idx="49">
                  <c:v>-8.9306354296443666E-2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385216"/>
        <c:axId val="91403776"/>
      </c:scatterChart>
      <c:valAx>
        <c:axId val="91385216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overlay val="0"/>
        </c:title>
        <c:numFmt formatCode="General" sourceLinked="1"/>
        <c:majorTickMark val="none"/>
        <c:minorTickMark val="none"/>
        <c:tickLblPos val="nextTo"/>
        <c:crossAx val="91403776"/>
        <c:crosses val="autoZero"/>
        <c:crossBetween val="midCat"/>
      </c:valAx>
      <c:valAx>
        <c:axId val="91403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écart (%)</a:t>
                </a:r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913852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Dragon_vs_RK1!$AO$1</c:f>
              <c:strCache>
                <c:ptCount val="1"/>
                <c:pt idx="0">
                  <c:v>Pu238 %wt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Dragon_vs_RK1!$AO$2:$AO$51</c:f>
              <c:numCache>
                <c:formatCode>0.00%</c:formatCode>
                <c:ptCount val="50"/>
                <c:pt idx="0">
                  <c:v>3.8000000000000004E-3</c:v>
                </c:pt>
                <c:pt idx="1">
                  <c:v>3.7176177963029917E-3</c:v>
                </c:pt>
                <c:pt idx="2">
                  <c:v>3.6952687373729299E-3</c:v>
                </c:pt>
                <c:pt idx="3">
                  <c:v>3.71956447530402E-3</c:v>
                </c:pt>
                <c:pt idx="4">
                  <c:v>3.7778786493150754E-3</c:v>
                </c:pt>
                <c:pt idx="5">
                  <c:v>3.8610144154629395E-3</c:v>
                </c:pt>
                <c:pt idx="6">
                  <c:v>3.9620688873598965E-3</c:v>
                </c:pt>
                <c:pt idx="7">
                  <c:v>4.0760377750871275E-3</c:v>
                </c:pt>
                <c:pt idx="8">
                  <c:v>4.1995230098116247E-3</c:v>
                </c:pt>
                <c:pt idx="9">
                  <c:v>4.3295466330760275E-3</c:v>
                </c:pt>
                <c:pt idx="10">
                  <c:v>4.4643941610960931E-3</c:v>
                </c:pt>
                <c:pt idx="11">
                  <c:v>4.6025555400589077E-3</c:v>
                </c:pt>
                <c:pt idx="12">
                  <c:v>4.7429625818723167E-3</c:v>
                </c:pt>
                <c:pt idx="13">
                  <c:v>4.8844976287156575E-3</c:v>
                </c:pt>
                <c:pt idx="14">
                  <c:v>5.0264407182482674E-3</c:v>
                </c:pt>
                <c:pt idx="15">
                  <c:v>5.1685114129122033E-3</c:v>
                </c:pt>
                <c:pt idx="16">
                  <c:v>5.3105773292000131E-3</c:v>
                </c:pt>
                <c:pt idx="17">
                  <c:v>5.4516740578048417E-3</c:v>
                </c:pt>
                <c:pt idx="18">
                  <c:v>5.5918847466208165E-3</c:v>
                </c:pt>
                <c:pt idx="19">
                  <c:v>5.7310702264973543E-3</c:v>
                </c:pt>
                <c:pt idx="20">
                  <c:v>5.8692333105461276E-3</c:v>
                </c:pt>
                <c:pt idx="21">
                  <c:v>6.0057582519038233E-3</c:v>
                </c:pt>
                <c:pt idx="22">
                  <c:v>6.1410287269859191E-3</c:v>
                </c:pt>
                <c:pt idx="23">
                  <c:v>6.2747151340829827E-3</c:v>
                </c:pt>
                <c:pt idx="24">
                  <c:v>6.4068542061052657E-3</c:v>
                </c:pt>
                <c:pt idx="25">
                  <c:v>6.5372460477575653E-3</c:v>
                </c:pt>
                <c:pt idx="26">
                  <c:v>6.6657837705612092E-3</c:v>
                </c:pt>
                <c:pt idx="27">
                  <c:v>6.7928345559408361E-3</c:v>
                </c:pt>
                <c:pt idx="28">
                  <c:v>6.918101982969653E-3</c:v>
                </c:pt>
                <c:pt idx="29">
                  <c:v>7.0413716826192817E-3</c:v>
                </c:pt>
                <c:pt idx="30">
                  <c:v>7.1628316026933871E-3</c:v>
                </c:pt>
                <c:pt idx="31">
                  <c:v>7.2823227549583345E-3</c:v>
                </c:pt>
                <c:pt idx="32">
                  <c:v>7.4004071937663115E-3</c:v>
                </c:pt>
                <c:pt idx="33">
                  <c:v>7.516448965896998E-3</c:v>
                </c:pt>
                <c:pt idx="34">
                  <c:v>7.6308488646658684E-3</c:v>
                </c:pt>
                <c:pt idx="35">
                  <c:v>7.7432707809122672E-3</c:v>
                </c:pt>
                <c:pt idx="36">
                  <c:v>7.8536928966574712E-3</c:v>
                </c:pt>
                <c:pt idx="37">
                  <c:v>7.9625090305437216E-3</c:v>
                </c:pt>
                <c:pt idx="38">
                  <c:v>8.0696809123457277E-3</c:v>
                </c:pt>
                <c:pt idx="39">
                  <c:v>8.1748737313852866E-3</c:v>
                </c:pt>
                <c:pt idx="40">
                  <c:v>8.2784337616258457E-3</c:v>
                </c:pt>
                <c:pt idx="41">
                  <c:v>8.3803935014618424E-3</c:v>
                </c:pt>
                <c:pt idx="42">
                  <c:v>8.4807184941731971E-3</c:v>
                </c:pt>
                <c:pt idx="43">
                  <c:v>8.5790948256208623E-3</c:v>
                </c:pt>
                <c:pt idx="44">
                  <c:v>8.6758942425428608E-3</c:v>
                </c:pt>
                <c:pt idx="45">
                  <c:v>8.7707376658961913E-3</c:v>
                </c:pt>
                <c:pt idx="46">
                  <c:v>8.8646568738834867E-3</c:v>
                </c:pt>
                <c:pt idx="47">
                  <c:v>8.9566189360176258E-3</c:v>
                </c:pt>
                <c:pt idx="48">
                  <c:v>9.0469972113832332E-3</c:v>
                </c:pt>
                <c:pt idx="49">
                  <c:v>9.1353697038570412E-3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Dragon_vs_RK1!$AP$1</c:f>
              <c:strCache>
                <c:ptCount val="1"/>
                <c:pt idx="0">
                  <c:v>Pu239 %wt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Dragon_vs_RK1!$AP$2:$AP$51</c:f>
              <c:numCache>
                <c:formatCode>0.00%</c:formatCode>
                <c:ptCount val="50"/>
                <c:pt idx="0">
                  <c:v>0.69080000000000019</c:v>
                </c:pt>
                <c:pt idx="1">
                  <c:v>0.68867739985064336</c:v>
                </c:pt>
                <c:pt idx="2">
                  <c:v>0.686851959655013</c:v>
                </c:pt>
                <c:pt idx="3">
                  <c:v>0.6849761995359761</c:v>
                </c:pt>
                <c:pt idx="4">
                  <c:v>0.68303968573570228</c:v>
                </c:pt>
                <c:pt idx="5">
                  <c:v>0.68106210776823217</c:v>
                </c:pt>
                <c:pt idx="6">
                  <c:v>0.67904809022040458</c:v>
                </c:pt>
                <c:pt idx="7">
                  <c:v>0.67700287534163717</c:v>
                </c:pt>
                <c:pt idx="8">
                  <c:v>0.67493514523140996</c:v>
                </c:pt>
                <c:pt idx="9">
                  <c:v>0.67285225771497714</c:v>
                </c:pt>
                <c:pt idx="10">
                  <c:v>0.67074771397274924</c:v>
                </c:pt>
                <c:pt idx="11">
                  <c:v>0.66862789700486325</c:v>
                </c:pt>
                <c:pt idx="12">
                  <c:v>0.66650317112759239</c:v>
                </c:pt>
                <c:pt idx="13">
                  <c:v>0.66435999301107951</c:v>
                </c:pt>
                <c:pt idx="14">
                  <c:v>0.66221515506989359</c:v>
                </c:pt>
                <c:pt idx="15">
                  <c:v>0.66007042921191317</c:v>
                </c:pt>
                <c:pt idx="16">
                  <c:v>0.65791348805542671</c:v>
                </c:pt>
                <c:pt idx="17">
                  <c:v>0.65576603658442412</c:v>
                </c:pt>
                <c:pt idx="18">
                  <c:v>0.65360990725402202</c:v>
                </c:pt>
                <c:pt idx="19">
                  <c:v>0.65145707727229607</c:v>
                </c:pt>
                <c:pt idx="20">
                  <c:v>0.64930497648569752</c:v>
                </c:pt>
                <c:pt idx="21">
                  <c:v>0.64715513151421655</c:v>
                </c:pt>
                <c:pt idx="22">
                  <c:v>0.6450111599095939</c:v>
                </c:pt>
                <c:pt idx="23">
                  <c:v>0.64287028326818674</c:v>
                </c:pt>
                <c:pt idx="24">
                  <c:v>0.64073398594491338</c:v>
                </c:pt>
                <c:pt idx="25">
                  <c:v>0.63861355845415391</c:v>
                </c:pt>
                <c:pt idx="26">
                  <c:v>0.63649680964333999</c:v>
                </c:pt>
                <c:pt idx="27">
                  <c:v>0.63438522260982877</c:v>
                </c:pt>
                <c:pt idx="28">
                  <c:v>0.63228002627279822</c:v>
                </c:pt>
                <c:pt idx="29">
                  <c:v>0.63019356048146136</c:v>
                </c:pt>
                <c:pt idx="30">
                  <c:v>0.62810855507842878</c:v>
                </c:pt>
                <c:pt idx="31">
                  <c:v>0.62604347643671376</c:v>
                </c:pt>
                <c:pt idx="32">
                  <c:v>0.62398340592400836</c:v>
                </c:pt>
                <c:pt idx="33">
                  <c:v>0.62192978070573091</c:v>
                </c:pt>
                <c:pt idx="34">
                  <c:v>0.61989270537185548</c:v>
                </c:pt>
                <c:pt idx="35">
                  <c:v>0.61787226582256416</c:v>
                </c:pt>
                <c:pt idx="36">
                  <c:v>0.61585944714884555</c:v>
                </c:pt>
                <c:pt idx="37">
                  <c:v>0.61386489590851523</c:v>
                </c:pt>
                <c:pt idx="38">
                  <c:v>0.6118855307254415</c:v>
                </c:pt>
                <c:pt idx="39">
                  <c:v>0.60991328506979725</c:v>
                </c:pt>
                <c:pt idx="40">
                  <c:v>0.6079563910382636</c:v>
                </c:pt>
                <c:pt idx="41">
                  <c:v>0.60600762297558319</c:v>
                </c:pt>
                <c:pt idx="42">
                  <c:v>0.604073318982708</c:v>
                </c:pt>
                <c:pt idx="43">
                  <c:v>0.60215612329738466</c:v>
                </c:pt>
                <c:pt idx="44">
                  <c:v>0.60025784427233375</c:v>
                </c:pt>
                <c:pt idx="45">
                  <c:v>0.5983766769041895</c:v>
                </c:pt>
                <c:pt idx="46">
                  <c:v>0.59649952815041207</c:v>
                </c:pt>
                <c:pt idx="47">
                  <c:v>0.59463905204733014</c:v>
                </c:pt>
                <c:pt idx="48">
                  <c:v>0.5927968728406271</c:v>
                </c:pt>
                <c:pt idx="49">
                  <c:v>0.59096904721610011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Dragon_vs_RK1!$AQ$1</c:f>
              <c:strCache>
                <c:ptCount val="1"/>
                <c:pt idx="0">
                  <c:v>Pu240 %wt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Dragon_vs_RK1!$AQ$2:$AQ$51</c:f>
              <c:numCache>
                <c:formatCode>0.00%</c:formatCode>
                <c:ptCount val="50"/>
                <c:pt idx="0">
                  <c:v>0.23039999999999999</c:v>
                </c:pt>
                <c:pt idx="1">
                  <c:v>0.23323832085949284</c:v>
                </c:pt>
                <c:pt idx="2">
                  <c:v>0.23574969391161124</c:v>
                </c:pt>
                <c:pt idx="3">
                  <c:v>0.238209758037322</c:v>
                </c:pt>
                <c:pt idx="4">
                  <c:v>0.24063699740283453</c:v>
                </c:pt>
                <c:pt idx="5">
                  <c:v>0.24302754338026228</c:v>
                </c:pt>
                <c:pt idx="6">
                  <c:v>0.24538336318810455</c:v>
                </c:pt>
                <c:pt idx="7">
                  <c:v>0.24770673659986162</c:v>
                </c:pt>
                <c:pt idx="8">
                  <c:v>0.24999809874167836</c:v>
                </c:pt>
                <c:pt idx="9">
                  <c:v>0.25225195012205864</c:v>
                </c:pt>
                <c:pt idx="10">
                  <c:v>0.25447818582215226</c:v>
                </c:pt>
                <c:pt idx="11">
                  <c:v>0.25667659891178474</c:v>
                </c:pt>
                <c:pt idx="12">
                  <c:v>0.25883935489719911</c:v>
                </c:pt>
                <c:pt idx="13">
                  <c:v>0.26097734500846254</c:v>
                </c:pt>
                <c:pt idx="14">
                  <c:v>0.2630850299972719</c:v>
                </c:pt>
                <c:pt idx="15">
                  <c:v>0.26516022959960739</c:v>
                </c:pt>
                <c:pt idx="16">
                  <c:v>0.26721472600226964</c:v>
                </c:pt>
                <c:pt idx="17">
                  <c:v>0.26923147666618702</c:v>
                </c:pt>
                <c:pt idx="18">
                  <c:v>0.27122668436329672</c:v>
                </c:pt>
                <c:pt idx="19">
                  <c:v>0.27319572447491308</c:v>
                </c:pt>
                <c:pt idx="20">
                  <c:v>0.27513464861098114</c:v>
                </c:pt>
                <c:pt idx="21">
                  <c:v>0.27705105582644229</c:v>
                </c:pt>
                <c:pt idx="22">
                  <c:v>0.27894034781828214</c:v>
                </c:pt>
                <c:pt idx="23">
                  <c:v>0.28080504806725121</c:v>
                </c:pt>
                <c:pt idx="24">
                  <c:v>0.28264623054806548</c:v>
                </c:pt>
                <c:pt idx="25">
                  <c:v>0.28445464023340761</c:v>
                </c:pt>
                <c:pt idx="26">
                  <c:v>0.28623974387269902</c:v>
                </c:pt>
                <c:pt idx="27">
                  <c:v>0.28800597475379669</c:v>
                </c:pt>
                <c:pt idx="28">
                  <c:v>0.28974767535719026</c:v>
                </c:pt>
                <c:pt idx="29">
                  <c:v>0.29146224760035594</c:v>
                </c:pt>
                <c:pt idx="30">
                  <c:v>0.29315735428540396</c:v>
                </c:pt>
                <c:pt idx="31">
                  <c:v>0.29482292372223867</c:v>
                </c:pt>
                <c:pt idx="32">
                  <c:v>0.29647132374033447</c:v>
                </c:pt>
                <c:pt idx="33">
                  <c:v>0.29810031818880839</c:v>
                </c:pt>
                <c:pt idx="34">
                  <c:v>0.29970226714614001</c:v>
                </c:pt>
                <c:pt idx="35">
                  <c:v>0.30128066641492651</c:v>
                </c:pt>
                <c:pt idx="36">
                  <c:v>0.30284107093201973</c:v>
                </c:pt>
                <c:pt idx="37">
                  <c:v>0.30437569415920207</c:v>
                </c:pt>
                <c:pt idx="38">
                  <c:v>0.30588648616022723</c:v>
                </c:pt>
                <c:pt idx="39">
                  <c:v>0.30738331933757723</c:v>
                </c:pt>
                <c:pt idx="40">
                  <c:v>0.30885677327375771</c:v>
                </c:pt>
                <c:pt idx="41">
                  <c:v>0.31031745942056926</c:v>
                </c:pt>
                <c:pt idx="42">
                  <c:v>0.31175467633064152</c:v>
                </c:pt>
                <c:pt idx="43">
                  <c:v>0.31316980315536158</c:v>
                </c:pt>
                <c:pt idx="44">
                  <c:v>0.31456381593605687</c:v>
                </c:pt>
                <c:pt idx="45">
                  <c:v>0.3159358037085</c:v>
                </c:pt>
                <c:pt idx="46">
                  <c:v>0.31729763553363688</c:v>
                </c:pt>
                <c:pt idx="47">
                  <c:v>0.31863755227580881</c:v>
                </c:pt>
                <c:pt idx="48">
                  <c:v>0.31996001087635439</c:v>
                </c:pt>
                <c:pt idx="49">
                  <c:v>0.32125932232989413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Dragon_vs_RK1!$AR$1</c:f>
              <c:strCache>
                <c:ptCount val="1"/>
                <c:pt idx="0">
                  <c:v>Pu241 %wt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Dragon_vs_RK1!$AR$2:$AR$51</c:f>
              <c:numCache>
                <c:formatCode>0.00%</c:formatCode>
                <c:ptCount val="50"/>
                <c:pt idx="0">
                  <c:v>4.8200000000000014E-2</c:v>
                </c:pt>
                <c:pt idx="1">
                  <c:v>4.7229173732352976E-2</c:v>
                </c:pt>
                <c:pt idx="2">
                  <c:v>4.6284211576569083E-2</c:v>
                </c:pt>
                <c:pt idx="3">
                  <c:v>4.5416727856553554E-2</c:v>
                </c:pt>
                <c:pt idx="4">
                  <c:v>4.462727509298775E-2</c:v>
                </c:pt>
                <c:pt idx="5">
                  <c:v>4.3908765691788448E-2</c:v>
                </c:pt>
                <c:pt idx="6">
                  <c:v>4.3258437706410538E-2</c:v>
                </c:pt>
                <c:pt idx="7">
                  <c:v>4.2673557951834175E-2</c:v>
                </c:pt>
                <c:pt idx="8">
                  <c:v>4.2145135326142565E-2</c:v>
                </c:pt>
                <c:pt idx="9">
                  <c:v>4.1675010422026357E-2</c:v>
                </c:pt>
                <c:pt idx="10">
                  <c:v>4.1258472367004764E-2</c:v>
                </c:pt>
                <c:pt idx="11">
                  <c:v>4.0889582976394237E-2</c:v>
                </c:pt>
                <c:pt idx="12">
                  <c:v>4.056716417859807E-2</c:v>
                </c:pt>
                <c:pt idx="13">
                  <c:v>4.0292531832372989E-2</c:v>
                </c:pt>
                <c:pt idx="14">
                  <c:v>4.0055161935197356E-2</c:v>
                </c:pt>
                <c:pt idx="15">
                  <c:v>3.9855326741713291E-2</c:v>
                </c:pt>
                <c:pt idx="16">
                  <c:v>3.9691145343048635E-2</c:v>
                </c:pt>
                <c:pt idx="17">
                  <c:v>3.9560194355225946E-2</c:v>
                </c:pt>
                <c:pt idx="18">
                  <c:v>3.9462201022335441E-2</c:v>
                </c:pt>
                <c:pt idx="19">
                  <c:v>3.9389538731776197E-2</c:v>
                </c:pt>
                <c:pt idx="20">
                  <c:v>3.9348809765576143E-2</c:v>
                </c:pt>
                <c:pt idx="21">
                  <c:v>3.933040790578661E-2</c:v>
                </c:pt>
                <c:pt idx="22">
                  <c:v>3.9334719251362879E-2</c:v>
                </c:pt>
                <c:pt idx="23">
                  <c:v>3.9361752835997493E-2</c:v>
                </c:pt>
                <c:pt idx="24">
                  <c:v>3.9408461391019445E-2</c:v>
                </c:pt>
                <c:pt idx="25">
                  <c:v>3.9473677668197864E-2</c:v>
                </c:pt>
                <c:pt idx="26">
                  <c:v>3.955885478377795E-2</c:v>
                </c:pt>
                <c:pt idx="27">
                  <c:v>3.9657576890079274E-2</c:v>
                </c:pt>
                <c:pt idx="28">
                  <c:v>3.9773439184203278E-2</c:v>
                </c:pt>
                <c:pt idx="29">
                  <c:v>3.989856098363443E-2</c:v>
                </c:pt>
                <c:pt idx="30">
                  <c:v>4.0040839519104379E-2</c:v>
                </c:pt>
                <c:pt idx="31">
                  <c:v>4.0192729298408628E-2</c:v>
                </c:pt>
                <c:pt idx="32">
                  <c:v>4.0355559288189777E-2</c:v>
                </c:pt>
                <c:pt idx="33">
                  <c:v>4.0529589839163889E-2</c:v>
                </c:pt>
                <c:pt idx="34">
                  <c:v>4.0713435414836768E-2</c:v>
                </c:pt>
                <c:pt idx="35">
                  <c:v>4.0903796574496117E-2</c:v>
                </c:pt>
                <c:pt idx="36">
                  <c:v>4.1102446149900572E-2</c:v>
                </c:pt>
                <c:pt idx="37">
                  <c:v>4.1307962573195078E-2</c:v>
                </c:pt>
                <c:pt idx="38">
                  <c:v>4.152024550488348E-2</c:v>
                </c:pt>
                <c:pt idx="39">
                  <c:v>4.1737730393270195E-2</c:v>
                </c:pt>
                <c:pt idx="40">
                  <c:v>4.1962233919250247E-2</c:v>
                </c:pt>
                <c:pt idx="41">
                  <c:v>4.2188779364098497E-2</c:v>
                </c:pt>
                <c:pt idx="42">
                  <c:v>4.2422515750159866E-2</c:v>
                </c:pt>
                <c:pt idx="43">
                  <c:v>4.2660223214779483E-2</c:v>
                </c:pt>
                <c:pt idx="44">
                  <c:v>4.2898578574761551E-2</c:v>
                </c:pt>
                <c:pt idx="45">
                  <c:v>4.3141062933766565E-2</c:v>
                </c:pt>
                <c:pt idx="46">
                  <c:v>4.3385821395976867E-2</c:v>
                </c:pt>
                <c:pt idx="47">
                  <c:v>4.3634889523820983E-2</c:v>
                </c:pt>
                <c:pt idx="48">
                  <c:v>4.3881287060577465E-2</c:v>
                </c:pt>
                <c:pt idx="49">
                  <c:v>4.4135581264356696E-2</c:v>
                </c:pt>
              </c:numCache>
            </c:numRef>
          </c:yVal>
          <c:smooth val="0"/>
        </c:ser>
        <c:ser>
          <c:idx val="5"/>
          <c:order val="4"/>
          <c:tx>
            <c:strRef>
              <c:f>Dragon_vs_RK1!$AS$1</c:f>
              <c:strCache>
                <c:ptCount val="1"/>
                <c:pt idx="0">
                  <c:v>Pu242 %wt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Dragon_vs_RK1!$AS$2:$AS$51</c:f>
              <c:numCache>
                <c:formatCode>0.00%</c:formatCode>
                <c:ptCount val="50"/>
                <c:pt idx="0">
                  <c:v>1.6400000000000001E-2</c:v>
                </c:pt>
                <c:pt idx="1">
                  <c:v>1.6665836463566376E-2</c:v>
                </c:pt>
                <c:pt idx="2">
                  <c:v>1.6900603023753152E-2</c:v>
                </c:pt>
                <c:pt idx="3">
                  <c:v>1.7125178960643809E-2</c:v>
                </c:pt>
                <c:pt idx="4">
                  <c:v>1.7341517893206891E-2</c:v>
                </c:pt>
                <c:pt idx="5">
                  <c:v>1.7549651397985682E-2</c:v>
                </c:pt>
                <c:pt idx="6">
                  <c:v>1.7750998334860033E-2</c:v>
                </c:pt>
                <c:pt idx="7">
                  <c:v>1.7945390782244018E-2</c:v>
                </c:pt>
                <c:pt idx="8">
                  <c:v>1.8134375069880079E-2</c:v>
                </c:pt>
                <c:pt idx="9">
                  <c:v>1.8317634823642508E-2</c:v>
                </c:pt>
                <c:pt idx="10">
                  <c:v>1.8496203802891822E-2</c:v>
                </c:pt>
                <c:pt idx="11">
                  <c:v>1.867094390646188E-2</c:v>
                </c:pt>
                <c:pt idx="12">
                  <c:v>1.8841605835911449E-2</c:v>
                </c:pt>
                <c:pt idx="13">
                  <c:v>1.9009067922184108E-2</c:v>
                </c:pt>
                <c:pt idx="14">
                  <c:v>1.9173575087295495E-2</c:v>
                </c:pt>
                <c:pt idx="15">
                  <c:v>1.9335203555927209E-2</c:v>
                </c:pt>
                <c:pt idx="16">
                  <c:v>1.9495229302534733E-2</c:v>
                </c:pt>
                <c:pt idx="17">
                  <c:v>1.9652738538015257E-2</c:v>
                </c:pt>
                <c:pt idx="18">
                  <c:v>1.9809155471383542E-2</c:v>
                </c:pt>
                <c:pt idx="19">
                  <c:v>1.9964567231743988E-2</c:v>
                </c:pt>
                <c:pt idx="20">
                  <c:v>2.0118602938466314E-2</c:v>
                </c:pt>
                <c:pt idx="21">
                  <c:v>2.0272336704853462E-2</c:v>
                </c:pt>
                <c:pt idx="22">
                  <c:v>2.0425594573640293E-2</c:v>
                </c:pt>
                <c:pt idx="23">
                  <c:v>2.0578664853911945E-2</c:v>
                </c:pt>
                <c:pt idx="24">
                  <c:v>2.0731973832692808E-2</c:v>
                </c:pt>
                <c:pt idx="25">
                  <c:v>2.0884860040373095E-2</c:v>
                </c:pt>
                <c:pt idx="26">
                  <c:v>2.1038370692507687E-2</c:v>
                </c:pt>
                <c:pt idx="27">
                  <c:v>2.1192608993642132E-2</c:v>
                </c:pt>
                <c:pt idx="28">
                  <c:v>2.134800941461296E-2</c:v>
                </c:pt>
                <c:pt idx="29">
                  <c:v>2.1503915594148475E-2</c:v>
                </c:pt>
                <c:pt idx="30">
                  <c:v>2.1660918464043357E-2</c:v>
                </c:pt>
                <c:pt idx="31">
                  <c:v>2.1818889869790137E-2</c:v>
                </c:pt>
                <c:pt idx="32">
                  <c:v>2.1978188171206139E-2</c:v>
                </c:pt>
                <c:pt idx="33">
                  <c:v>2.2139613784297952E-2</c:v>
                </c:pt>
                <c:pt idx="34">
                  <c:v>2.2302045538473404E-2</c:v>
                </c:pt>
                <c:pt idx="35">
                  <c:v>2.2465867047820085E-2</c:v>
                </c:pt>
                <c:pt idx="36">
                  <c:v>2.2631697581021307E-2</c:v>
                </c:pt>
                <c:pt idx="37">
                  <c:v>2.2799087940541283E-2</c:v>
                </c:pt>
                <c:pt idx="38">
                  <c:v>2.2968315266207757E-2</c:v>
                </c:pt>
                <c:pt idx="39">
                  <c:v>2.3139732121488198E-2</c:v>
                </c:pt>
                <c:pt idx="40">
                  <c:v>2.3312764283448882E-2</c:v>
                </c:pt>
                <c:pt idx="41">
                  <c:v>2.348852375011929E-2</c:v>
                </c:pt>
                <c:pt idx="42">
                  <c:v>2.3666343142336302E-2</c:v>
                </c:pt>
                <c:pt idx="43">
                  <c:v>2.3846027134613493E-2</c:v>
                </c:pt>
                <c:pt idx="44">
                  <c:v>2.4027701920985065E-2</c:v>
                </c:pt>
                <c:pt idx="45">
                  <c:v>2.4211352022243688E-2</c:v>
                </c:pt>
                <c:pt idx="46">
                  <c:v>2.4398303052114878E-2</c:v>
                </c:pt>
                <c:pt idx="47">
                  <c:v>2.4587002034550876E-2</c:v>
                </c:pt>
                <c:pt idx="48">
                  <c:v>2.4778293161469133E-2</c:v>
                </c:pt>
                <c:pt idx="49">
                  <c:v>2.4971716804019904E-2</c:v>
                </c:pt>
              </c:numCache>
            </c:numRef>
          </c:yVal>
          <c:smooth val="0"/>
        </c:ser>
        <c:ser>
          <c:idx val="6"/>
          <c:order val="5"/>
          <c:tx>
            <c:strRef>
              <c:f>Dragon_vs_RK1!$AT$1</c:f>
              <c:strCache>
                <c:ptCount val="1"/>
                <c:pt idx="0">
                  <c:v>Am241 %wt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Dragon_vs_RK1!$AT$2:$AT$51</c:f>
              <c:numCache>
                <c:formatCode>0.00%</c:formatCode>
                <c:ptCount val="50"/>
                <c:pt idx="0">
                  <c:v>1.0400000000000001E-2</c:v>
                </c:pt>
                <c:pt idx="1">
                  <c:v>1.0471651297641637E-2</c:v>
                </c:pt>
                <c:pt idx="2">
                  <c:v>1.0518263095680535E-2</c:v>
                </c:pt>
                <c:pt idx="3">
                  <c:v>1.0552571134200592E-2</c:v>
                </c:pt>
                <c:pt idx="4">
                  <c:v>1.0576645225953488E-2</c:v>
                </c:pt>
                <c:pt idx="5">
                  <c:v>1.0590917346268531E-2</c:v>
                </c:pt>
                <c:pt idx="6">
                  <c:v>1.0597041662860407E-2</c:v>
                </c:pt>
                <c:pt idx="7">
                  <c:v>1.059540154933598E-2</c:v>
                </c:pt>
                <c:pt idx="8">
                  <c:v>1.0587722621077485E-2</c:v>
                </c:pt>
                <c:pt idx="9">
                  <c:v>1.057360028421917E-2</c:v>
                </c:pt>
                <c:pt idx="10">
                  <c:v>1.0555029874105986E-2</c:v>
                </c:pt>
                <c:pt idx="11">
                  <c:v>1.053242166043679E-2</c:v>
                </c:pt>
                <c:pt idx="12">
                  <c:v>1.050574137882662E-2</c:v>
                </c:pt>
                <c:pt idx="13">
                  <c:v>1.0476564597185255E-2</c:v>
                </c:pt>
                <c:pt idx="14">
                  <c:v>1.0444637192093419E-2</c:v>
                </c:pt>
                <c:pt idx="15">
                  <c:v>1.0410299477926582E-2</c:v>
                </c:pt>
                <c:pt idx="16">
                  <c:v>1.0374833967520172E-2</c:v>
                </c:pt>
                <c:pt idx="17">
                  <c:v>1.033787979834298E-2</c:v>
                </c:pt>
                <c:pt idx="18">
                  <c:v>1.0300167142341367E-2</c:v>
                </c:pt>
                <c:pt idx="19">
                  <c:v>1.0262022062773202E-2</c:v>
                </c:pt>
                <c:pt idx="20">
                  <c:v>1.0223728888732906E-2</c:v>
                </c:pt>
                <c:pt idx="21">
                  <c:v>1.0185309796796983E-2</c:v>
                </c:pt>
                <c:pt idx="22">
                  <c:v>1.0147149720134736E-2</c:v>
                </c:pt>
                <c:pt idx="23">
                  <c:v>1.0109535840569608E-2</c:v>
                </c:pt>
                <c:pt idx="24">
                  <c:v>1.0072494077203604E-2</c:v>
                </c:pt>
                <c:pt idx="25">
                  <c:v>1.0036017556110071E-2</c:v>
                </c:pt>
                <c:pt idx="26">
                  <c:v>1.0000437237114242E-2</c:v>
                </c:pt>
                <c:pt idx="27">
                  <c:v>9.9657821967124808E-3</c:v>
                </c:pt>
                <c:pt idx="28">
                  <c:v>9.9327477882256449E-3</c:v>
                </c:pt>
                <c:pt idx="29">
                  <c:v>9.9003436577804454E-3</c:v>
                </c:pt>
                <c:pt idx="30">
                  <c:v>9.8695010503260933E-3</c:v>
                </c:pt>
                <c:pt idx="31">
                  <c:v>9.8396579178904858E-3</c:v>
                </c:pt>
                <c:pt idx="32">
                  <c:v>9.8111156824948215E-3</c:v>
                </c:pt>
                <c:pt idx="33">
                  <c:v>9.784248516101773E-3</c:v>
                </c:pt>
                <c:pt idx="34">
                  <c:v>9.758697664028421E-3</c:v>
                </c:pt>
                <c:pt idx="35">
                  <c:v>9.7341333592806389E-3</c:v>
                </c:pt>
                <c:pt idx="36">
                  <c:v>9.7116452915551651E-3</c:v>
                </c:pt>
                <c:pt idx="37">
                  <c:v>9.6898503880025726E-3</c:v>
                </c:pt>
                <c:pt idx="38">
                  <c:v>9.6697414308941736E-3</c:v>
                </c:pt>
                <c:pt idx="39">
                  <c:v>9.6510593464818901E-3</c:v>
                </c:pt>
                <c:pt idx="40">
                  <c:v>9.6334037236536652E-3</c:v>
                </c:pt>
                <c:pt idx="41">
                  <c:v>9.6172209881680206E-3</c:v>
                </c:pt>
                <c:pt idx="42">
                  <c:v>9.6024272999811495E-3</c:v>
                </c:pt>
                <c:pt idx="43">
                  <c:v>9.5887283722401306E-3</c:v>
                </c:pt>
                <c:pt idx="44">
                  <c:v>9.5761650533199086E-3</c:v>
                </c:pt>
                <c:pt idx="45">
                  <c:v>9.5643667654041805E-3</c:v>
                </c:pt>
                <c:pt idx="46">
                  <c:v>9.5540549939759183E-3</c:v>
                </c:pt>
                <c:pt idx="47">
                  <c:v>9.5448851824717212E-3</c:v>
                </c:pt>
                <c:pt idx="48">
                  <c:v>9.5365388495887611E-3</c:v>
                </c:pt>
                <c:pt idx="49">
                  <c:v>9.5289626817720453E-3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445120"/>
        <c:axId val="91446656"/>
      </c:scatterChart>
      <c:valAx>
        <c:axId val="91445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1446656"/>
        <c:crosses val="autoZero"/>
        <c:crossBetween val="midCat"/>
      </c:valAx>
      <c:valAx>
        <c:axId val="9144665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914451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Dragon_vs_RK1!$AY$1</c:f>
              <c:strCache>
                <c:ptCount val="1"/>
                <c:pt idx="0">
                  <c:v>Pu238 %wt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Dragon_vs_RK1!$AY$2:$AY$309</c:f>
              <c:numCache>
                <c:formatCode>0.00%</c:formatCode>
                <c:ptCount val="308"/>
                <c:pt idx="0">
                  <c:v>3.7999999999999996E-3</c:v>
                </c:pt>
                <c:pt idx="1">
                  <c:v>3.9820230157124794E-3</c:v>
                </c:pt>
                <c:pt idx="2">
                  <c:v>4.1584182939037014E-3</c:v>
                </c:pt>
                <c:pt idx="3">
                  <c:v>4.3293244629625024E-3</c:v>
                </c:pt>
                <c:pt idx="4">
                  <c:v>4.494877385731063E-3</c:v>
                </c:pt>
                <c:pt idx="5">
                  <c:v>4.6552101957782321E-3</c:v>
                </c:pt>
                <c:pt idx="6">
                  <c:v>4.8104533342610209E-3</c:v>
                </c:pt>
                <c:pt idx="7">
                  <c:v>4.9607345872833015E-3</c:v>
                </c:pt>
                <c:pt idx="8">
                  <c:v>5.1061791236671952E-3</c:v>
                </c:pt>
                <c:pt idx="9">
                  <c:v>5.2469095330586937E-3</c:v>
                </c:pt>
                <c:pt idx="10">
                  <c:v>5.3830458642947247E-3</c:v>
                </c:pt>
                <c:pt idx="11">
                  <c:v>5.5147056639642126E-3</c:v>
                </c:pt>
                <c:pt idx="12">
                  <c:v>5.642004015100688E-3</c:v>
                </c:pt>
                <c:pt idx="13">
                  <c:v>5.7650535759487141E-3</c:v>
                </c:pt>
                <c:pt idx="14">
                  <c:v>5.8839646187507678E-3</c:v>
                </c:pt>
                <c:pt idx="15">
                  <c:v>5.9988450685054158E-3</c:v>
                </c:pt>
                <c:pt idx="16">
                  <c:v>6.109800541651402E-3</c:v>
                </c:pt>
                <c:pt idx="17">
                  <c:v>6.2169343846359805E-3</c:v>
                </c:pt>
                <c:pt idx="18">
                  <c:v>6.3203477123292022E-3</c:v>
                </c:pt>
                <c:pt idx="19">
                  <c:v>6.4201394462489823E-3</c:v>
                </c:pt>
                <c:pt idx="20">
                  <c:v>6.5164063525648746E-3</c:v>
                </c:pt>
                <c:pt idx="21">
                  <c:v>6.6092430798511455E-3</c:v>
                </c:pt>
                <c:pt idx="22">
                  <c:v>6.6987421965624336E-3</c:v>
                </c:pt>
                <c:pt idx="23">
                  <c:v>6.7849942282076506E-3</c:v>
                </c:pt>
                <c:pt idx="24">
                  <c:v>6.8680876942001168E-3</c:v>
                </c:pt>
                <c:pt idx="25">
                  <c:v>6.948109144363993E-3</c:v>
                </c:pt>
                <c:pt idx="26">
                  <c:v>7.0251431950790789E-3</c:v>
                </c:pt>
                <c:pt idx="27">
                  <c:v>7.0992725650479149E-3</c:v>
                </c:pt>
                <c:pt idx="28">
                  <c:v>7.1705781106708175E-3</c:v>
                </c:pt>
                <c:pt idx="29">
                  <c:v>7.23913886101609E-3</c:v>
                </c:pt>
                <c:pt idx="30">
                  <c:v>7.3050320523741757E-3</c:v>
                </c:pt>
                <c:pt idx="31">
                  <c:v>7.3683331623858924E-3</c:v>
                </c:pt>
                <c:pt idx="32">
                  <c:v>7.429115943736163E-3</c:v>
                </c:pt>
                <c:pt idx="33">
                  <c:v>7.4874524574059164E-3</c:v>
                </c:pt>
                <c:pt idx="34">
                  <c:v>7.5434131054759081E-3</c:v>
                </c:pt>
                <c:pt idx="35">
                  <c:v>7.5970666634772284E-3</c:v>
                </c:pt>
                <c:pt idx="36">
                  <c:v>7.6484803122843451E-3</c:v>
                </c:pt>
                <c:pt idx="37">
                  <c:v>7.6977196695472237E-3</c:v>
                </c:pt>
                <c:pt idx="38">
                  <c:v>7.7448488206601209E-3</c:v>
                </c:pt>
                <c:pt idx="39">
                  <c:v>7.7899303492652092E-3</c:v>
                </c:pt>
                <c:pt idx="40">
                  <c:v>7.8330253672900339E-3</c:v>
                </c:pt>
                <c:pt idx="41">
                  <c:v>7.8741935445184163E-3</c:v>
                </c:pt>
                <c:pt idx="42">
                  <c:v>7.9134931376949567E-3</c:v>
                </c:pt>
                <c:pt idx="43">
                  <c:v>7.9509810191639666E-3</c:v>
                </c:pt>
                <c:pt idx="44">
                  <c:v>7.9867127050440318E-3</c:v>
                </c:pt>
                <c:pt idx="45">
                  <c:v>8.0207423829399896E-3</c:v>
                </c:pt>
                <c:pt idx="46">
                  <c:v>8.0531229391944646E-3</c:v>
                </c:pt>
                <c:pt idx="47">
                  <c:v>8.0839059856815023E-3</c:v>
                </c:pt>
                <c:pt idx="48">
                  <c:v>8.1131418861452552E-3</c:v>
                </c:pt>
                <c:pt idx="49">
                  <c:v>8.1408797820868989E-3</c:v>
                </c:pt>
                <c:pt idx="50">
                  <c:v>8.1671676182033387E-3</c:v>
                </c:pt>
                <c:pt idx="51">
                  <c:v>8.1920521673815479E-3</c:v>
                </c:pt>
                <c:pt idx="52">
                  <c:v>8.2155790552524924E-3</c:v>
                </c:pt>
                <c:pt idx="53">
                  <c:v>8.237792784308957E-3</c:v>
                </c:pt>
                <c:pt idx="54">
                  <c:v>8.2587367575917472E-3</c:v>
                </c:pt>
                <c:pt idx="55">
                  <c:v>8.278453301948813E-3</c:v>
                </c:pt>
                <c:pt idx="56">
                  <c:v>8.2969836908721867E-3</c:v>
                </c:pt>
                <c:pt idx="57">
                  <c:v>8.3143681669175587E-3</c:v>
                </c:pt>
                <c:pt idx="58">
                  <c:v>8.3306459637115682E-3</c:v>
                </c:pt>
                <c:pt idx="59">
                  <c:v>8.3458553275520056E-3</c:v>
                </c:pt>
                <c:pt idx="60">
                  <c:v>8.3600335386060445E-3</c:v>
                </c:pt>
                <c:pt idx="61">
                  <c:v>8.3732169317119274E-3</c:v>
                </c:pt>
                <c:pt idx="62">
                  <c:v>8.3854409167893953E-3</c:v>
                </c:pt>
                <c:pt idx="63">
                  <c:v>8.3967399988643509E-3</c:v>
                </c:pt>
                <c:pt idx="64">
                  <c:v>8.4071477977131666E-3</c:v>
                </c:pt>
                <c:pt idx="65">
                  <c:v>8.4166970671321756E-3</c:v>
                </c:pt>
                <c:pt idx="66">
                  <c:v>8.4254197138378256E-3</c:v>
                </c:pt>
                <c:pt idx="67">
                  <c:v>8.433346816003072E-3</c:v>
                </c:pt>
                <c:pt idx="68">
                  <c:v>8.4405086414355152E-3</c:v>
                </c:pt>
                <c:pt idx="69">
                  <c:v>8.4469346654028298E-3</c:v>
                </c:pt>
                <c:pt idx="70">
                  <c:v>8.4526535881110261E-3</c:v>
                </c:pt>
                <c:pt idx="71">
                  <c:v>8.4576933518410082E-3</c:v>
                </c:pt>
                <c:pt idx="72">
                  <c:v>8.4620811577490098E-3</c:v>
                </c:pt>
                <c:pt idx="73">
                  <c:v>8.4658434823363E-3</c:v>
                </c:pt>
                <c:pt idx="74">
                  <c:v>8.4690060935936149E-3</c:v>
                </c:pt>
                <c:pt idx="75">
                  <c:v>8.4715940668257435E-3</c:v>
                </c:pt>
                <c:pt idx="76">
                  <c:v>8.4736318001616337E-3</c:v>
                </c:pt>
                <c:pt idx="77">
                  <c:v>8.4751430297552964E-3</c:v>
                </c:pt>
                <c:pt idx="78">
                  <c:v>8.4761508446828601E-3</c:v>
                </c:pt>
                <c:pt idx="79">
                  <c:v>8.4766777015409644E-3</c:v>
                </c:pt>
                <c:pt idx="80">
                  <c:v>8.476745438751666E-3</c:v>
                </c:pt>
                <c:pt idx="81">
                  <c:v>8.4763752905790274E-3</c:v>
                </c:pt>
                <c:pt idx="82">
                  <c:v>8.4755879008624451E-3</c:v>
                </c:pt>
                <c:pt idx="83">
                  <c:v>8.4744033364717308E-3</c:v>
                </c:pt>
                <c:pt idx="84">
                  <c:v>8.4728411004889297E-3</c:v>
                </c:pt>
                <c:pt idx="85">
                  <c:v>8.4709201451217339E-3</c:v>
                </c:pt>
                <c:pt idx="86">
                  <c:v>8.4686588843534086E-3</c:v>
                </c:pt>
                <c:pt idx="87">
                  <c:v>8.4660752063339187E-3</c:v>
                </c:pt>
                <c:pt idx="88">
                  <c:v>8.4631864855170703E-3</c:v>
                </c:pt>
                <c:pt idx="89">
                  <c:v>8.4600095945482432E-3</c:v>
                </c:pt>
                <c:pt idx="90">
                  <c:v>8.4565609159073518E-3</c:v>
                </c:pt>
                <c:pt idx="91">
                  <c:v>8.4528563533115258E-3</c:v>
                </c:pt>
                <c:pt idx="92">
                  <c:v>8.4489113428820387E-3</c:v>
                </c:pt>
                <c:pt idx="93">
                  <c:v>8.4447408640797791E-3</c:v>
                </c:pt>
                <c:pt idx="94">
                  <c:v>8.4403594504136974E-3</c:v>
                </c:pt>
                <c:pt idx="95">
                  <c:v>8.4357811999264207E-3</c:v>
                </c:pt>
                <c:pt idx="96">
                  <c:v>8.4310197854613016E-3</c:v>
                </c:pt>
                <c:pt idx="97">
                  <c:v>8.4260884647149436E-3</c:v>
                </c:pt>
                <c:pt idx="98">
                  <c:v>8.4210000900794158E-3</c:v>
                </c:pt>
                <c:pt idx="99">
                  <c:v>8.4157671182780013E-3</c:v>
                </c:pt>
                <c:pt idx="100">
                  <c:v>8.4104016197985559E-3</c:v>
                </c:pt>
                <c:pt idx="101">
                  <c:v>8.4049152881282632E-3</c:v>
                </c:pt>
                <c:pt idx="102">
                  <c:v>8.3993194487936729E-3</c:v>
                </c:pt>
                <c:pt idx="103">
                  <c:v>8.3936250682097088E-3</c:v>
                </c:pt>
                <c:pt idx="104">
                  <c:v>8.3878427623413892E-3</c:v>
                </c:pt>
                <c:pt idx="105">
                  <c:v>8.3819828051818548E-3</c:v>
                </c:pt>
                <c:pt idx="106">
                  <c:v>8.3760551370502586E-3</c:v>
                </c:pt>
                <c:pt idx="107">
                  <c:v>8.3700693727130748E-3</c:v>
                </c:pt>
                <c:pt idx="108">
                  <c:v>8.3640348093322169E-3</c:v>
                </c:pt>
                <c:pt idx="109">
                  <c:v>8.3579604342433628E-3</c:v>
                </c:pt>
                <c:pt idx="110">
                  <c:v>8.3518549325678291E-3</c:v>
                </c:pt>
                <c:pt idx="111">
                  <c:v>8.3457266946612464E-3</c:v>
                </c:pt>
                <c:pt idx="112">
                  <c:v>8.3395838234022485E-3</c:v>
                </c:pt>
                <c:pt idx="113">
                  <c:v>8.3334341413243279E-3</c:v>
                </c:pt>
                <c:pt idx="114">
                  <c:v>8.327285197593938E-3</c:v>
                </c:pt>
                <c:pt idx="115">
                  <c:v>8.3211442748379171E-3</c:v>
                </c:pt>
                <c:pt idx="116">
                  <c:v>8.3150183958231906E-3</c:v>
                </c:pt>
                <c:pt idx="117">
                  <c:v>8.308914329991696E-3</c:v>
                </c:pt>
                <c:pt idx="118">
                  <c:v>8.3028385998533735E-3</c:v>
                </c:pt>
                <c:pt idx="119">
                  <c:v>8.2967974872401439E-3</c:v>
                </c:pt>
                <c:pt idx="120">
                  <c:v>8.2907970394235139E-3</c:v>
                </c:pt>
                <c:pt idx="121">
                  <c:v>8.2848430750986409E-3</c:v>
                </c:pt>
                <c:pt idx="122">
                  <c:v>8.2789411902374922E-3</c:v>
                </c:pt>
                <c:pt idx="123">
                  <c:v>8.2730967638136952E-3</c:v>
                </c:pt>
                <c:pt idx="124">
                  <c:v>8.2673149634017E-3</c:v>
                </c:pt>
                <c:pt idx="125">
                  <c:v>8.2616007506527631E-3</c:v>
                </c:pt>
                <c:pt idx="126">
                  <c:v>8.2559588866502002E-3</c:v>
                </c:pt>
                <c:pt idx="127">
                  <c:v>8.2503939371464195E-3</c:v>
                </c:pt>
                <c:pt idx="128">
                  <c:v>8.2449102776840349E-3</c:v>
                </c:pt>
                <c:pt idx="129">
                  <c:v>8.2395120986034579E-3</c:v>
                </c:pt>
                <c:pt idx="130">
                  <c:v>8.2342034099392534E-3</c:v>
                </c:pt>
                <c:pt idx="131">
                  <c:v>8.2289880462075148E-3</c:v>
                </c:pt>
                <c:pt idx="132">
                  <c:v>8.2238696710864641E-3</c:v>
                </c:pt>
                <c:pt idx="133">
                  <c:v>8.2188517819924665E-3</c:v>
                </c:pt>
                <c:pt idx="134">
                  <c:v>8.2139377145535562E-3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Dragon_vs_RK1!$AZ$1</c:f>
              <c:strCache>
                <c:ptCount val="1"/>
                <c:pt idx="0">
                  <c:v>Pu239 %wt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Dragon_vs_RK1!$AZ$2:$AZ$309</c:f>
              <c:numCache>
                <c:formatCode>0.00%</c:formatCode>
                <c:ptCount val="308"/>
                <c:pt idx="0">
                  <c:v>0.69080000000000008</c:v>
                </c:pt>
                <c:pt idx="1">
                  <c:v>0.68985127678618485</c:v>
                </c:pt>
                <c:pt idx="2">
                  <c:v>0.68890092558194183</c:v>
                </c:pt>
                <c:pt idx="3">
                  <c:v>0.68794917728909344</c:v>
                </c:pt>
                <c:pt idx="4">
                  <c:v>0.68699625372882955</c:v>
                </c:pt>
                <c:pt idx="5">
                  <c:v>0.68604236797514073</c:v>
                </c:pt>
                <c:pt idx="6">
                  <c:v>0.68508772467617884</c:v>
                </c:pt>
                <c:pt idx="7">
                  <c:v>0.68413252036395555</c:v>
                </c:pt>
                <c:pt idx="8">
                  <c:v>0.68317694375278637</c:v>
                </c:pt>
                <c:pt idx="9">
                  <c:v>0.68222117602686749</c:v>
                </c:pt>
                <c:pt idx="10">
                  <c:v>0.68126539111737106</c:v>
                </c:pt>
                <c:pt idx="11">
                  <c:v>0.68030975596942023</c:v>
                </c:pt>
                <c:pt idx="12">
                  <c:v>0.67935443079930735</c:v>
                </c:pt>
                <c:pt idx="13">
                  <c:v>0.67839956934229662</c:v>
                </c:pt>
                <c:pt idx="14">
                  <c:v>0.67744531909134753</c:v>
                </c:pt>
                <c:pt idx="15">
                  <c:v>0.67649182152708509</c:v>
                </c:pt>
                <c:pt idx="16">
                  <c:v>0.6755392123393249</c:v>
                </c:pt>
                <c:pt idx="17">
                  <c:v>0.6745876216404636</c:v>
                </c:pt>
                <c:pt idx="18">
                  <c:v>0.67363717417102242</c:v>
                </c:pt>
                <c:pt idx="19">
                  <c:v>0.6726879894976292</c:v>
                </c:pt>
                <c:pt idx="20">
                  <c:v>0.67174018220371323</c:v>
                </c:pt>
                <c:pt idx="21">
                  <c:v>0.67079386207317748</c:v>
                </c:pt>
                <c:pt idx="22">
                  <c:v>0.6698491342673033</c:v>
                </c:pt>
                <c:pt idx="23">
                  <c:v>0.66890609949513413</c:v>
                </c:pt>
                <c:pt idx="24">
                  <c:v>0.66796485417757823</c:v>
                </c:pt>
                <c:pt idx="25">
                  <c:v>0.66702549060545913</c:v>
                </c:pt>
                <c:pt idx="26">
                  <c:v>0.666088097091736</c:v>
                </c:pt>
                <c:pt idx="27">
                  <c:v>0.66515275811810814</c:v>
                </c:pt>
                <c:pt idx="28">
                  <c:v>0.66421955447621051</c:v>
                </c:pt>
                <c:pt idx="29">
                  <c:v>0.66328856340360021</c:v>
                </c:pt>
                <c:pt idx="30">
                  <c:v>0.66235985871472414</c:v>
                </c:pt>
                <c:pt idx="31">
                  <c:v>0.66143351092705538</c:v>
                </c:pt>
                <c:pt idx="32">
                  <c:v>0.66050958738257615</c:v>
                </c:pt>
                <c:pt idx="33">
                  <c:v>0.65958815236477852</c:v>
                </c:pt>
                <c:pt idx="34">
                  <c:v>0.65866926721135199</c:v>
                </c:pt>
                <c:pt idx="35">
                  <c:v>0.65775299042271274</c:v>
                </c:pt>
                <c:pt idx="36">
                  <c:v>0.65683937776653534</c:v>
                </c:pt>
                <c:pt idx="37">
                  <c:v>0.65592848237842893</c:v>
                </c:pt>
                <c:pt idx="38">
                  <c:v>0.65502035485890708</c:v>
                </c:pt>
                <c:pt idx="39">
                  <c:v>0.65411504336678328</c:v>
                </c:pt>
                <c:pt idx="40">
                  <c:v>0.65321259370912976</c:v>
                </c:pt>
                <c:pt idx="41">
                  <c:v>0.6523130494279259</c:v>
                </c:pt>
                <c:pt idx="42">
                  <c:v>0.65141645188351738</c:v>
                </c:pt>
                <c:pt idx="43">
                  <c:v>0.65052284033500873</c:v>
                </c:pt>
                <c:pt idx="44">
                  <c:v>0.64963225201769992</c:v>
                </c:pt>
                <c:pt idx="45">
                  <c:v>0.6487447222176792</c:v>
                </c:pt>
                <c:pt idx="46">
                  <c:v>0.64786028434367726</c:v>
                </c:pt>
                <c:pt idx="47">
                  <c:v>0.64697896999628524</c:v>
                </c:pt>
                <c:pt idx="48">
                  <c:v>0.64610080903463429</c:v>
                </c:pt>
                <c:pt idx="49">
                  <c:v>0.6452258296406318</c:v>
                </c:pt>
                <c:pt idx="50">
                  <c:v>0.64435405838084381</c:v>
                </c:pt>
                <c:pt idx="51">
                  <c:v>0.64348552026611483</c:v>
                </c:pt>
                <c:pt idx="52">
                  <c:v>0.64262023880900521</c:v>
                </c:pt>
                <c:pt idx="53">
                  <c:v>0.6417582360791283</c:v>
                </c:pt>
                <c:pt idx="54">
                  <c:v>0.6408995327564706</c:v>
                </c:pt>
                <c:pt idx="55">
                  <c:v>0.64004414818275956</c:v>
                </c:pt>
                <c:pt idx="56">
                  <c:v>0.63919210041096441</c:v>
                </c:pt>
                <c:pt idx="57">
                  <c:v>0.63834340625298835</c:v>
                </c:pt>
                <c:pt idx="58">
                  <c:v>0.63749808132562591</c:v>
                </c:pt>
                <c:pt idx="59">
                  <c:v>0.6366561400948485</c:v>
                </c:pt>
                <c:pt idx="60">
                  <c:v>0.63581759591847931</c:v>
                </c:pt>
                <c:pt idx="61">
                  <c:v>0.63498246108731859</c:v>
                </c:pt>
                <c:pt idx="62">
                  <c:v>0.6341507468647738</c:v>
                </c:pt>
                <c:pt idx="63">
                  <c:v>0.6333224635250575</c:v>
                </c:pt>
                <c:pt idx="64">
                  <c:v>0.63249762038999691</c:v>
                </c:pt>
                <c:pt idx="65">
                  <c:v>0.63167622586451222</c:v>
                </c:pt>
                <c:pt idx="66">
                  <c:v>0.63085828747081296</c:v>
                </c:pt>
                <c:pt idx="67">
                  <c:v>0.63004381188135661</c:v>
                </c:pt>
                <c:pt idx="68">
                  <c:v>0.62923280495061951</c:v>
                </c:pt>
                <c:pt idx="69">
                  <c:v>0.62842527174572016</c:v>
                </c:pt>
                <c:pt idx="70">
                  <c:v>0.62762121657593994</c:v>
                </c:pt>
                <c:pt idx="71">
                  <c:v>0.62682064302118068</c:v>
                </c:pt>
                <c:pt idx="72">
                  <c:v>0.62602355395939924</c:v>
                </c:pt>
                <c:pt idx="73">
                  <c:v>0.62522995159305605</c:v>
                </c:pt>
                <c:pt idx="74">
                  <c:v>0.62443983747461429</c:v>
                </c:pt>
                <c:pt idx="75">
                  <c:v>0.6236532125311246</c:v>
                </c:pt>
                <c:pt idx="76">
                  <c:v>0.62287007708793019</c:v>
                </c:pt>
                <c:pt idx="77">
                  <c:v>0.62209043089152172</c:v>
                </c:pt>
                <c:pt idx="78">
                  <c:v>0.62131427313157661</c:v>
                </c:pt>
                <c:pt idx="79">
                  <c:v>0.62054160246221202</c:v>
                </c:pt>
                <c:pt idx="80">
                  <c:v>0.61977241702247632</c:v>
                </c:pt>
                <c:pt idx="81">
                  <c:v>0.61900671445611455</c:v>
                </c:pt>
                <c:pt idx="82">
                  <c:v>0.61824449193062692</c:v>
                </c:pt>
                <c:pt idx="83">
                  <c:v>0.61748574615565122</c:v>
                </c:pt>
                <c:pt idx="84">
                  <c:v>0.61673047340069265</c:v>
                </c:pt>
                <c:pt idx="85">
                  <c:v>0.61597866951222202</c:v>
                </c:pt>
                <c:pt idx="86">
                  <c:v>0.6152303299301709</c:v>
                </c:pt>
                <c:pt idx="87">
                  <c:v>0.61448544970384034</c:v>
                </c:pt>
                <c:pt idx="88">
                  <c:v>0.61374402350724877</c:v>
                </c:pt>
                <c:pt idx="89">
                  <c:v>0.61300604565393579</c:v>
                </c:pt>
                <c:pt idx="90">
                  <c:v>0.61227151011124537</c:v>
                </c:pt>
                <c:pt idx="91">
                  <c:v>0.61154041051410346</c:v>
                </c:pt>
                <c:pt idx="92">
                  <c:v>0.61081274017831233</c:v>
                </c:pt>
                <c:pt idx="93">
                  <c:v>0.61008849211337635</c:v>
                </c:pt>
                <c:pt idx="94">
                  <c:v>0.60936765903487655</c:v>
                </c:pt>
                <c:pt idx="95">
                  <c:v>0.608650233376412</c:v>
                </c:pt>
                <c:pt idx="96">
                  <c:v>0.6079362073011223</c:v>
                </c:pt>
                <c:pt idx="97">
                  <c:v>0.60722557271280519</c:v>
                </c:pt>
                <c:pt idx="98">
                  <c:v>0.60651832126664729</c:v>
                </c:pt>
                <c:pt idx="99">
                  <c:v>0.60581444437957854</c:v>
                </c:pt>
                <c:pt idx="100">
                  <c:v>0.6051139332402653</c:v>
                </c:pt>
                <c:pt idx="101">
                  <c:v>0.60441677881875555</c:v>
                </c:pt>
                <c:pt idx="102">
                  <c:v>0.60372297187578772</c:v>
                </c:pt>
                <c:pt idx="103">
                  <c:v>0.60303250297177513</c:v>
                </c:pt>
                <c:pt idx="104">
                  <c:v>0.60234536247548021</c:v>
                </c:pt>
                <c:pt idx="105">
                  <c:v>0.60166154057238552</c:v>
                </c:pt>
                <c:pt idx="106">
                  <c:v>0.60098102727277458</c:v>
                </c:pt>
                <c:pt idx="107">
                  <c:v>0.6003038124195339</c:v>
                </c:pt>
                <c:pt idx="108">
                  <c:v>0.59962988569568476</c:v>
                </c:pt>
                <c:pt idx="109">
                  <c:v>0.59895923663165362</c:v>
                </c:pt>
                <c:pt idx="110">
                  <c:v>0.59829185461229262</c:v>
                </c:pt>
                <c:pt idx="111">
                  <c:v>0.59762772888365678</c:v>
                </c:pt>
                <c:pt idx="112">
                  <c:v>0.59696684855954929</c:v>
                </c:pt>
                <c:pt idx="113">
                  <c:v>0.59630920262783915</c:v>
                </c:pt>
                <c:pt idx="114">
                  <c:v>0.59565477995656368</c:v>
                </c:pt>
                <c:pt idx="115">
                  <c:v>0.59500356929981946</c:v>
                </c:pt>
                <c:pt idx="116">
                  <c:v>0.59435555930345252</c:v>
                </c:pt>
                <c:pt idx="117">
                  <c:v>0.59371073851055323</c:v>
                </c:pt>
                <c:pt idx="118">
                  <c:v>0.59306909536676033</c:v>
                </c:pt>
                <c:pt idx="119">
                  <c:v>0.59243061822538823</c:v>
                </c:pt>
                <c:pt idx="120">
                  <c:v>0.59179529535237352</c:v>
                </c:pt>
                <c:pt idx="121">
                  <c:v>0.59116311493105611</c:v>
                </c:pt>
                <c:pt idx="122">
                  <c:v>0.59053406506679618</c:v>
                </c:pt>
                <c:pt idx="123">
                  <c:v>0.58990813379143214</c:v>
                </c:pt>
                <c:pt idx="124">
                  <c:v>0.58928530906758825</c:v>
                </c:pt>
                <c:pt idx="125">
                  <c:v>0.58866557879283454</c:v>
                </c:pt>
                <c:pt idx="126">
                  <c:v>0.58804893080370535</c:v>
                </c:pt>
                <c:pt idx="127">
                  <c:v>0.58743535287958082</c:v>
                </c:pt>
                <c:pt idx="128">
                  <c:v>0.58682483274643682</c:v>
                </c:pt>
                <c:pt idx="129">
                  <c:v>0.5862173580804666</c:v>
                </c:pt>
                <c:pt idx="130">
                  <c:v>0.58561291651157965</c:v>
                </c:pt>
                <c:pt idx="131">
                  <c:v>0.58501149562678245</c:v>
                </c:pt>
                <c:pt idx="132">
                  <c:v>0.58441308297344319</c:v>
                </c:pt>
                <c:pt idx="133">
                  <c:v>0.58381766606244656</c:v>
                </c:pt>
                <c:pt idx="134">
                  <c:v>0.58322523237124058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Dragon_vs_RK1!$BA$1</c:f>
              <c:strCache>
                <c:ptCount val="1"/>
                <c:pt idx="0">
                  <c:v>Pu240 %wt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Dragon_vs_RK1!$BA$2:$BA$309</c:f>
              <c:numCache>
                <c:formatCode>0.00%</c:formatCode>
                <c:ptCount val="308"/>
                <c:pt idx="0">
                  <c:v>0.23039999999999997</c:v>
                </c:pt>
                <c:pt idx="1">
                  <c:v>0.23153542668304219</c:v>
                </c:pt>
                <c:pt idx="2">
                  <c:v>0.23266223424590518</c:v>
                </c:pt>
                <c:pt idx="3">
                  <c:v>0.23378050316351001</c:v>
                </c:pt>
                <c:pt idx="4">
                  <c:v>0.23489031276546965</c:v>
                </c:pt>
                <c:pt idx="5">
                  <c:v>0.23599174125222588</c:v>
                </c:pt>
                <c:pt idx="6">
                  <c:v>0.23708486571150475</c:v>
                </c:pt>
                <c:pt idx="7">
                  <c:v>0.2381697621350381</c:v>
                </c:pt>
                <c:pt idx="8">
                  <c:v>0.23924650543550177</c:v>
                </c:pt>
                <c:pt idx="9">
                  <c:v>0.24031516946362413</c:v>
                </c:pt>
                <c:pt idx="10">
                  <c:v>0.24137582702542412</c:v>
                </c:pt>
                <c:pt idx="11">
                  <c:v>0.24242854989953852</c:v>
                </c:pt>
                <c:pt idx="12">
                  <c:v>0.24347340885460322</c:v>
                </c:pt>
                <c:pt idx="13">
                  <c:v>0.2445104736666559</c:v>
                </c:pt>
                <c:pt idx="14">
                  <c:v>0.24553981313652815</c:v>
                </c:pt>
                <c:pt idx="15">
                  <c:v>0.2465614951072016</c:v>
                </c:pt>
                <c:pt idx="16">
                  <c:v>0.24757558648110001</c:v>
                </c:pt>
                <c:pt idx="17">
                  <c:v>0.24858215323729624</c:v>
                </c:pt>
                <c:pt idx="18">
                  <c:v>0.24958126044861131</c:v>
                </c:pt>
                <c:pt idx="19">
                  <c:v>0.25057297229858672</c:v>
                </c:pt>
                <c:pt idx="20">
                  <c:v>0.25155735209831276</c:v>
                </c:pt>
                <c:pt idx="21">
                  <c:v>0.25253446230309684</c:v>
                </c:pt>
                <c:pt idx="22">
                  <c:v>0.2535043645289573</c:v>
                </c:pt>
                <c:pt idx="23">
                  <c:v>0.25446711956892948</c:v>
                </c:pt>
                <c:pt idx="24">
                  <c:v>0.25542278740917407</c:v>
                </c:pt>
                <c:pt idx="25">
                  <c:v>0.2563714272448761</c:v>
                </c:pt>
                <c:pt idx="26">
                  <c:v>0.25731309749592568</c:v>
                </c:pt>
                <c:pt idx="27">
                  <c:v>0.25824785582237342</c:v>
                </c:pt>
                <c:pt idx="28">
                  <c:v>0.25917575913965285</c:v>
                </c:pt>
                <c:pt idx="29">
                  <c:v>0.26009686363356427</c:v>
                </c:pt>
                <c:pt idx="30">
                  <c:v>0.26101122477501454</c:v>
                </c:pt>
                <c:pt idx="31">
                  <c:v>0.26191889733450913</c:v>
                </c:pt>
                <c:pt idx="32">
                  <c:v>0.26281993539639253</c:v>
                </c:pt>
                <c:pt idx="33">
                  <c:v>0.26371439237283451</c:v>
                </c:pt>
                <c:pt idx="34">
                  <c:v>0.26460232101755937</c:v>
                </c:pt>
                <c:pt idx="35">
                  <c:v>0.26548377343931767</c:v>
                </c:pt>
                <c:pt idx="36">
                  <c:v>0.26635880111509896</c:v>
                </c:pt>
                <c:pt idx="37">
                  <c:v>0.26722745490308442</c:v>
                </c:pt>
                <c:pt idx="38">
                  <c:v>0.26808978505534081</c:v>
                </c:pt>
                <c:pt idx="39">
                  <c:v>0.26894584123025439</c:v>
                </c:pt>
                <c:pt idx="40">
                  <c:v>0.26979567250470698</c:v>
                </c:pt>
                <c:pt idx="41">
                  <c:v>0.27063932738599533</c:v>
                </c:pt>
                <c:pt idx="42">
                  <c:v>0.27147685382349357</c:v>
                </c:pt>
                <c:pt idx="43">
                  <c:v>0.27230829922006305</c:v>
                </c:pt>
                <c:pt idx="44">
                  <c:v>0.27313371044320972</c:v>
                </c:pt>
                <c:pt idx="45">
                  <c:v>0.27395313383599196</c:v>
                </c:pt>
                <c:pt idx="46">
                  <c:v>0.27476661522768203</c:v>
                </c:pt>
                <c:pt idx="47">
                  <c:v>0.27557419994418264</c:v>
                </c:pt>
                <c:pt idx="48">
                  <c:v>0.27637593281820255</c:v>
                </c:pt>
                <c:pt idx="49">
                  <c:v>0.27717185819919443</c:v>
                </c:pt>
                <c:pt idx="50">
                  <c:v>0.27796201996305614</c:v>
                </c:pt>
                <c:pt idx="51">
                  <c:v>0.27874646152160315</c:v>
                </c:pt>
                <c:pt idx="52">
                  <c:v>0.27952522583181011</c:v>
                </c:pt>
                <c:pt idx="53">
                  <c:v>0.28029835540482884</c:v>
                </c:pt>
                <c:pt idx="54">
                  <c:v>0.28106589231478646</c:v>
                </c:pt>
                <c:pt idx="55">
                  <c:v>0.28182787820736438</c:v>
                </c:pt>
                <c:pt idx="56">
                  <c:v>0.28258435430816542</c:v>
                </c:pt>
                <c:pt idx="57">
                  <c:v>0.28333536143087051</c:v>
                </c:pt>
                <c:pt idx="58">
                  <c:v>0.28408093998518957</c:v>
                </c:pt>
                <c:pt idx="59">
                  <c:v>0.28482112998461162</c:v>
                </c:pt>
                <c:pt idx="60">
                  <c:v>0.28555597105395536</c:v>
                </c:pt>
                <c:pt idx="61">
                  <c:v>0.28628550243672723</c:v>
                </c:pt>
                <c:pt idx="62">
                  <c:v>0.28700976300228781</c:v>
                </c:pt>
                <c:pt idx="63">
                  <c:v>0.28772879125283402</c:v>
                </c:pt>
                <c:pt idx="64">
                  <c:v>0.28844262533019777</c:v>
                </c:pt>
                <c:pt idx="65">
                  <c:v>0.28915130302246633</c:v>
                </c:pt>
                <c:pt idx="66">
                  <c:v>0.28985486177042874</c:v>
                </c:pt>
                <c:pt idx="67">
                  <c:v>0.29055333867385175</c:v>
                </c:pt>
                <c:pt idx="68">
                  <c:v>0.29124677049758868</c:v>
                </c:pt>
                <c:pt idx="69">
                  <c:v>0.29193519367752552</c:v>
                </c:pt>
                <c:pt idx="70">
                  <c:v>0.29261864432636842</c:v>
                </c:pt>
                <c:pt idx="71">
                  <c:v>0.29329715823927477</c:v>
                </c:pt>
                <c:pt idx="72">
                  <c:v>0.29397077089933377</c:v>
                </c:pt>
                <c:pt idx="73">
                  <c:v>0.29463951748289852</c:v>
                </c:pt>
                <c:pt idx="74">
                  <c:v>0.2953034328647734</c:v>
                </c:pt>
                <c:pt idx="75">
                  <c:v>0.29596255162326113</c:v>
                </c:pt>
                <c:pt idx="76">
                  <c:v>0.2966169080450724</c:v>
                </c:pt>
                <c:pt idx="77">
                  <c:v>0.29726653613010151</c:v>
                </c:pt>
                <c:pt idx="78">
                  <c:v>0.29791146959607151</c:v>
                </c:pt>
                <c:pt idx="79">
                  <c:v>0.29855174188305322</c:v>
                </c:pt>
                <c:pt idx="80">
                  <c:v>0.29918738615785845</c:v>
                </c:pt>
                <c:pt idx="81">
                  <c:v>0.29981843531831504</c:v>
                </c:pt>
                <c:pt idx="82">
                  <c:v>0.30044492199742256</c:v>
                </c:pt>
                <c:pt idx="83">
                  <c:v>0.30106687856739545</c:v>
                </c:pt>
                <c:pt idx="84">
                  <c:v>0.30168433714359411</c:v>
                </c:pt>
                <c:pt idx="85">
                  <c:v>0.30229732958834771</c:v>
                </c:pt>
                <c:pt idx="86">
                  <c:v>0.30290588751467257</c:v>
                </c:pt>
                <c:pt idx="87">
                  <c:v>0.30351004228988743</c:v>
                </c:pt>
                <c:pt idx="88">
                  <c:v>0.30410982503913048</c:v>
                </c:pt>
                <c:pt idx="89">
                  <c:v>0.30470526664877856</c:v>
                </c:pt>
                <c:pt idx="90">
                  <c:v>0.30529639776977308</c:v>
                </c:pt>
                <c:pt idx="91">
                  <c:v>0.30588324882085471</c:v>
                </c:pt>
                <c:pt idx="92">
                  <c:v>0.30646584999170906</c:v>
                </c:pt>
                <c:pt idx="93">
                  <c:v>0.30704423124602681</c:v>
                </c:pt>
                <c:pt idx="94">
                  <c:v>0.30761842232448006</c:v>
                </c:pt>
                <c:pt idx="95">
                  <c:v>0.30818845274761691</c:v>
                </c:pt>
                <c:pt idx="96">
                  <c:v>0.30875435181867883</c:v>
                </c:pt>
                <c:pt idx="97">
                  <c:v>0.30931614862633966</c:v>
                </c:pt>
                <c:pt idx="98">
                  <c:v>0.30987387204737216</c:v>
                </c:pt>
                <c:pt idx="99">
                  <c:v>0.3104275507492415</c:v>
                </c:pt>
                <c:pt idx="100">
                  <c:v>0.31097721319262978</c:v>
                </c:pt>
                <c:pt idx="101">
                  <c:v>0.31152288763389208</c:v>
                </c:pt>
                <c:pt idx="102">
                  <c:v>0.3120646021274478</c:v>
                </c:pt>
                <c:pt idx="103">
                  <c:v>0.31260238452810746</c:v>
                </c:pt>
                <c:pt idx="104">
                  <c:v>0.31313626249333887</c:v>
                </c:pt>
                <c:pt idx="105">
                  <c:v>0.31366626348547327</c:v>
                </c:pt>
                <c:pt idx="106">
                  <c:v>0.31419241477385285</c:v>
                </c:pt>
                <c:pt idx="107">
                  <c:v>0.31471474343692341</c:v>
                </c:pt>
                <c:pt idx="108">
                  <c:v>0.31523327636427229</c:v>
                </c:pt>
                <c:pt idx="109">
                  <c:v>0.31574804025861297</c:v>
                </c:pt>
                <c:pt idx="110">
                  <c:v>0.31625906163772077</c:v>
                </c:pt>
                <c:pt idx="111">
                  <c:v>0.3167663668363167</c:v>
                </c:pt>
                <c:pt idx="112">
                  <c:v>0.31726998200790618</c:v>
                </c:pt>
                <c:pt idx="113">
                  <c:v>0.31776993312656987</c:v>
                </c:pt>
                <c:pt idx="114">
                  <c:v>0.31826624598871051</c:v>
                </c:pt>
                <c:pt idx="115">
                  <c:v>0.31875894621475692</c:v>
                </c:pt>
                <c:pt idx="116">
                  <c:v>0.31924805925082567</c:v>
                </c:pt>
                <c:pt idx="117">
                  <c:v>0.3197336103703432</c:v>
                </c:pt>
                <c:pt idx="118">
                  <c:v>0.32021562467562736</c:v>
                </c:pt>
                <c:pt idx="119">
                  <c:v>0.32069412709943373</c:v>
                </c:pt>
                <c:pt idx="120">
                  <c:v>0.32116914240646272</c:v>
                </c:pt>
                <c:pt idx="121">
                  <c:v>0.3216406951948334</c:v>
                </c:pt>
                <c:pt idx="122">
                  <c:v>0.32210880989752289</c:v>
                </c:pt>
                <c:pt idx="123">
                  <c:v>0.322573510783772</c:v>
                </c:pt>
                <c:pt idx="124">
                  <c:v>0.32303482196046024</c:v>
                </c:pt>
                <c:pt idx="125">
                  <c:v>0.32349276737344956</c:v>
                </c:pt>
                <c:pt idx="126">
                  <c:v>0.32394737080889863</c:v>
                </c:pt>
                <c:pt idx="127">
                  <c:v>0.32439865589454836</c:v>
                </c:pt>
                <c:pt idx="128">
                  <c:v>0.32484664610098035</c:v>
                </c:pt>
                <c:pt idx="129">
                  <c:v>0.32529136474284803</c:v>
                </c:pt>
                <c:pt idx="130">
                  <c:v>0.32573283498008243</c:v>
                </c:pt>
                <c:pt idx="131">
                  <c:v>0.32617107981907345</c:v>
                </c:pt>
                <c:pt idx="132">
                  <c:v>0.32660612211382667</c:v>
                </c:pt>
                <c:pt idx="133">
                  <c:v>0.32703798456709759</c:v>
                </c:pt>
                <c:pt idx="134">
                  <c:v>0.327466689731503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Dragon_vs_RK1!$BB$1</c:f>
              <c:strCache>
                <c:ptCount val="1"/>
                <c:pt idx="0">
                  <c:v>Pu241 %wt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Dragon_vs_RK1!$BB$2:$BB$309</c:f>
              <c:numCache>
                <c:formatCode>0.00%</c:formatCode>
                <c:ptCount val="308"/>
                <c:pt idx="0">
                  <c:v>4.8200000000000007E-2</c:v>
                </c:pt>
                <c:pt idx="1">
                  <c:v>4.7712176011530126E-2</c:v>
                </c:pt>
                <c:pt idx="2">
                  <c:v>4.7244570107958073E-2</c:v>
                </c:pt>
                <c:pt idx="3">
                  <c:v>4.6796519583673188E-2</c:v>
                </c:pt>
                <c:pt idx="4">
                  <c:v>4.6367382915317772E-2</c:v>
                </c:pt>
                <c:pt idx="5">
                  <c:v>4.5956539084200033E-2</c:v>
                </c:pt>
                <c:pt idx="6">
                  <c:v>4.5563386919867832E-2</c:v>
                </c:pt>
                <c:pt idx="7">
                  <c:v>4.5187344464254216E-2</c:v>
                </c:pt>
                <c:pt idx="8">
                  <c:v>4.482784835581477E-2</c:v>
                </c:pt>
                <c:pt idx="9">
                  <c:v>4.4484353233087193E-2</c:v>
                </c:pt>
                <c:pt idx="10">
                  <c:v>4.4156331157113864E-2</c:v>
                </c:pt>
                <c:pt idx="11">
                  <c:v>4.3843271052178667E-2</c:v>
                </c:pt>
                <c:pt idx="12">
                  <c:v>4.3544678164321192E-2</c:v>
                </c:pt>
                <c:pt idx="13">
                  <c:v>4.3260073537101908E-2</c:v>
                </c:pt>
                <c:pt idx="14">
                  <c:v>4.2988993504104074E-2</c:v>
                </c:pt>
                <c:pt idx="15">
                  <c:v>4.2730989197669808E-2</c:v>
                </c:pt>
                <c:pt idx="16">
                  <c:v>4.248562607337867E-2</c:v>
                </c:pt>
                <c:pt idx="17">
                  <c:v>4.2252483449790289E-2</c:v>
                </c:pt>
                <c:pt idx="18">
                  <c:v>4.2031154062982946E-2</c:v>
                </c:pt>
                <c:pt idx="19">
                  <c:v>4.182124363543277E-2</c:v>
                </c:pt>
                <c:pt idx="20">
                  <c:v>4.1622370458789394E-2</c:v>
                </c:pt>
                <c:pt idx="21">
                  <c:v>4.1434164990115777E-2</c:v>
                </c:pt>
                <c:pt idx="22">
                  <c:v>4.1256269461171467E-2</c:v>
                </c:pt>
                <c:pt idx="23">
                  <c:v>4.1088337500329544E-2</c:v>
                </c:pt>
                <c:pt idx="24">
                  <c:v>4.0930033766729469E-2</c:v>
                </c:pt>
                <c:pt idx="25">
                  <c:v>4.0781033596278535E-2</c:v>
                </c:pt>
                <c:pt idx="26">
                  <c:v>4.0641022659125697E-2</c:v>
                </c:pt>
                <c:pt idx="27">
                  <c:v>4.0509696628242643E-2</c:v>
                </c:pt>
                <c:pt idx="28">
                  <c:v>4.0386760858757052E-2</c:v>
                </c:pt>
                <c:pt idx="29">
                  <c:v>4.0271930077693703E-2</c:v>
                </c:pt>
                <c:pt idx="30">
                  <c:v>4.0164928083788978E-2</c:v>
                </c:pt>
                <c:pt idx="31">
                  <c:v>4.0065487457054495E-2</c:v>
                </c:pt>
                <c:pt idx="32">
                  <c:v>3.9973349277775211E-2</c:v>
                </c:pt>
                <c:pt idx="33">
                  <c:v>3.9888262854636827E-2</c:v>
                </c:pt>
                <c:pt idx="34">
                  <c:v>3.9809985461686674E-2</c:v>
                </c:pt>
                <c:pt idx="35">
                  <c:v>3.973828208384126E-2</c:v>
                </c:pt>
                <c:pt idx="36">
                  <c:v>3.9672925170662732E-2</c:v>
                </c:pt>
                <c:pt idx="37">
                  <c:v>3.9613694398134648E-2</c:v>
                </c:pt>
                <c:pt idx="38">
                  <c:v>3.9560376438176635E-2</c:v>
                </c:pt>
                <c:pt idx="39">
                  <c:v>3.951276473564462E-2</c:v>
                </c:pt>
                <c:pt idx="40">
                  <c:v>3.9470659292572548E-2</c:v>
                </c:pt>
                <c:pt idx="41">
                  <c:v>3.9433866459418154E-2</c:v>
                </c:pt>
                <c:pt idx="42">
                  <c:v>3.9402198733083552E-2</c:v>
                </c:pt>
                <c:pt idx="43">
                  <c:v>3.9375474561488467E-2</c:v>
                </c:pt>
                <c:pt idx="44">
                  <c:v>3.9353518154481217E-2</c:v>
                </c:pt>
                <c:pt idx="45">
                  <c:v>3.933615930087915E-2</c:v>
                </c:pt>
                <c:pt idx="46">
                  <c:v>3.9323233191437532E-2</c:v>
                </c:pt>
                <c:pt idx="47">
                  <c:v>3.9314580247551696E-2</c:v>
                </c:pt>
                <c:pt idx="48">
                  <c:v>3.9310045955504164E-2</c:v>
                </c:pt>
                <c:pt idx="49">
                  <c:v>3.9309480706074346E-2</c:v>
                </c:pt>
                <c:pt idx="50">
                  <c:v>3.9312739639334203E-2</c:v>
                </c:pt>
                <c:pt idx="51">
                  <c:v>3.9319682494459593E-2</c:v>
                </c:pt>
                <c:pt idx="52">
                  <c:v>3.9330173464391847E-2</c:v>
                </c:pt>
                <c:pt idx="53">
                  <c:v>3.9344081055190126E-2</c:v>
                </c:pt>
                <c:pt idx="54">
                  <c:v>3.9361277949920344E-2</c:v>
                </c:pt>
                <c:pt idx="55">
                  <c:v>3.9381640876930885E-2</c:v>
                </c:pt>
                <c:pt idx="56">
                  <c:v>3.9405050482371286E-2</c:v>
                </c:pt>
                <c:pt idx="57">
                  <c:v>3.9431391206813909E-2</c:v>
                </c:pt>
                <c:pt idx="58">
                  <c:v>3.9460551165843717E-2</c:v>
                </c:pt>
                <c:pt idx="59">
                  <c:v>3.9492422034485809E-2</c:v>
                </c:pt>
                <c:pt idx="60">
                  <c:v>3.9526898935344272E-2</c:v>
                </c:pt>
                <c:pt idx="61">
                  <c:v>3.9563880330330536E-2</c:v>
                </c:pt>
                <c:pt idx="62">
                  <c:v>3.9603267915863202E-2</c:v>
                </c:pt>
                <c:pt idx="63">
                  <c:v>3.9644966521425497E-2</c:v>
                </c:pt>
                <c:pt idx="64">
                  <c:v>3.9688884011369829E-2</c:v>
                </c:pt>
                <c:pt idx="65">
                  <c:v>3.9734931189863182E-2</c:v>
                </c:pt>
                <c:pt idx="66">
                  <c:v>3.9783021708870138E-2</c:v>
                </c:pt>
                <c:pt idx="67">
                  <c:v>3.9833071979074139E-2</c:v>
                </c:pt>
                <c:pt idx="68">
                  <c:v>3.9885001083640556E-2</c:v>
                </c:pt>
                <c:pt idx="69">
                  <c:v>3.9938730694728586E-2</c:v>
                </c:pt>
                <c:pt idx="70">
                  <c:v>3.9994184992662149E-2</c:v>
                </c:pt>
                <c:pt idx="71">
                  <c:v>4.0051290587672581E-2</c:v>
                </c:pt>
                <c:pt idx="72">
                  <c:v>4.0109976444129392E-2</c:v>
                </c:pt>
                <c:pt idx="73">
                  <c:v>4.0170173807177606E-2</c:v>
                </c:pt>
                <c:pt idx="74">
                  <c:v>4.0231816131703221E-2</c:v>
                </c:pt>
                <c:pt idx="75">
                  <c:v>4.0294839013550965E-2</c:v>
                </c:pt>
                <c:pt idx="76">
                  <c:v>4.0359180122920883E-2</c:v>
                </c:pt>
                <c:pt idx="77">
                  <c:v>4.0424779139872739E-2</c:v>
                </c:pt>
                <c:pt idx="78">
                  <c:v>4.0491577691869909E-2</c:v>
                </c:pt>
                <c:pt idx="79">
                  <c:v>4.0559519293296299E-2</c:v>
                </c:pt>
                <c:pt idx="80">
                  <c:v>4.0628549286882067E-2</c:v>
                </c:pt>
                <c:pt idx="81">
                  <c:v>4.0698614786976631E-2</c:v>
                </c:pt>
                <c:pt idx="82">
                  <c:v>4.0769664624608667E-2</c:v>
                </c:pt>
                <c:pt idx="83">
                  <c:v>4.0841649294275452E-2</c:v>
                </c:pt>
                <c:pt idx="84">
                  <c:v>4.0914520902405487E-2</c:v>
                </c:pt>
                <c:pt idx="85">
                  <c:v>4.0988233117440251E-2</c:v>
                </c:pt>
                <c:pt idx="86">
                  <c:v>4.1062741121482955E-2</c:v>
                </c:pt>
                <c:pt idx="87">
                  <c:v>4.1138001563463478E-2</c:v>
                </c:pt>
                <c:pt idx="88">
                  <c:v>4.1213972513770923E-2</c:v>
                </c:pt>
                <c:pt idx="89">
                  <c:v>4.1290613420306065E-2</c:v>
                </c:pt>
                <c:pt idx="90">
                  <c:v>4.1367885065908522E-2</c:v>
                </c:pt>
                <c:pt idx="91">
                  <c:v>4.1445749527113905E-2</c:v>
                </c:pt>
                <c:pt idx="92">
                  <c:v>4.1524170134198728E-2</c:v>
                </c:pt>
                <c:pt idx="93">
                  <c:v>4.1603111432471376E-2</c:v>
                </c:pt>
                <c:pt idx="94">
                  <c:v>4.1682539144769389E-2</c:v>
                </c:pt>
                <c:pt idx="95">
                  <c:v>4.176242013512433E-2</c:v>
                </c:pt>
                <c:pt idx="96">
                  <c:v>4.1842722373557011E-2</c:v>
                </c:pt>
                <c:pt idx="97">
                  <c:v>4.1923414901966639E-2</c:v>
                </c:pt>
                <c:pt idx="98">
                  <c:v>4.2004467801079456E-2</c:v>
                </c:pt>
                <c:pt idx="99">
                  <c:v>4.2085852158422539E-2</c:v>
                </c:pt>
                <c:pt idx="100">
                  <c:v>4.2167540037290473E-2</c:v>
                </c:pt>
                <c:pt idx="101">
                  <c:v>4.2249504446673102E-2</c:v>
                </c:pt>
                <c:pt idx="102">
                  <c:v>4.2331719312113818E-2</c:v>
                </c:pt>
                <c:pt idx="103">
                  <c:v>4.2414159447468895E-2</c:v>
                </c:pt>
                <c:pt idx="104">
                  <c:v>4.2496800527539215E-2</c:v>
                </c:pt>
                <c:pt idx="105">
                  <c:v>4.2579619061546781E-2</c:v>
                </c:pt>
                <c:pt idx="106">
                  <c:v>4.2662592367429066E-2</c:v>
                </c:pt>
                <c:pt idx="107">
                  <c:v>4.2745698546925635E-2</c:v>
                </c:pt>
                <c:pt idx="108">
                  <c:v>4.2828916461431762E-2</c:v>
                </c:pt>
                <c:pt idx="109">
                  <c:v>4.2912225708594848E-2</c:v>
                </c:pt>
                <c:pt idx="110">
                  <c:v>4.2995606599630427E-2</c:v>
                </c:pt>
                <c:pt idx="111">
                  <c:v>4.3079040137334622E-2</c:v>
                </c:pt>
                <c:pt idx="112">
                  <c:v>4.3162507994771768E-2</c:v>
                </c:pt>
                <c:pt idx="113">
                  <c:v>4.3245992494615325E-2</c:v>
                </c:pt>
                <c:pt idx="114">
                  <c:v>4.3329476589122042E-2</c:v>
                </c:pt>
                <c:pt idx="115">
                  <c:v>4.3412943840719177E-2</c:v>
                </c:pt>
                <c:pt idx="116">
                  <c:v>4.3496378403185834E-2</c:v>
                </c:pt>
                <c:pt idx="117">
                  <c:v>4.3579765003409557E-2</c:v>
                </c:pt>
                <c:pt idx="118">
                  <c:v>4.3663088923700299E-2</c:v>
                </c:pt>
                <c:pt idx="119">
                  <c:v>4.3746335984644426E-2</c:v>
                </c:pt>
                <c:pt idx="120">
                  <c:v>4.3829492528481673E-2</c:v>
                </c:pt>
                <c:pt idx="121">
                  <c:v>4.3912545402988966E-2</c:v>
                </c:pt>
                <c:pt idx="122">
                  <c:v>4.3995481945855251E-2</c:v>
                </c:pt>
                <c:pt idx="123">
                  <c:v>4.4078289969531899E-2</c:v>
                </c:pt>
                <c:pt idx="124">
                  <c:v>4.4160957746544126E-2</c:v>
                </c:pt>
                <c:pt idx="125">
                  <c:v>4.4243473995248937E-2</c:v>
                </c:pt>
                <c:pt idx="126">
                  <c:v>4.4325827866025833E-2</c:v>
                </c:pt>
                <c:pt idx="127">
                  <c:v>4.4408008927886815E-2</c:v>
                </c:pt>
                <c:pt idx="128">
                  <c:v>4.44900071554927E-2</c:v>
                </c:pt>
                <c:pt idx="129">
                  <c:v>4.4571812916563175E-2</c:v>
                </c:pt>
                <c:pt idx="130">
                  <c:v>4.4653416959668429E-2</c:v>
                </c:pt>
                <c:pt idx="131">
                  <c:v>4.4734810402390662E-2</c:v>
                </c:pt>
                <c:pt idx="132">
                  <c:v>4.4815984719843827E-2</c:v>
                </c:pt>
                <c:pt idx="133">
                  <c:v>4.4896931733540847E-2</c:v>
                </c:pt>
                <c:pt idx="134">
                  <c:v>4.4977643600597333E-2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Dragon_vs_RK1!$BC$1</c:f>
              <c:strCache>
                <c:ptCount val="1"/>
                <c:pt idx="0">
                  <c:v>Pu242 %wt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Dragon_vs_RK1!$BC$2:$BC$309</c:f>
              <c:numCache>
                <c:formatCode>0.00%</c:formatCode>
                <c:ptCount val="308"/>
                <c:pt idx="0">
                  <c:v>1.6399999999999998E-2</c:v>
                </c:pt>
                <c:pt idx="1">
                  <c:v>1.6512102293187076E-2</c:v>
                </c:pt>
                <c:pt idx="2">
                  <c:v>1.6621772681685968E-2</c:v>
                </c:pt>
                <c:pt idx="3">
                  <c:v>1.672910856246276E-2</c:v>
                </c:pt>
                <c:pt idx="4">
                  <c:v>1.6834204016643352E-2</c:v>
                </c:pt>
                <c:pt idx="5">
                  <c:v>1.6937149917589895E-2</c:v>
                </c:pt>
                <c:pt idx="6">
                  <c:v>1.7038034035550473E-2</c:v>
                </c:pt>
                <c:pt idx="7">
                  <c:v>1.7136941138980375E-2</c:v>
                </c:pt>
                <c:pt idx="8">
                  <c:v>1.7233953092631343E-2</c:v>
                </c:pt>
                <c:pt idx="9">
                  <c:v>1.7329148952503606E-2</c:v>
                </c:pt>
                <c:pt idx="10">
                  <c:v>1.7422605057753372E-2</c:v>
                </c:pt>
                <c:pt idx="11">
                  <c:v>1.7514395119646496E-2</c:v>
                </c:pt>
                <c:pt idx="12">
                  <c:v>1.7604590307647265E-2</c:v>
                </c:pt>
                <c:pt idx="13">
                  <c:v>1.7693259332728868E-2</c:v>
                </c:pt>
                <c:pt idx="14">
                  <c:v>1.7780468527990419E-2</c:v>
                </c:pt>
                <c:pt idx="15">
                  <c:v>1.7866281926663188E-2</c:v>
                </c:pt>
                <c:pt idx="16">
                  <c:v>1.7950761337586583E-2</c:v>
                </c:pt>
                <c:pt idx="17">
                  <c:v>1.8033966418232593E-2</c:v>
                </c:pt>
                <c:pt idx="18">
                  <c:v>1.8115954745355219E-2</c:v>
                </c:pt>
                <c:pt idx="19">
                  <c:v>1.8196781883339338E-2</c:v>
                </c:pt>
                <c:pt idx="20">
                  <c:v>1.8276501450321666E-2</c:v>
                </c:pt>
                <c:pt idx="21">
                  <c:v>1.8355165182154277E-2</c:v>
                </c:pt>
                <c:pt idx="22">
                  <c:v>1.8432822994279313E-2</c:v>
                </c:pt>
                <c:pt idx="23">
                  <c:v>1.8509523041581544E-2</c:v>
                </c:pt>
                <c:pt idx="24">
                  <c:v>1.8585311776283513E-2</c:v>
                </c:pt>
                <c:pt idx="25">
                  <c:v>1.866023400394622E-2</c:v>
                </c:pt>
                <c:pt idx="26">
                  <c:v>1.8734332937636329E-2</c:v>
                </c:pt>
                <c:pt idx="27">
                  <c:v>1.880765025031924E-2</c:v>
                </c:pt>
                <c:pt idx="28">
                  <c:v>1.8880226125535412E-2</c:v>
                </c:pt>
                <c:pt idx="29">
                  <c:v>1.8952099306415851E-2</c:v>
                </c:pt>
                <c:pt idx="30">
                  <c:v>1.9023307143090654E-2</c:v>
                </c:pt>
                <c:pt idx="31">
                  <c:v>1.9093885638543206E-2</c:v>
                </c:pt>
                <c:pt idx="32">
                  <c:v>1.9163869492960724E-2</c:v>
                </c:pt>
                <c:pt idx="33">
                  <c:v>1.9233292146630436E-2</c:v>
                </c:pt>
                <c:pt idx="34">
                  <c:v>1.9302185821429094E-2</c:v>
                </c:pt>
                <c:pt idx="35">
                  <c:v>1.9370581560951939E-2</c:v>
                </c:pt>
                <c:pt idx="36">
                  <c:v>1.9438509269326058E-2</c:v>
                </c:pt>
                <c:pt idx="37">
                  <c:v>1.950599774875119E-2</c:v>
                </c:pt>
                <c:pt idx="38">
                  <c:v>1.95730747358102E-2</c:v>
                </c:pt>
                <c:pt idx="39">
                  <c:v>1.9639766936589573E-2</c:v>
                </c:pt>
                <c:pt idx="40">
                  <c:v>1.9706100060649399E-2</c:v>
                </c:pt>
                <c:pt idx="41">
                  <c:v>1.9772098853880846E-2</c:v>
                </c:pt>
                <c:pt idx="42">
                  <c:v>1.9837787130287776E-2</c:v>
                </c:pt>
                <c:pt idx="43">
                  <c:v>1.9903187802728321E-2</c:v>
                </c:pt>
                <c:pt idx="44">
                  <c:v>1.996832291265067E-2</c:v>
                </c:pt>
                <c:pt idx="45">
                  <c:v>2.003321365885646E-2</c:v>
                </c:pt>
                <c:pt idx="46">
                  <c:v>2.0097880425323979E-2</c:v>
                </c:pt>
                <c:pt idx="47">
                  <c:v>2.0162342808122333E-2</c:v>
                </c:pt>
                <c:pt idx="48">
                  <c:v>2.0226619641446692E-2</c:v>
                </c:pt>
                <c:pt idx="49">
                  <c:v>2.0290729022803759E-2</c:v>
                </c:pt>
                <c:pt idx="50">
                  <c:v>2.0354688337375578E-2</c:v>
                </c:pt>
                <c:pt idx="51">
                  <c:v>2.0418514281589088E-2</c:v>
                </c:pt>
                <c:pt idx="52">
                  <c:v>2.048222288591748E-2</c:v>
                </c:pt>
                <c:pt idx="53">
                  <c:v>2.0545829536938998E-2</c:v>
                </c:pt>
                <c:pt idx="54">
                  <c:v>2.0609348998677821E-2</c:v>
                </c:pt>
                <c:pt idx="55">
                  <c:v>2.0672795433250558E-2</c:v>
                </c:pt>
                <c:pt idx="56">
                  <c:v>2.0736182420841697E-2</c:v>
                </c:pt>
                <c:pt idx="57">
                  <c:v>2.0799522979029879E-2</c:v>
                </c:pt>
                <c:pt idx="58">
                  <c:v>2.0862829581486688E-2</c:v>
                </c:pt>
                <c:pt idx="59">
                  <c:v>2.0926114176068687E-2</c:v>
                </c:pt>
                <c:pt idx="60">
                  <c:v>2.098938820232266E-2</c:v>
                </c:pt>
                <c:pt idx="61">
                  <c:v>2.105266260842352E-2</c:v>
                </c:pt>
                <c:pt idx="62">
                  <c:v>2.1115947867563562E-2</c:v>
                </c:pt>
                <c:pt idx="63">
                  <c:v>2.1179253993811313E-2</c:v>
                </c:pt>
                <c:pt idx="64">
                  <c:v>2.1242590557457215E-2</c:v>
                </c:pt>
                <c:pt idx="65">
                  <c:v>2.1305966699863291E-2</c:v>
                </c:pt>
                <c:pt idx="66">
                  <c:v>2.1369391147832983E-2</c:v>
                </c:pt>
                <c:pt idx="67">
                  <c:v>2.1432872227517035E-2</c:v>
                </c:pt>
                <c:pt idx="68">
                  <c:v>2.149641787787061E-2</c:v>
                </c:pt>
                <c:pt idx="69">
                  <c:v>2.1560035663676459E-2</c:v>
                </c:pt>
                <c:pt idx="70">
                  <c:v>2.1623732788148334E-2</c:v>
                </c:pt>
                <c:pt idx="71">
                  <c:v>2.1687516105128389E-2</c:v>
                </c:pt>
                <c:pt idx="72">
                  <c:v>2.175139213089199E-2</c:v>
                </c:pt>
                <c:pt idx="73">
                  <c:v>2.1815367055572691E-2</c:v>
                </c:pt>
                <c:pt idx="74">
                  <c:v>2.1879446754219812E-2</c:v>
                </c:pt>
                <c:pt idx="75">
                  <c:v>2.1943636797500665E-2</c:v>
                </c:pt>
                <c:pt idx="76">
                  <c:v>2.2007942462059032E-2</c:v>
                </c:pt>
                <c:pt idx="77">
                  <c:v>2.2072368740541082E-2</c:v>
                </c:pt>
                <c:pt idx="78">
                  <c:v>2.2136920351299577E-2</c:v>
                </c:pt>
                <c:pt idx="79">
                  <c:v>2.220160174778691E-2</c:v>
                </c:pt>
                <c:pt idx="80">
                  <c:v>2.2266417127646914E-2</c:v>
                </c:pt>
                <c:pt idx="81">
                  <c:v>2.2331370441515504E-2</c:v>
                </c:pt>
                <c:pt idx="82">
                  <c:v>2.2396465401539372E-2</c:v>
                </c:pt>
                <c:pt idx="83">
                  <c:v>2.2461705489621998E-2</c:v>
                </c:pt>
                <c:pt idx="84">
                  <c:v>2.2527093965405809E-2</c:v>
                </c:pt>
                <c:pt idx="85">
                  <c:v>2.2592633873998954E-2</c:v>
                </c:pt>
                <c:pt idx="86">
                  <c:v>2.2658328053455044E-2</c:v>
                </c:pt>
                <c:pt idx="87">
                  <c:v>2.2724179142013794E-2</c:v>
                </c:pt>
                <c:pt idx="88">
                  <c:v>2.2790189585110303E-2</c:v>
                </c:pt>
                <c:pt idx="89">
                  <c:v>2.2856361642160376E-2</c:v>
                </c:pt>
                <c:pt idx="90">
                  <c:v>2.2922697393129212E-2</c:v>
                </c:pt>
                <c:pt idx="91">
                  <c:v>2.2989198744890266E-2</c:v>
                </c:pt>
                <c:pt idx="92">
                  <c:v>2.3055867437381208E-2</c:v>
                </c:pt>
                <c:pt idx="93">
                  <c:v>2.3122705049563354E-2</c:v>
                </c:pt>
                <c:pt idx="94">
                  <c:v>2.3189713005190973E-2</c:v>
                </c:pt>
                <c:pt idx="95">
                  <c:v>2.3256892578396422E-2</c:v>
                </c:pt>
                <c:pt idx="96">
                  <c:v>2.3324244899097242E-2</c:v>
                </c:pt>
                <c:pt idx="97">
                  <c:v>2.3391770958230588E-2</c:v>
                </c:pt>
                <c:pt idx="98">
                  <c:v>2.3459471612820814E-2</c:v>
                </c:pt>
                <c:pt idx="99">
                  <c:v>2.3527347590885352E-2</c:v>
                </c:pt>
                <c:pt idx="100">
                  <c:v>2.359539949618409E-2</c:v>
                </c:pt>
                <c:pt idx="101">
                  <c:v>2.3663627812817219E-2</c:v>
                </c:pt>
                <c:pt idx="102">
                  <c:v>2.37320329096764E-2</c:v>
                </c:pt>
                <c:pt idx="103">
                  <c:v>2.3800615044753878E-2</c:v>
                </c:pt>
                <c:pt idx="104">
                  <c:v>2.3869374369314095E-2</c:v>
                </c:pt>
                <c:pt idx="105">
                  <c:v>2.393831093193213E-2</c:v>
                </c:pt>
                <c:pt idx="106">
                  <c:v>2.4007424682403102E-2</c:v>
                </c:pt>
                <c:pt idx="107">
                  <c:v>2.4076715475526853E-2</c:v>
                </c:pt>
                <c:pt idx="108">
                  <c:v>2.4146183074771611E-2</c:v>
                </c:pt>
                <c:pt idx="109">
                  <c:v>2.4215827155820532E-2</c:v>
                </c:pt>
                <c:pt idx="110">
                  <c:v>2.4285647310004953E-2</c:v>
                </c:pt>
                <c:pt idx="111">
                  <c:v>2.4355643047627665E-2</c:v>
                </c:pt>
                <c:pt idx="112">
                  <c:v>2.4425813801179946E-2</c:v>
                </c:pt>
                <c:pt idx="113">
                  <c:v>2.4496158928455483E-2</c:v>
                </c:pt>
                <c:pt idx="114">
                  <c:v>2.4566677715564533E-2</c:v>
                </c:pt>
                <c:pt idx="115">
                  <c:v>2.4637369379851431E-2</c:v>
                </c:pt>
                <c:pt idx="116">
                  <c:v>2.4708233072718504E-2</c:v>
                </c:pt>
                <c:pt idx="117">
                  <c:v>2.477926788235929E-2</c:v>
                </c:pt>
                <c:pt idx="118">
                  <c:v>2.4850472836403844E-2</c:v>
                </c:pt>
                <c:pt idx="119">
                  <c:v>2.4921846904479093E-2</c:v>
                </c:pt>
                <c:pt idx="120">
                  <c:v>2.4993389000686626E-2</c:v>
                </c:pt>
                <c:pt idx="121">
                  <c:v>2.5065097986000658E-2</c:v>
                </c:pt>
                <c:pt idx="122">
                  <c:v>2.5136972670588741E-2</c:v>
                </c:pt>
                <c:pt idx="123">
                  <c:v>2.5209011816057343E-2</c:v>
                </c:pt>
                <c:pt idx="124">
                  <c:v>2.5281214137624929E-2</c:v>
                </c:pt>
                <c:pt idx="125">
                  <c:v>2.535357830622471E-2</c:v>
                </c:pt>
                <c:pt idx="126">
                  <c:v>2.5426102950539136E-2</c:v>
                </c:pt>
                <c:pt idx="127">
                  <c:v>2.549878665896841E-2</c:v>
                </c:pt>
                <c:pt idx="128">
                  <c:v>2.5571627981535033E-2</c:v>
                </c:pt>
                <c:pt idx="129">
                  <c:v>2.5644625431726274E-2</c:v>
                </c:pt>
                <c:pt idx="130">
                  <c:v>2.5717777488276607E-2</c:v>
                </c:pt>
                <c:pt idx="131">
                  <c:v>2.579108259689197E-2</c:v>
                </c:pt>
                <c:pt idx="132">
                  <c:v>2.5864539171917538E-2</c:v>
                </c:pt>
                <c:pt idx="133">
                  <c:v>2.5938145597950903E-2</c:v>
                </c:pt>
                <c:pt idx="134">
                  <c:v>2.6011900231402204E-2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Dragon_vs_RK1!$BD$1</c:f>
              <c:strCache>
                <c:ptCount val="1"/>
                <c:pt idx="0">
                  <c:v>Am241 %wt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Dragon_vs_RK1!$BD$2:$BD$309</c:f>
              <c:numCache>
                <c:formatCode>0.00%</c:formatCode>
                <c:ptCount val="308"/>
                <c:pt idx="0">
                  <c:v>1.04E-2</c:v>
                </c:pt>
                <c:pt idx="1">
                  <c:v>1.0406995210343361E-2</c:v>
                </c:pt>
                <c:pt idx="2">
                  <c:v>1.0412079088605367E-2</c:v>
                </c:pt>
                <c:pt idx="3">
                  <c:v>1.0415366938298152E-2</c:v>
                </c:pt>
                <c:pt idx="4">
                  <c:v>1.0416969188008749E-2</c:v>
                </c:pt>
                <c:pt idx="5">
                  <c:v>1.0416991575065286E-2</c:v>
                </c:pt>
                <c:pt idx="6">
                  <c:v>1.0415535322637073E-2</c:v>
                </c:pt>
                <c:pt idx="7">
                  <c:v>1.041269731048824E-2</c:v>
                </c:pt>
                <c:pt idx="8">
                  <c:v>1.0408570239598514E-2</c:v>
                </c:pt>
                <c:pt idx="9">
                  <c:v>1.0403242790858754E-2</c:v>
                </c:pt>
                <c:pt idx="10">
                  <c:v>1.0396799778042882E-2</c:v>
                </c:pt>
                <c:pt idx="11">
                  <c:v>1.0389322295251944E-2</c:v>
                </c:pt>
                <c:pt idx="12">
                  <c:v>1.0380887859020303E-2</c:v>
                </c:pt>
                <c:pt idx="13">
                  <c:v>1.037157054526814E-2</c:v>
                </c:pt>
                <c:pt idx="14">
                  <c:v>1.0361441121278918E-2</c:v>
                </c:pt>
                <c:pt idx="15">
                  <c:v>1.0350567172874924E-2</c:v>
                </c:pt>
                <c:pt idx="16">
                  <c:v>1.033901322695846E-2</c:v>
                </c:pt>
                <c:pt idx="17">
                  <c:v>1.0326840869581213E-2</c:v>
                </c:pt>
                <c:pt idx="18">
                  <c:v>1.0314108859698851E-2</c:v>
                </c:pt>
                <c:pt idx="19">
                  <c:v>1.0300873238763057E-2</c:v>
                </c:pt>
                <c:pt idx="20">
                  <c:v>1.0287187436298091E-2</c:v>
                </c:pt>
                <c:pt idx="21">
                  <c:v>1.0273102371604302E-2</c:v>
                </c:pt>
                <c:pt idx="22">
                  <c:v>1.0258666551726135E-2</c:v>
                </c:pt>
                <c:pt idx="23">
                  <c:v>1.0243926165817714E-2</c:v>
                </c:pt>
                <c:pt idx="24">
                  <c:v>1.0228925176034609E-2</c:v>
                </c:pt>
                <c:pt idx="25">
                  <c:v>1.021370540507599E-2</c:v>
                </c:pt>
                <c:pt idx="26">
                  <c:v>1.0198306620497199E-2</c:v>
                </c:pt>
                <c:pt idx="27">
                  <c:v>1.0182766615908697E-2</c:v>
                </c:pt>
                <c:pt idx="28">
                  <c:v>1.0167121289173301E-2</c:v>
                </c:pt>
                <c:pt idx="29">
                  <c:v>1.0151404717709844E-2</c:v>
                </c:pt>
                <c:pt idx="30">
                  <c:v>1.0135649231007559E-2</c:v>
                </c:pt>
                <c:pt idx="31">
                  <c:v>1.0119885480451937E-2</c:v>
                </c:pt>
                <c:pt idx="32">
                  <c:v>1.0104142506559274E-2</c:v>
                </c:pt>
                <c:pt idx="33">
                  <c:v>1.008844780371366E-2</c:v>
                </c:pt>
                <c:pt idx="34">
                  <c:v>1.0072827382496969E-2</c:v>
                </c:pt>
                <c:pt idx="35">
                  <c:v>1.0057305829699067E-2</c:v>
                </c:pt>
                <c:pt idx="36">
                  <c:v>1.0041906366092593E-2</c:v>
                </c:pt>
                <c:pt idx="37">
                  <c:v>1.0026650902053388E-2</c:v>
                </c:pt>
                <c:pt idx="38">
                  <c:v>1.0011560091105045E-2</c:v>
                </c:pt>
                <c:pt idx="39">
                  <c:v>9.9966533814630238E-3</c:v>
                </c:pt>
                <c:pt idx="40">
                  <c:v>9.9819490656512626E-3</c:v>
                </c:pt>
                <c:pt idx="41">
                  <c:v>9.9674643282614741E-3</c:v>
                </c:pt>
                <c:pt idx="42">
                  <c:v>9.953215291922857E-3</c:v>
                </c:pt>
                <c:pt idx="43">
                  <c:v>9.939217061547519E-3</c:v>
                </c:pt>
                <c:pt idx="44">
                  <c:v>9.9254837669145446E-3</c:v>
                </c:pt>
                <c:pt idx="45">
                  <c:v>9.9120286036533407E-3</c:v>
                </c:pt>
                <c:pt idx="46">
                  <c:v>9.8988638726848002E-3</c:v>
                </c:pt>
                <c:pt idx="47">
                  <c:v>9.8860010181765785E-3</c:v>
                </c:pt>
                <c:pt idx="48">
                  <c:v>9.8734506640668542E-3</c:v>
                </c:pt>
                <c:pt idx="49">
                  <c:v>9.8612226492088874E-3</c:v>
                </c:pt>
                <c:pt idx="50">
                  <c:v>9.849326061186844E-3</c:v>
                </c:pt>
                <c:pt idx="51">
                  <c:v>9.8377692688515588E-3</c:v>
                </c:pt>
                <c:pt idx="52">
                  <c:v>9.8265599536229847E-3</c:v>
                </c:pt>
                <c:pt idx="53">
                  <c:v>9.8157051396045667E-3</c:v>
                </c:pt>
                <c:pt idx="54">
                  <c:v>9.8052112225530744E-3</c:v>
                </c:pt>
                <c:pt idx="55">
                  <c:v>9.795083997745679E-3</c:v>
                </c:pt>
                <c:pt idx="56">
                  <c:v>9.7853286867848523E-3</c:v>
                </c:pt>
                <c:pt idx="57">
                  <c:v>9.7759499633798888E-3</c:v>
                </c:pt>
                <c:pt idx="58">
                  <c:v>9.7669519781425889E-3</c:v>
                </c:pt>
                <c:pt idx="59">
                  <c:v>9.7583383824333056E-3</c:v>
                </c:pt>
                <c:pt idx="60">
                  <c:v>9.7501123512920736E-3</c:v>
                </c:pt>
                <c:pt idx="61">
                  <c:v>9.7422766054884591E-3</c:v>
                </c:pt>
                <c:pt idx="62">
                  <c:v>9.7348334327224048E-3</c:v>
                </c:pt>
                <c:pt idx="63">
                  <c:v>9.7277847080072845E-3</c:v>
                </c:pt>
                <c:pt idx="64">
                  <c:v>9.7211319132650912E-3</c:v>
                </c:pt>
                <c:pt idx="65">
                  <c:v>9.7148761561627484E-3</c:v>
                </c:pt>
                <c:pt idx="66">
                  <c:v>9.7090181882173721E-3</c:v>
                </c:pt>
                <c:pt idx="67">
                  <c:v>9.7035584221973493E-3</c:v>
                </c:pt>
                <c:pt idx="68">
                  <c:v>9.6984969488450815E-3</c:v>
                </c:pt>
                <c:pt idx="69">
                  <c:v>9.6938335529463231E-3</c:v>
                </c:pt>
                <c:pt idx="70">
                  <c:v>9.6895677287701463E-3</c:v>
                </c:pt>
                <c:pt idx="71">
                  <c:v>9.6856986949026228E-3</c:v>
                </c:pt>
                <c:pt idx="72">
                  <c:v>9.6822254084965725E-3</c:v>
                </c:pt>
                <c:pt idx="73">
                  <c:v>9.6791465789588457E-3</c:v>
                </c:pt>
                <c:pt idx="74">
                  <c:v>9.6764606810957887E-3</c:v>
                </c:pt>
                <c:pt idx="75">
                  <c:v>9.6741659677369168E-3</c:v>
                </c:pt>
                <c:pt idx="76">
                  <c:v>9.6722604818559651E-3</c:v>
                </c:pt>
                <c:pt idx="77">
                  <c:v>9.6707420682078157E-3</c:v>
                </c:pt>
                <c:pt idx="78">
                  <c:v>9.6696083844992221E-3</c:v>
                </c:pt>
                <c:pt idx="79">
                  <c:v>9.6688569121104479E-3</c:v>
                </c:pt>
                <c:pt idx="80">
                  <c:v>9.6684849663844011E-3</c:v>
                </c:pt>
                <c:pt idx="81">
                  <c:v>9.6684897064992989E-3</c:v>
                </c:pt>
                <c:pt idx="82">
                  <c:v>9.6688681449401473E-3</c:v>
                </c:pt>
                <c:pt idx="83">
                  <c:v>9.6696171565839508E-3</c:v>
                </c:pt>
                <c:pt idx="84">
                  <c:v>9.6707334874128886E-3</c:v>
                </c:pt>
                <c:pt idx="85">
                  <c:v>9.6722137628692303E-3</c:v>
                </c:pt>
                <c:pt idx="86">
                  <c:v>9.6740544958652825E-3</c:v>
                </c:pt>
                <c:pt idx="87">
                  <c:v>9.6762520944611418E-3</c:v>
                </c:pt>
                <c:pt idx="88">
                  <c:v>9.6788028692225882E-3</c:v>
                </c:pt>
                <c:pt idx="89">
                  <c:v>9.6817030402709496E-3</c:v>
                </c:pt>
                <c:pt idx="90">
                  <c:v>9.6849487440364701E-3</c:v>
                </c:pt>
                <c:pt idx="91">
                  <c:v>9.6885360397261071E-3</c:v>
                </c:pt>
                <c:pt idx="92">
                  <c:v>9.692460915516489E-3</c:v>
                </c:pt>
                <c:pt idx="93">
                  <c:v>9.6967192944822124E-3</c:v>
                </c:pt>
                <c:pt idx="94">
                  <c:v>9.7013070402693635E-3</c:v>
                </c:pt>
                <c:pt idx="95">
                  <c:v>9.7062199625238214E-3</c:v>
                </c:pt>
                <c:pt idx="96">
                  <c:v>9.7114538220834656E-3</c:v>
                </c:pt>
                <c:pt idx="97">
                  <c:v>9.7170043359431479E-3</c:v>
                </c:pt>
                <c:pt idx="98">
                  <c:v>9.7228671820009764E-3</c:v>
                </c:pt>
                <c:pt idx="99">
                  <c:v>9.7290380035940649E-3</c:v>
                </c:pt>
                <c:pt idx="100">
                  <c:v>9.7355124138317345E-3</c:v>
                </c:pt>
                <c:pt idx="101">
                  <c:v>9.7422859997337383E-3</c:v>
                </c:pt>
                <c:pt idx="102">
                  <c:v>9.7493543261808861E-3</c:v>
                </c:pt>
                <c:pt idx="103">
                  <c:v>9.7567129396851655E-3</c:v>
                </c:pt>
                <c:pt idx="104">
                  <c:v>9.7643573719861827E-3</c:v>
                </c:pt>
                <c:pt idx="105">
                  <c:v>9.7722831434805153E-3</c:v>
                </c:pt>
                <c:pt idx="106">
                  <c:v>9.7804857664902847E-3</c:v>
                </c:pt>
                <c:pt idx="107">
                  <c:v>9.7889607483771426E-3</c:v>
                </c:pt>
                <c:pt idx="108">
                  <c:v>9.797703594507488E-3</c:v>
                </c:pt>
                <c:pt idx="109">
                  <c:v>9.8067098110746573E-3</c:v>
                </c:pt>
                <c:pt idx="110">
                  <c:v>9.8159749077835409E-3</c:v>
                </c:pt>
                <c:pt idx="111">
                  <c:v>9.8254944004028764E-3</c:v>
                </c:pt>
                <c:pt idx="112">
                  <c:v>9.8352638131904042E-3</c:v>
                </c:pt>
                <c:pt idx="113">
                  <c:v>9.8452786811956666E-3</c:v>
                </c:pt>
                <c:pt idx="114">
                  <c:v>9.855534552445264E-3</c:v>
                </c:pt>
                <c:pt idx="115">
                  <c:v>9.8660269900151167E-3</c:v>
                </c:pt>
                <c:pt idx="116">
                  <c:v>9.8767515739940828E-3</c:v>
                </c:pt>
                <c:pt idx="117">
                  <c:v>9.8877039033432191E-3</c:v>
                </c:pt>
                <c:pt idx="118">
                  <c:v>9.8988795976547046E-3</c:v>
                </c:pt>
                <c:pt idx="119">
                  <c:v>9.9102742988144595E-3</c:v>
                </c:pt>
                <c:pt idx="120">
                  <c:v>9.921883672572112E-3</c:v>
                </c:pt>
                <c:pt idx="121">
                  <c:v>9.9337034100220826E-3</c:v>
                </c:pt>
                <c:pt idx="122">
                  <c:v>9.9457292289992782E-3</c:v>
                </c:pt>
                <c:pt idx="123">
                  <c:v>9.9579568753927448E-3</c:v>
                </c:pt>
                <c:pt idx="124">
                  <c:v>9.9703821243805994E-3</c:v>
                </c:pt>
                <c:pt idx="125">
                  <c:v>9.9830007815893754E-3</c:v>
                </c:pt>
                <c:pt idx="126">
                  <c:v>9.995808684180818E-3</c:v>
                </c:pt>
                <c:pt idx="127">
                  <c:v>1.0008801701869059E-2</c:v>
                </c:pt>
                <c:pt idx="128">
                  <c:v>1.0021975737871001E-2</c:v>
                </c:pt>
                <c:pt idx="129">
                  <c:v>1.00353267297926E-2</c:v>
                </c:pt>
                <c:pt idx="130">
                  <c:v>1.0048850650453706E-2</c:v>
                </c:pt>
                <c:pt idx="131">
                  <c:v>1.0062543508653961E-2</c:v>
                </c:pt>
                <c:pt idx="132">
                  <c:v>1.0076401349882181E-2</c:v>
                </c:pt>
                <c:pt idx="133">
                  <c:v>1.0090420256971599E-2</c:v>
                </c:pt>
                <c:pt idx="134">
                  <c:v>1.010459635070318E-2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827200"/>
        <c:axId val="91845376"/>
      </c:scatterChart>
      <c:valAx>
        <c:axId val="91827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1845376"/>
        <c:crosses val="autoZero"/>
        <c:crossBetween val="midCat"/>
      </c:valAx>
      <c:valAx>
        <c:axId val="9184537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918272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le Pu239</a:t>
            </a:r>
            <a:endParaRPr lang="fr-FR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courbes!$X$1</c:f>
              <c:strCache>
                <c:ptCount val="1"/>
                <c:pt idx="0">
                  <c:v>Exact Simpl. - Pu239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courbes!$X$2:$X$136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2.1746594988127137E+21</c:v>
                </c:pt>
                <c:pt idx="2">
                  <c:v>2.1710769531702089E+21</c:v>
                </c:pt>
                <c:pt idx="3">
                  <c:v>2.1674534724010474E+21</c:v>
                </c:pt>
                <c:pt idx="4">
                  <c:v>2.1637901444719205E+21</c:v>
                </c:pt>
                <c:pt idx="5">
                  <c:v>2.1600880363712251E+21</c:v>
                </c:pt>
                <c:pt idx="6">
                  <c:v>2.1563481944860902E+21</c:v>
                </c:pt>
                <c:pt idx="7">
                  <c:v>2.1525716449729619E+21</c:v>
                </c:pt>
                <c:pt idx="8">
                  <c:v>2.1487593941218519E+21</c:v>
                </c:pt>
                <c:pt idx="9">
                  <c:v>2.1449124287143451E+21</c:v>
                </c:pt>
                <c:pt idx="10">
                  <c:v>2.1410317163754716E+21</c:v>
                </c:pt>
                <c:pt idx="11">
                  <c:v>2.1371182059195403E+21</c:v>
                </c:pt>
                <c:pt idx="12">
                  <c:v>2.1331728276900298E+21</c:v>
                </c:pt>
                <c:pt idx="13">
                  <c:v>2.1291964938936344E+21</c:v>
                </c:pt>
                <c:pt idx="14">
                  <c:v>2.1251900989285576E+21</c:v>
                </c:pt>
                <c:pt idx="15">
                  <c:v>2.1211545197071497E+21</c:v>
                </c:pt>
                <c:pt idx="16">
                  <c:v>2.1170906159729727E+21</c:v>
                </c:pt>
                <c:pt idx="17">
                  <c:v>2.1129992306123987E+21</c:v>
                </c:pt>
                <c:pt idx="18">
                  <c:v>2.1088811899608092E+21</c:v>
                </c:pt>
                <c:pt idx="19">
                  <c:v>2.1047373041035059E+21</c:v>
                </c:pt>
                <c:pt idx="20">
                  <c:v>2.1005683671713983E+21</c:v>
                </c:pt>
                <c:pt idx="21">
                  <c:v>2.0963751576315715E+21</c:v>
                </c:pt>
                <c:pt idx="22">
                  <c:v>2.0921584385728019E+21</c:v>
                </c:pt>
                <c:pt idx="23">
                  <c:v>2.0879189579861181E+21</c:v>
                </c:pt>
                <c:pt idx="24">
                  <c:v>2.0836574490404764E+21</c:v>
                </c:pt>
                <c:pt idx="25">
                  <c:v>2.079374630353639E+21</c:v>
                </c:pt>
                <c:pt idx="26">
                  <c:v>2.0750712062583279E+21</c:v>
                </c:pt>
                <c:pt idx="27">
                  <c:v>2.070747867063739E+21</c:v>
                </c:pt>
                <c:pt idx="28">
                  <c:v>2.0664052893124859E+21</c:v>
                </c:pt>
                <c:pt idx="29">
                  <c:v>2.0620441360330544E+21</c:v>
                </c:pt>
                <c:pt idx="30">
                  <c:v>2.0576650569878379E+21</c:v>
                </c:pt>
                <c:pt idx="31">
                  <c:v>2.0532686889168302E+21</c:v>
                </c:pt>
                <c:pt idx="32">
                  <c:v>2.0488556557770451E+21</c:v>
                </c:pt>
                <c:pt idx="33">
                  <c:v>2.044426568977736E+21</c:v>
                </c:pt>
                <c:pt idx="34">
                  <c:v>2.0399820276114839E+21</c:v>
                </c:pt>
                <c:pt idx="35">
                  <c:v>2.0355226186812212E+21</c:v>
                </c:pt>
                <c:pt idx="36">
                  <c:v>2.031048917323264E+21</c:v>
                </c:pt>
                <c:pt idx="37">
                  <c:v>2.0265614870264134E+21</c:v>
                </c:pt>
                <c:pt idx="38">
                  <c:v>2.0220608798471954E+21</c:v>
                </c:pt>
                <c:pt idx="39">
                  <c:v>2.0175476366213047E+21</c:v>
                </c:pt>
                <c:pt idx="40">
                  <c:v>2.0130222871713106E+21</c:v>
                </c:pt>
                <c:pt idx="41">
                  <c:v>2.0084853505106971E+21</c:v>
                </c:pt>
                <c:pt idx="42">
                  <c:v>2.0039373350442867E+21</c:v>
                </c:pt>
                <c:pt idx="43">
                  <c:v>1.9993787387651194E+21</c:v>
                </c:pt>
                <c:pt idx="44">
                  <c:v>1.9948100494478431E+21</c:v>
                </c:pt>
                <c:pt idx="45">
                  <c:v>1.9902317448386692E+21</c:v>
                </c:pt>
                <c:pt idx="46">
                  <c:v>1.9856442928419606E+21</c:v>
                </c:pt>
                <c:pt idx="47">
                  <c:v>1.9810481517035004E+21</c:v>
                </c:pt>
                <c:pt idx="48">
                  <c:v>1.9764437701905039E+21</c:v>
                </c:pt>
                <c:pt idx="49">
                  <c:v>1.9718315877684242E+21</c:v>
                </c:pt>
                <c:pt idx="50">
                  <c:v>1.9672120347746105E+21</c:v>
                </c:pt>
                <c:pt idx="51">
                  <c:v>1.9625855325888661E+21</c:v>
                </c:pt>
                <c:pt idx="52">
                  <c:v>1.9579524938009687E+21</c:v>
                </c:pt>
                <c:pt idx="53">
                  <c:v>1.953313322375192E+21</c:v>
                </c:pt>
                <c:pt idx="54">
                  <c:v>1.9486684138118911E+21</c:v>
                </c:pt>
                <c:pt idx="55">
                  <c:v>1.9440181553061956E+21</c:v>
                </c:pt>
                <c:pt idx="56">
                  <c:v>1.9393629259038615E+21</c:v>
                </c:pt>
                <c:pt idx="57">
                  <c:v>1.9347030966543298E+21</c:v>
                </c:pt>
                <c:pt idx="58">
                  <c:v>1.9300390307610406E+21</c:v>
                </c:pt>
                <c:pt idx="59">
                  <c:v>1.9253710837290492E+21</c:v>
                </c:pt>
                <c:pt idx="60">
                  <c:v>1.9206996035099896E+21</c:v>
                </c:pt>
                <c:pt idx="61">
                  <c:v>1.9160249306444338E+21</c:v>
                </c:pt>
                <c:pt idx="62">
                  <c:v>1.9113473984016878E+21</c:v>
                </c:pt>
                <c:pt idx="63">
                  <c:v>1.9066673329170709E+21</c:v>
                </c:pt>
                <c:pt idx="64">
                  <c:v>1.9019850533267204E+21</c:v>
                </c:pt>
                <c:pt idx="65">
                  <c:v>1.8973008718999671E+21</c:v>
                </c:pt>
                <c:pt idx="66">
                  <c:v>1.8926150941693198E+21</c:v>
                </c:pt>
                <c:pt idx="67">
                  <c:v>1.8879280190580997E+21</c:v>
                </c:pt>
                <c:pt idx="68">
                  <c:v>1.8832399390057733E+21</c:v>
                </c:pt>
                <c:pt idx="69">
                  <c:v>1.8785511400910102E+21</c:v>
                </c:pt>
                <c:pt idx="70">
                  <c:v>1.8738619021525191E+21</c:v>
                </c:pt>
                <c:pt idx="71">
                  <c:v>1.8691724989076917E+21</c:v>
                </c:pt>
                <c:pt idx="72">
                  <c:v>1.8644831980690926E+21</c:v>
                </c:pt>
                <c:pt idx="73">
                  <c:v>1.8597942614588405E+21</c:v>
                </c:pt>
                <c:pt idx="74">
                  <c:v>1.8551059451209056E+21</c:v>
                </c:pt>
                <c:pt idx="75">
                  <c:v>1.8504184994313722E+21</c:v>
                </c:pt>
                <c:pt idx="76">
                  <c:v>1.8457321692066905E+21</c:v>
                </c:pt>
                <c:pt idx="77">
                  <c:v>1.8410471938099614E+21</c:v>
                </c:pt>
                <c:pt idx="78">
                  <c:v>1.8363638072552818E+21</c:v>
                </c:pt>
                <c:pt idx="79">
                  <c:v>1.8316822383101902E+21</c:v>
                </c:pt>
                <c:pt idx="80">
                  <c:v>1.8270027105962411E+21</c:v>
                </c:pt>
                <c:pt idx="81">
                  <c:v>1.8223254426877467E+21</c:v>
                </c:pt>
                <c:pt idx="82">
                  <c:v>1.8176506482087079E+21</c:v>
                </c:pt>
                <c:pt idx="83">
                  <c:v>1.8129785359279805E+21</c:v>
                </c:pt>
                <c:pt idx="84">
                  <c:v>1.8083093098526923E+21</c:v>
                </c:pt>
                <c:pt idx="85">
                  <c:v>1.8036431693199568E+21</c:v>
                </c:pt>
                <c:pt idx="86">
                  <c:v>1.7989803090868998E+21</c:v>
                </c:pt>
                <c:pt idx="87">
                  <c:v>1.7943209194190398E+21</c:v>
                </c:pt>
                <c:pt idx="88">
                  <c:v>1.7896651861770416E+21</c:v>
                </c:pt>
                <c:pt idx="89">
                  <c:v>1.7850132909018817E+21</c:v>
                </c:pt>
                <c:pt idx="90">
                  <c:v>1.780365410898444E+21</c:v>
                </c:pt>
                <c:pt idx="91">
                  <c:v>1.7757217193175802E+21</c:v>
                </c:pt>
                <c:pt idx="92">
                  <c:v>1.7710823852366595E+21</c:v>
                </c:pt>
                <c:pt idx="93">
                  <c:v>1.7664475737386325E+21</c:v>
                </c:pt>
                <c:pt idx="94">
                  <c:v>1.7618174459896424E+21</c:v>
                </c:pt>
                <c:pt idx="95">
                  <c:v>1.7571921593151974E+21</c:v>
                </c:pt>
                <c:pt idx="96">
                  <c:v>1.7525718672749463E+21</c:v>
                </c:pt>
                <c:pt idx="97">
                  <c:v>1.7479567197360617E+21</c:v>
                </c:pt>
                <c:pt idx="98">
                  <c:v>1.7433468629452768E+21</c:v>
                </c:pt>
                <c:pt idx="99">
                  <c:v>1.7387424395995833E+21</c:v>
                </c:pt>
                <c:pt idx="100">
                  <c:v>1.7341435889156235E+21</c:v>
                </c:pt>
                <c:pt idx="101">
                  <c:v>1.7295504466977937E+21</c:v>
                </c:pt>
                <c:pt idx="102">
                  <c:v>1.7249631454050892E+21</c:v>
                </c:pt>
                <c:pt idx="103">
                  <c:v>1.7203818142167057E+21</c:v>
                </c:pt>
                <c:pt idx="104">
                  <c:v>1.7158065790964256E+21</c:v>
                </c:pt>
                <c:pt idx="105">
                  <c:v>1.7112375628558049E+21</c:v>
                </c:pt>
                <c:pt idx="106">
                  <c:v>1.706674885216188E+21</c:v>
                </c:pt>
                <c:pt idx="107">
                  <c:v>1.7021186628695679E+21</c:v>
                </c:pt>
                <c:pt idx="108">
                  <c:v>1.6975690095383137E+21</c:v>
                </c:pt>
                <c:pt idx="109">
                  <c:v>1.6930260360337841E+21</c:v>
                </c:pt>
                <c:pt idx="110">
                  <c:v>1.6884898503138489E+21</c:v>
                </c:pt>
                <c:pt idx="111">
                  <c:v>1.6839605575393395E+21</c:v>
                </c:pt>
                <c:pt idx="112">
                  <c:v>1.6794382601294402E+21</c:v>
                </c:pt>
                <c:pt idx="113">
                  <c:v>1.6749230578160511E+21</c:v>
                </c:pt>
                <c:pt idx="114">
                  <c:v>1.6704150476971282E+21</c:v>
                </c:pt>
                <c:pt idx="115">
                  <c:v>1.665914324289032E+21</c:v>
                </c:pt>
                <c:pt idx="116">
                  <c:v>1.6614209795778903E+21</c:v>
                </c:pt>
                <c:pt idx="117">
                  <c:v>1.6569351030700025E+21</c:v>
                </c:pt>
                <c:pt idx="118">
                  <c:v>1.6524567818412978E+21</c:v>
                </c:pt>
                <c:pt idx="119">
                  <c:v>1.6479861005858644E+21</c:v>
                </c:pt>
                <c:pt idx="120">
                  <c:v>1.6435231416635695E+21</c:v>
                </c:pt>
                <c:pt idx="121">
                  <c:v>1.6390679851467837E+21</c:v>
                </c:pt>
                <c:pt idx="122">
                  <c:v>1.6346207088662269E+21</c:v>
                </c:pt>
                <c:pt idx="123">
                  <c:v>1.630181388455952E+21</c:v>
                </c:pt>
                <c:pt idx="124">
                  <c:v>1.6257500973974809E+21</c:v>
                </c:pt>
                <c:pt idx="125">
                  <c:v>1.6213269070631107E+21</c:v>
                </c:pt>
                <c:pt idx="126">
                  <c:v>1.6169118867584026E+21</c:v>
                </c:pt>
                <c:pt idx="127">
                  <c:v>1.6125051037638682E+21</c:v>
                </c:pt>
                <c:pt idx="128">
                  <c:v>1.6081066233758703E+21</c:v>
                </c:pt>
                <c:pt idx="129">
                  <c:v>1.6037165089467502E+21</c:v>
                </c:pt>
                <c:pt idx="130">
                  <c:v>1.5993348219241976E+21</c:v>
                </c:pt>
                <c:pt idx="131">
                  <c:v>1.5949616218898739E+21</c:v>
                </c:pt>
                <c:pt idx="132">
                  <c:v>1.5905969665973053E+21</c:v>
                </c:pt>
                <c:pt idx="133">
                  <c:v>1.5862409120090586E+21</c:v>
                </c:pt>
                <c:pt idx="134">
                  <c:v>1.5818935123332109E+21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courbes!$L$1</c:f>
              <c:strCache>
                <c:ptCount val="1"/>
                <c:pt idx="0">
                  <c:v>O5 - Pu239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courbes!$L$2:$L$122</c:f>
              <c:numCache>
                <c:formatCode>0.0000E+00</c:formatCode>
                <c:ptCount val="121"/>
                <c:pt idx="0">
                  <c:v>2.1782E+21</c:v>
                </c:pt>
                <c:pt idx="1">
                  <c:v>2.1746598337089951E+21</c:v>
                </c:pt>
                <c:pt idx="2">
                  <c:v>2.1710791878641288E+21</c:v>
                </c:pt>
                <c:pt idx="3">
                  <c:v>2.1674591149753316E+21</c:v>
                </c:pt>
                <c:pt idx="4">
                  <c:v>2.1638006474764777E+21</c:v>
                </c:pt>
                <c:pt idx="5">
                  <c:v>2.160104798116242E+21</c:v>
                </c:pt>
                <c:pt idx="6">
                  <c:v>2.1563725603489603E+21</c:v>
                </c:pt>
                <c:pt idx="7">
                  <c:v>2.1526049087254873E+21</c:v>
                </c:pt>
                <c:pt idx="8">
                  <c:v>2.1488027992840575E+21</c:v>
                </c:pt>
                <c:pt idx="9">
                  <c:v>2.1449671699411454E+21</c:v>
                </c:pt>
                <c:pt idx="10">
                  <c:v>2.1410989408823232E+21</c:v>
                </c:pt>
                <c:pt idx="11">
                  <c:v>2.1371990149531194E+21</c:v>
                </c:pt>
                <c:pt idx="12">
                  <c:v>2.1332682780498812E+21</c:v>
                </c:pt>
                <c:pt idx="13">
                  <c:v>2.129307580049966E+21</c:v>
                </c:pt>
                <c:pt idx="14">
                  <c:v>2.1253177848968239E+21</c:v>
                </c:pt>
                <c:pt idx="15">
                  <c:v>2.1212997270427148E+21</c:v>
                </c:pt>
                <c:pt idx="16">
                  <c:v>2.117254224883242E+21</c:v>
                </c:pt>
                <c:pt idx="17">
                  <c:v>2.113182081066967E+21</c:v>
                </c:pt>
                <c:pt idx="18">
                  <c:v>2.1090840828050284E+21</c:v>
                </c:pt>
                <c:pt idx="19">
                  <c:v>2.1049610021807587E+21</c:v>
                </c:pt>
                <c:pt idx="20">
                  <c:v>2.1008135964593003E+21</c:v>
                </c:pt>
                <c:pt idx="21">
                  <c:v>2.0966426083972235E+21</c:v>
                </c:pt>
                <c:pt idx="22">
                  <c:v>2.0924487665521428E+21</c:v>
                </c:pt>
                <c:pt idx="23">
                  <c:v>2.0882327855923336E+21</c:v>
                </c:pt>
                <c:pt idx="24">
                  <c:v>2.0839953666063511E+21</c:v>
                </c:pt>
                <c:pt idx="25">
                  <c:v>2.0797371823802873E+21</c:v>
                </c:pt>
                <c:pt idx="26">
                  <c:v>2.0754589160807643E+21</c:v>
                </c:pt>
                <c:pt idx="27">
                  <c:v>2.0711612276372283E+21</c:v>
                </c:pt>
                <c:pt idx="28">
                  <c:v>2.0668447641179343E+21</c:v>
                </c:pt>
                <c:pt idx="29">
                  <c:v>2.0625101599765268E+21</c:v>
                </c:pt>
                <c:pt idx="30">
                  <c:v>2.0581580372986212E+21</c:v>
                </c:pt>
                <c:pt idx="31">
                  <c:v>2.053789006048385E+21</c:v>
                </c:pt>
                <c:pt idx="32">
                  <c:v>2.049403664315118E+21</c:v>
                </c:pt>
                <c:pt idx="33">
                  <c:v>2.0450025985598313E+21</c:v>
                </c:pt>
                <c:pt idx="34">
                  <c:v>2.0405863838618322E+21</c:v>
                </c:pt>
                <c:pt idx="35">
                  <c:v>2.0361555841653004E+21</c:v>
                </c:pt>
                <c:pt idx="36">
                  <c:v>2.0317107525258715E+21</c:v>
                </c:pt>
                <c:pt idx="37">
                  <c:v>2.0272524196295853E+21</c:v>
                </c:pt>
                <c:pt idx="38">
                  <c:v>2.0227811239678734E+21</c:v>
                </c:pt>
                <c:pt idx="39">
                  <c:v>2.0182973856295879E+21</c:v>
                </c:pt>
                <c:pt idx="40">
                  <c:v>2.0138017143945513E+21</c:v>
                </c:pt>
                <c:pt idx="41">
                  <c:v>2.0092946099307639E+21</c:v>
                </c:pt>
                <c:pt idx="42">
                  <c:v>2.0047765619916118E+21</c:v>
                </c:pt>
                <c:pt idx="43">
                  <c:v>2.0002480506130745E+21</c:v>
                </c:pt>
                <c:pt idx="44">
                  <c:v>1.9957095463109334E+21</c:v>
                </c:pt>
                <c:pt idx="45">
                  <c:v>1.9911615102779783E+21</c:v>
                </c:pt>
                <c:pt idx="46">
                  <c:v>1.9866043945812149E+21</c:v>
                </c:pt>
                <c:pt idx="47">
                  <c:v>1.9820386423590751E+21</c:v>
                </c:pt>
                <c:pt idx="48">
                  <c:v>1.9774646880186233E+21</c:v>
                </c:pt>
                <c:pt idx="49">
                  <c:v>1.9728829482031815E+21</c:v>
                </c:pt>
                <c:pt idx="50">
                  <c:v>1.9682938455369599E+21</c:v>
                </c:pt>
                <c:pt idx="51">
                  <c:v>1.9636977880123058E+21</c:v>
                </c:pt>
                <c:pt idx="52">
                  <c:v>1.9590951753580806E+21</c:v>
                </c:pt>
                <c:pt idx="53">
                  <c:v>1.9544863991978779E+21</c:v>
                </c:pt>
                <c:pt idx="54">
                  <c:v>1.9498718432082445E+21</c:v>
                </c:pt>
                <c:pt idx="55">
                  <c:v>1.9452518832768984E+21</c:v>
                </c:pt>
                <c:pt idx="56">
                  <c:v>1.94062688766095E+21</c:v>
                </c:pt>
                <c:pt idx="57">
                  <c:v>1.9359972171451227E+21</c:v>
                </c:pt>
                <c:pt idx="58">
                  <c:v>1.9313632251999717E+21</c:v>
                </c:pt>
                <c:pt idx="59">
                  <c:v>1.9267252581401022E+21</c:v>
                </c:pt>
                <c:pt idx="60">
                  <c:v>1.9220836552823928E+21</c:v>
                </c:pt>
                <c:pt idx="61">
                  <c:v>1.9174387417865084E+21</c:v>
                </c:pt>
                <c:pt idx="62">
                  <c:v>1.9127908474787529E+21</c:v>
                </c:pt>
                <c:pt idx="63">
                  <c:v>1.9081402905174257E+21</c:v>
                </c:pt>
                <c:pt idx="64">
                  <c:v>1.9034873824409876E+21</c:v>
                </c:pt>
                <c:pt idx="65">
                  <c:v>1.8988324282952791E+21</c:v>
                </c:pt>
                <c:pt idx="66">
                  <c:v>1.8941757267607455E+21</c:v>
                </c:pt>
                <c:pt idx="67">
                  <c:v>1.8895175702796535E+21</c:v>
                </c:pt>
                <c:pt idx="68">
                  <c:v>1.8848582451833162E+21</c:v>
                </c:pt>
                <c:pt idx="69">
                  <c:v>1.8801980318193138E+21</c:v>
                </c:pt>
                <c:pt idx="70">
                  <c:v>1.8755372046787137E+21</c:v>
                </c:pt>
                <c:pt idx="71">
                  <c:v>1.8708760325232929E+21</c:v>
                </c:pt>
                <c:pt idx="72">
                  <c:v>1.8662147785127588E+21</c:v>
                </c:pt>
                <c:pt idx="73">
                  <c:v>1.8615536944946078E+21</c:v>
                </c:pt>
                <c:pt idx="74">
                  <c:v>1.8568930360184115E+21</c:v>
                </c:pt>
                <c:pt idx="75">
                  <c:v>1.8522330493107257E+21</c:v>
                </c:pt>
                <c:pt idx="76">
                  <c:v>1.8475739753011814E+21</c:v>
                </c:pt>
                <c:pt idx="77">
                  <c:v>1.8429160497249182E+21</c:v>
                </c:pt>
                <c:pt idx="78">
                  <c:v>1.8382595032250277E+21</c:v>
                </c:pt>
                <c:pt idx="79">
                  <c:v>1.8336045614549875E+21</c:v>
                </c:pt>
                <c:pt idx="80">
                  <c:v>1.828951445181102E+21</c:v>
                </c:pt>
                <c:pt idx="81">
                  <c:v>1.8243003703849407E+21</c:v>
                </c:pt>
                <c:pt idx="82">
                  <c:v>1.8196515483657754E+21</c:v>
                </c:pt>
                <c:pt idx="83">
                  <c:v>1.815005185843017E+21</c:v>
                </c:pt>
                <c:pt idx="84">
                  <c:v>1.8103614850586591E+21</c:v>
                </c:pt>
                <c:pt idx="85">
                  <c:v>1.8057206392006391E+21</c:v>
                </c:pt>
                <c:pt idx="86">
                  <c:v>1.8010828444367357E+21</c:v>
                </c:pt>
                <c:pt idx="87">
                  <c:v>1.7964482894770356E+21</c:v>
                </c:pt>
                <c:pt idx="88">
                  <c:v>1.7918171588004356E+21</c:v>
                </c:pt>
                <c:pt idx="89">
                  <c:v>1.7871896327371817E+21</c:v>
                </c:pt>
                <c:pt idx="90">
                  <c:v>1.7825658875514066E+21</c:v>
                </c:pt>
                <c:pt idx="91">
                  <c:v>1.7779460955236705E+21</c:v>
                </c:pt>
                <c:pt idx="92">
                  <c:v>1.773330425033498E+21</c:v>
                </c:pt>
                <c:pt idx="93">
                  <c:v>1.7687190406419175E+21</c:v>
                </c:pt>
                <c:pt idx="94">
                  <c:v>1.7641121031739998E+21</c:v>
                </c:pt>
                <c:pt idx="95">
                  <c:v>1.7595097698013972E+21</c:v>
                </c:pt>
                <c:pt idx="96">
                  <c:v>1.7549121941248811E+21</c:v>
                </c:pt>
                <c:pt idx="97">
                  <c:v>1.7503195224924543E+21</c:v>
                </c:pt>
                <c:pt idx="98">
                  <c:v>1.7457319036800826E+21</c:v>
                </c:pt>
                <c:pt idx="99">
                  <c:v>1.7411494804960929E+21</c:v>
                </c:pt>
                <c:pt idx="100">
                  <c:v>1.7365723923764079E+21</c:v>
                </c:pt>
                <c:pt idx="101">
                  <c:v>1.7320007754510544E+21</c:v>
                </c:pt>
                <c:pt idx="102">
                  <c:v>1.7274347626106729E+21</c:v>
                </c:pt>
                <c:pt idx="103">
                  <c:v>1.7228744835730251E+21</c:v>
                </c:pt>
                <c:pt idx="104">
                  <c:v>1.718320064949505E+21</c:v>
                </c:pt>
                <c:pt idx="105">
                  <c:v>1.7137716303116449E+21</c:v>
                </c:pt>
                <c:pt idx="106">
                  <c:v>1.7092293002576281E+21</c:v>
                </c:pt>
                <c:pt idx="107">
                  <c:v>1.7046931924787939E+21</c:v>
                </c:pt>
                <c:pt idx="108">
                  <c:v>1.7001634218261514E+21</c:v>
                </c:pt>
                <c:pt idx="109">
                  <c:v>1.6956400973403041E+21</c:v>
                </c:pt>
                <c:pt idx="110">
                  <c:v>1.691123330059823E+21</c:v>
                </c:pt>
                <c:pt idx="111">
                  <c:v>1.6866132262497058E+21</c:v>
                </c:pt>
                <c:pt idx="112">
                  <c:v>1.6821098894943686E+21</c:v>
                </c:pt>
                <c:pt idx="113">
                  <c:v>1.677613420751212E+21</c:v>
                </c:pt>
                <c:pt idx="114">
                  <c:v>1.6731239184041892E+21</c:v>
                </c:pt>
                <c:pt idx="115">
                  <c:v>1.6686414783173739E+21</c:v>
                </c:pt>
                <c:pt idx="116">
                  <c:v>1.6641661938885282E+21</c:v>
                </c:pt>
                <c:pt idx="117">
                  <c:v>1.6596981561026696E+21</c:v>
                </c:pt>
                <c:pt idx="118">
                  <c:v>1.6552374535856403E+21</c:v>
                </c:pt>
                <c:pt idx="119">
                  <c:v>1.6507841726576725E+21</c:v>
                </c:pt>
                <c:pt idx="120">
                  <c:v>1.646338397386959E+21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courbes!$AG$1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courbes!$AG$2:$AG$51</c:f>
              <c:numCache>
                <c:formatCode>0.0000E+00</c:formatCode>
                <c:ptCount val="50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courbes!$AS$1</c:f>
              <c:strCache>
                <c:ptCount val="1"/>
                <c:pt idx="0">
                  <c:v>VESTA - Pu239 </c:v>
                </c:pt>
              </c:strCache>
            </c:strRef>
          </c:tx>
          <c:spPr>
            <a:ln w="28575">
              <a:noFill/>
            </a:ln>
          </c:spP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courbes!$AS$2:$AS$8</c:f>
              <c:numCache>
                <c:formatCode>0.0000E+00</c:formatCode>
                <c:ptCount val="7"/>
                <c:pt idx="0">
                  <c:v>2.1782E+21</c:v>
                </c:pt>
                <c:pt idx="1">
                  <c:v>2.1686844320889595E+21</c:v>
                </c:pt>
                <c:pt idx="2">
                  <c:v>2.1574387609213665E+21</c:v>
                </c:pt>
                <c:pt idx="3">
                  <c:v>2.1323522637013506E+21</c:v>
                </c:pt>
                <c:pt idx="4">
                  <c:v>2.0882346306592535E+21</c:v>
                </c:pt>
                <c:pt idx="5">
                  <c:v>1.9446360603653696E+21</c:v>
                </c:pt>
                <c:pt idx="6">
                  <c:v>1.705016759332804E+21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courbes!$C$1</c:f>
              <c:strCache>
                <c:ptCount val="1"/>
                <c:pt idx="0">
                  <c:v>RK1 - Pu239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courbes!$C$2:$C$136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59296"/>
        <c:axId val="91961216"/>
      </c:scatterChart>
      <c:valAx>
        <c:axId val="91959296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91961216"/>
        <c:crosses val="autoZero"/>
        <c:crossBetween val="midCat"/>
      </c:valAx>
      <c:valAx>
        <c:axId val="91961216"/>
        <c:scaling>
          <c:orientation val="minMax"/>
          <c:min val="1.5E+2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0.0000E+00" sourceLinked="1"/>
        <c:majorTickMark val="out"/>
        <c:minorTickMark val="none"/>
        <c:tickLblPos val="nextTo"/>
        <c:crossAx val="919592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le Pu240</a:t>
            </a:r>
            <a:endParaRPr lang="fr-FR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courbes!$Y$1</c:f>
              <c:strCache>
                <c:ptCount val="1"/>
                <c:pt idx="0">
                  <c:v>Exact Simpl. - Pu240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courbes!$Y$2:$Y$136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7.2682807598096056E+20</c:v>
                </c:pt>
                <c:pt idx="2">
                  <c:v>7.3015472627317447E+20</c:v>
                </c:pt>
                <c:pt idx="3">
                  <c:v>7.3344016180784988E+20</c:v>
                </c:pt>
                <c:pt idx="4">
                  <c:v>7.3668453898356916E+20</c:v>
                </c:pt>
                <c:pt idx="5">
                  <c:v>7.3988801745542329E+20</c:v>
                </c:pt>
                <c:pt idx="6">
                  <c:v>7.4305076002275328E+20</c:v>
                </c:pt>
                <c:pt idx="7">
                  <c:v>7.4617293251933753E+20</c:v>
                </c:pt>
                <c:pt idx="8">
                  <c:v>7.4925470370597044E+20</c:v>
                </c:pt>
                <c:pt idx="9">
                  <c:v>7.52296245165392E+20</c:v>
                </c:pt>
                <c:pt idx="10">
                  <c:v>7.5529773119952742E+20</c:v>
                </c:pt>
                <c:pt idx="11">
                  <c:v>7.5825933872898428E+20</c:v>
                </c:pt>
                <c:pt idx="12">
                  <c:v>7.6118124719477306E+20</c:v>
                </c:pt>
                <c:pt idx="13">
                  <c:v>7.6406363846220487E+20</c:v>
                </c:pt>
                <c:pt idx="14">
                  <c:v>7.6690669672692554E+20</c:v>
                </c:pt>
                <c:pt idx="15">
                  <c:v>7.6971060842304478E+20</c:v>
                </c:pt>
                <c:pt idx="16">
                  <c:v>7.7247556213332273E+20</c:v>
                </c:pt>
                <c:pt idx="17">
                  <c:v>7.7520174850137365E+20</c:v>
                </c:pt>
                <c:pt idx="18">
                  <c:v>7.7788936014584676E+20</c:v>
                </c:pt>
                <c:pt idx="19">
                  <c:v>7.8053859157654805E+20</c:v>
                </c:pt>
                <c:pt idx="20">
                  <c:v>7.8314963911246597E+20</c:v>
                </c:pt>
                <c:pt idx="21">
                  <c:v>7.8572270080166343E+20</c:v>
                </c:pt>
                <c:pt idx="22">
                  <c:v>7.8825797634300078E+20</c:v>
                </c:pt>
                <c:pt idx="23">
                  <c:v>7.9075566700965488E+20</c:v>
                </c:pt>
                <c:pt idx="24">
                  <c:v>7.9321597557439883E+20</c:v>
                </c:pt>
                <c:pt idx="25">
                  <c:v>7.9563910623660763E+20</c:v>
                </c:pt>
                <c:pt idx="26">
                  <c:v>7.9802526455096082E+20</c:v>
                </c:pt>
                <c:pt idx="27">
                  <c:v>8.0037465735780106E+20</c:v>
                </c:pt>
                <c:pt idx="28">
                  <c:v>8.0268749271512488E+20</c:v>
                </c:pt>
                <c:pt idx="29">
                  <c:v>8.0496397983216907E+20</c:v>
                </c:pt>
                <c:pt idx="30">
                  <c:v>8.0720432900456173E+20</c:v>
                </c:pt>
                <c:pt idx="31">
                  <c:v>8.0940875155100874E+20</c:v>
                </c:pt>
                <c:pt idx="32">
                  <c:v>8.1157745975148741E+20</c:v>
                </c:pt>
                <c:pt idx="33">
                  <c:v>8.1371066678691155E+20</c:v>
                </c:pt>
                <c:pt idx="34">
                  <c:v>8.1580858668024778E+20</c:v>
                </c:pt>
                <c:pt idx="35">
                  <c:v>8.1787143423904422E+20</c:v>
                </c:pt>
                <c:pt idx="36">
                  <c:v>8.1989942499935571E+20</c:v>
                </c:pt>
                <c:pt idx="37">
                  <c:v>8.218927751710258E+20</c:v>
                </c:pt>
                <c:pt idx="38">
                  <c:v>8.2385170158430899E+20</c:v>
                </c:pt>
                <c:pt idx="39">
                  <c:v>8.2577642163779863E+20</c:v>
                </c:pt>
                <c:pt idx="40">
                  <c:v>8.2766715324764075E+20</c:v>
                </c:pt>
                <c:pt idx="41">
                  <c:v>8.2952411479800414E+20</c:v>
                </c:pt>
                <c:pt idx="42">
                  <c:v>8.3134752509278251E+20</c:v>
                </c:pt>
                <c:pt idx="43">
                  <c:v>8.3313760330850697E+20</c:v>
                </c:pt>
                <c:pt idx="44">
                  <c:v>8.3489456894843945E+20</c:v>
                </c:pt>
                <c:pt idx="45">
                  <c:v>8.3661864179782818E+20</c:v>
                </c:pt>
                <c:pt idx="46">
                  <c:v>8.3831004188029839E+20</c:v>
                </c:pt>
                <c:pt idx="47">
                  <c:v>8.3996898941535951E+20</c:v>
                </c:pt>
                <c:pt idx="48">
                  <c:v>8.4159570477699983E+20</c:v>
                </c:pt>
                <c:pt idx="49">
                  <c:v>8.4319040845335482E+20</c:v>
                </c:pt>
                <c:pt idx="50">
                  <c:v>8.447533210074191E+20</c:v>
                </c:pt>
                <c:pt idx="51">
                  <c:v>8.4628466303878798E+20</c:v>
                </c:pt>
                <c:pt idx="52">
                  <c:v>8.4778465514640245E+20</c:v>
                </c:pt>
                <c:pt idx="53">
                  <c:v>8.4925351789228196E+20</c:v>
                </c:pt>
                <c:pt idx="54">
                  <c:v>8.506914717662169E+20</c:v>
                </c:pt>
                <c:pt idx="55">
                  <c:v>8.5209873715141332E+20</c:v>
                </c:pt>
                <c:pt idx="56">
                  <c:v>8.5347553429105659E+20</c:v>
                </c:pt>
                <c:pt idx="57">
                  <c:v>8.5482208325578811E+20</c:v>
                </c:pt>
                <c:pt idx="58">
                  <c:v>8.5613860391206401E+20</c:v>
                </c:pt>
                <c:pt idx="59">
                  <c:v>8.5742531589138874E+20</c:v>
                </c:pt>
                <c:pt idx="60">
                  <c:v>8.5868243856039752E+20</c:v>
                </c:pt>
                <c:pt idx="61">
                  <c:v>8.5991019099177379E+20</c:v>
                </c:pt>
                <c:pt idx="62">
                  <c:v>8.6110879193598381E+20</c:v>
                </c:pt>
                <c:pt idx="63">
                  <c:v>8.6227845979380947E+20</c:v>
                </c:pt>
                <c:pt idx="64">
                  <c:v>8.6341941258966702E+20</c:v>
                </c:pt>
                <c:pt idx="65">
                  <c:v>8.6453186794568889E+20</c:v>
                </c:pt>
                <c:pt idx="66">
                  <c:v>8.6561604305655955E+20</c:v>
                </c:pt>
                <c:pt idx="67">
                  <c:v>8.666721546650836E+20</c:v>
                </c:pt>
                <c:pt idx="68">
                  <c:v>8.6770041903847453E+20</c:v>
                </c:pt>
                <c:pt idx="69">
                  <c:v>8.6870105194534771E+20</c:v>
                </c:pt>
                <c:pt idx="70">
                  <c:v>8.6967426863340139E+20</c:v>
                </c:pt>
                <c:pt idx="71">
                  <c:v>8.7062028380777467E+20</c:v>
                </c:pt>
                <c:pt idx="72">
                  <c:v>8.7153931161006152E+20</c:v>
                </c:pt>
                <c:pt idx="73">
                  <c:v>8.7243156559797761E+20</c:v>
                </c:pt>
                <c:pt idx="74">
                  <c:v>8.7329725872565112E+20</c:v>
                </c:pt>
                <c:pt idx="75">
                  <c:v>8.7413660332453986E+20</c:v>
                </c:pt>
                <c:pt idx="76">
                  <c:v>8.7494981108494919E+20</c:v>
                </c:pt>
                <c:pt idx="77">
                  <c:v>8.7573709303814475E+20</c:v>
                </c:pt>
                <c:pt idx="78">
                  <c:v>8.7649865953904309E+20</c:v>
                </c:pt>
                <c:pt idx="79">
                  <c:v>8.772347202494717E+20</c:v>
                </c:pt>
                <c:pt idx="80">
                  <c:v>8.7794548412198014E+20</c:v>
                </c:pt>
                <c:pt idx="81">
                  <c:v>8.7863115938419809E+20</c:v>
                </c:pt>
                <c:pt idx="82">
                  <c:v>8.7929195352372072E+20</c:v>
                </c:pt>
                <c:pt idx="83">
                  <c:v>8.7992807327351518E+20</c:v>
                </c:pt>
                <c:pt idx="84">
                  <c:v>8.8053972459783455E+20</c:v>
                </c:pt>
                <c:pt idx="85">
                  <c:v>8.8112711267862761E+20</c:v>
                </c:pt>
                <c:pt idx="86">
                  <c:v>8.8169044190243363E+20</c:v>
                </c:pt>
                <c:pt idx="87">
                  <c:v>8.8222991584775569E+20</c:v>
                </c:pt>
                <c:pt idx="88">
                  <c:v>8.8274573727289403E+20</c:v>
                </c:pt>
                <c:pt idx="89">
                  <c:v>8.8323810810423306E+20</c:v>
                </c:pt>
                <c:pt idx="90">
                  <c:v>8.8370722942497744E+20</c:v>
                </c:pt>
                <c:pt idx="91">
                  <c:v>8.8415330146431599E+20</c:v>
                </c:pt>
                <c:pt idx="92">
                  <c:v>8.8457652358701371E+20</c:v>
                </c:pt>
                <c:pt idx="93">
                  <c:v>8.8497709428341434E+20</c:v>
                </c:pt>
                <c:pt idx="94">
                  <c:v>8.8535521115985281E+20</c:v>
                </c:pt>
                <c:pt idx="95">
                  <c:v>8.8571107092945961E+20</c:v>
                </c:pt>
                <c:pt idx="96">
                  <c:v>8.8604486940335355E+20</c:v>
                </c:pt>
                <c:pt idx="97">
                  <c:v>8.8635680148221329E+20</c:v>
                </c:pt>
                <c:pt idx="98">
                  <c:v>8.8664706114821476E+20</c:v>
                </c:pt>
                <c:pt idx="99">
                  <c:v>8.8691584145733491E+20</c:v>
                </c:pt>
                <c:pt idx="100">
                  <c:v>8.8716333453200314E+20</c:v>
                </c:pt>
                <c:pt idx="101">
                  <c:v>8.8738973155409841E+20</c:v>
                </c:pt>
                <c:pt idx="102">
                  <c:v>8.8759522275828328E+20</c:v>
                </c:pt>
                <c:pt idx="103">
                  <c:v>8.8777999742566649E+20</c:v>
                </c:pt>
                <c:pt idx="104">
                  <c:v>8.8794424387778458E+20</c:v>
                </c:pt>
                <c:pt idx="105">
                  <c:v>8.8808814947089803E+20</c:v>
                </c:pt>
                <c:pt idx="106">
                  <c:v>8.8821190059059302E+20</c:v>
                </c:pt>
                <c:pt idx="107">
                  <c:v>8.883156826466804E+20</c:v>
                </c:pt>
                <c:pt idx="108">
                  <c:v>8.8839968006838918E+20</c:v>
                </c:pt>
                <c:pt idx="109">
                  <c:v>8.8846407629983895E+20</c:v>
                </c:pt>
                <c:pt idx="110">
                  <c:v>8.8850905379579599E+20</c:v>
                </c:pt>
                <c:pt idx="111">
                  <c:v>8.8853479401769547E+20</c:v>
                </c:pt>
                <c:pt idx="112">
                  <c:v>8.8854147742993102E+20</c:v>
                </c:pt>
                <c:pt idx="113">
                  <c:v>8.8852928349639882E+20</c:v>
                </c:pt>
                <c:pt idx="114">
                  <c:v>8.8849839067729848E+20</c:v>
                </c:pt>
                <c:pt idx="115">
                  <c:v>8.8844897642617281E+20</c:v>
                </c:pt>
                <c:pt idx="116">
                  <c:v>8.8838121718719159E+20</c:v>
                </c:pt>
                <c:pt idx="117">
                  <c:v>8.8829528839266815E+20</c:v>
                </c:pt>
                <c:pt idx="118">
                  <c:v>8.8819136446080116E+20</c:v>
                </c:pt>
                <c:pt idx="119">
                  <c:v>8.880696187936401E+20</c:v>
                </c:pt>
                <c:pt idx="120">
                  <c:v>8.8793022377526795E+20</c:v>
                </c:pt>
                <c:pt idx="121">
                  <c:v>8.8777335077019084E+20</c:v>
                </c:pt>
                <c:pt idx="122">
                  <c:v>8.8759917012193955E+20</c:v>
                </c:pt>
                <c:pt idx="123">
                  <c:v>8.8740785115186358E+20</c:v>
                </c:pt>
                <c:pt idx="124">
                  <c:v>8.8719956215812692E+20</c:v>
                </c:pt>
                <c:pt idx="125">
                  <c:v>8.8697447041489017E+20</c:v>
                </c:pt>
                <c:pt idx="126">
                  <c:v>8.8673274217167874E+20</c:v>
                </c:pt>
                <c:pt idx="127">
                  <c:v>8.864745426529321E+20</c:v>
                </c:pt>
                <c:pt idx="128">
                  <c:v>8.8620003605772698E+20</c:v>
                </c:pt>
                <c:pt idx="129">
                  <c:v>8.8590938555967367E+20</c:v>
                </c:pt>
                <c:pt idx="130">
                  <c:v>8.8560275330697554E+20</c:v>
                </c:pt>
                <c:pt idx="131">
                  <c:v>8.8528030042265485E+20</c:v>
                </c:pt>
                <c:pt idx="132">
                  <c:v>8.8494218700493252E+20</c:v>
                </c:pt>
                <c:pt idx="133">
                  <c:v>8.8458857212776271E+20</c:v>
                </c:pt>
                <c:pt idx="134">
                  <c:v>8.8421961384151613E+20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courbes!$M$1</c:f>
              <c:strCache>
                <c:ptCount val="1"/>
                <c:pt idx="0">
                  <c:v>O5 - N(Pu240)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courbes!$M$2:$M$122</c:f>
              <c:numCache>
                <c:formatCode>0.0000E+00</c:formatCode>
                <c:ptCount val="121"/>
                <c:pt idx="0">
                  <c:v>7.2346005790387942E+20</c:v>
                </c:pt>
                <c:pt idx="1">
                  <c:v>7.2682807612617982E+20</c:v>
                </c:pt>
                <c:pt idx="2">
                  <c:v>7.3015473124125757E+20</c:v>
                </c:pt>
                <c:pt idx="3">
                  <c:v>7.3344018263798107E+20</c:v>
                </c:pt>
                <c:pt idx="4">
                  <c:v>7.3668459278687352E+20</c:v>
                </c:pt>
                <c:pt idx="5">
                  <c:v>7.3988812712671406E+20</c:v>
                </c:pt>
                <c:pt idx="6">
                  <c:v>7.4305095395113737E+20</c:v>
                </c:pt>
                <c:pt idx="7">
                  <c:v>7.4617324429523367E+20</c:v>
                </c:pt>
                <c:pt idx="8">
                  <c:v>7.492551718221493E+20</c:v>
                </c:pt>
                <c:pt idx="9">
                  <c:v>7.5229691270968653E+20</c:v>
                </c:pt>
                <c:pt idx="10">
                  <c:v>7.5529864553690431E+20</c:v>
                </c:pt>
                <c:pt idx="11">
                  <c:v>7.582605511707166E+20</c:v>
                </c:pt>
                <c:pt idx="12">
                  <c:v>7.6118281265249518E+20</c:v>
                </c:pt>
                <c:pt idx="13">
                  <c:v>7.640656214951896E+20</c:v>
                </c:pt>
                <c:pt idx="14">
                  <c:v>7.6690916120853873E+20</c:v>
                </c:pt>
                <c:pt idx="15">
                  <c:v>7.6971362164908543E+20</c:v>
                </c:pt>
                <c:pt idx="16">
                  <c:v>7.7247919461622691E+20</c:v>
                </c:pt>
                <c:pt idx="17">
                  <c:v>7.7520607376573871E+20</c:v>
                </c:pt>
                <c:pt idx="18">
                  <c:v>7.7789445452329412E+20</c:v>
                </c:pt>
                <c:pt idx="19">
                  <c:v>7.8054453399798966E+20</c:v>
                </c:pt>
                <c:pt idx="20">
                  <c:v>7.8315651089586507E+20</c:v>
                </c:pt>
                <c:pt idx="21">
                  <c:v>7.8573058543342636E+20</c:v>
                </c:pt>
                <c:pt idx="22">
                  <c:v>7.882669592511679E+20</c:v>
                </c:pt>
                <c:pt idx="23">
                  <c:v>7.9076583532709544E+20</c:v>
                </c:pt>
                <c:pt idx="24">
                  <c:v>7.9322741789024675E+20</c:v>
                </c:pt>
                <c:pt idx="25">
                  <c:v>7.9565191734551446E+20</c:v>
                </c:pt>
                <c:pt idx="26">
                  <c:v>7.9803953739769446E+20</c:v>
                </c:pt>
                <c:pt idx="27">
                  <c:v>8.0039048627031874E+20</c:v>
                </c:pt>
                <c:pt idx="28">
                  <c:v>8.0270497326566631E+20</c:v>
                </c:pt>
                <c:pt idx="29">
                  <c:v>8.0498320869934144E+20</c:v>
                </c:pt>
                <c:pt idx="30">
                  <c:v>8.0722540383485729E+20</c:v>
                </c:pt>
                <c:pt idx="31">
                  <c:v>8.0943177081821633E+20</c:v>
                </c:pt>
                <c:pt idx="32">
                  <c:v>8.1160252261248899E+20</c:v>
                </c:pt>
                <c:pt idx="33">
                  <c:v>8.1373787293239843E+20</c:v>
                </c:pt>
                <c:pt idx="34">
                  <c:v>8.1583803617889826E+20</c:v>
                </c:pt>
                <c:pt idx="35">
                  <c:v>8.179032273737557E+20</c:v>
                </c:pt>
                <c:pt idx="36">
                  <c:v>8.1993366209413133E+20</c:v>
                </c:pt>
                <c:pt idx="37">
                  <c:v>8.2192956032911986E+20</c:v>
                </c:pt>
                <c:pt idx="38">
                  <c:v>8.2389113640512612E+20</c:v>
                </c:pt>
                <c:pt idx="39">
                  <c:v>8.2581860776799909E+20</c:v>
                </c:pt>
                <c:pt idx="40">
                  <c:v>8.2771219229319365E+20</c:v>
                </c:pt>
                <c:pt idx="41">
                  <c:v>8.2957210823683159E+20</c:v>
                </c:pt>
                <c:pt idx="42">
                  <c:v>8.3139857418676575E+20</c:v>
                </c:pt>
                <c:pt idx="43">
                  <c:v>8.3319180901364086E+20</c:v>
                </c:pt>
                <c:pt idx="44">
                  <c:v>8.3495203182195717E+20</c:v>
                </c:pt>
                <c:pt idx="45">
                  <c:v>8.3667946190113263E+20</c:v>
                </c:pt>
                <c:pt idx="46">
                  <c:v>8.3837431867656477E+20</c:v>
                </c:pt>
                <c:pt idx="47">
                  <c:v>8.4003682166069304E+20</c:v>
                </c:pt>
                <c:pt idx="48">
                  <c:v>8.4166719040406251E+20</c:v>
                </c:pt>
                <c:pt idx="49">
                  <c:v>8.4326564751520236E+20</c:v>
                </c:pt>
                <c:pt idx="50">
                  <c:v>8.448324107795493E+20</c:v>
                </c:pt>
                <c:pt idx="51">
                  <c:v>8.463677000337971E+20</c:v>
                </c:pt>
                <c:pt idx="52">
                  <c:v>8.4787173506328114E+20</c:v>
                </c:pt>
                <c:pt idx="53">
                  <c:v>8.4934473556592833E+20</c:v>
                </c:pt>
                <c:pt idx="54">
                  <c:v>8.5078692111621004E+20</c:v>
                </c:pt>
                <c:pt idx="55">
                  <c:v>8.5219851112909216E+20</c:v>
                </c:pt>
                <c:pt idx="56">
                  <c:v>8.5357972482398736E+20</c:v>
                </c:pt>
                <c:pt idx="57">
                  <c:v>8.5493078118870483E+20</c:v>
                </c:pt>
                <c:pt idx="58">
                  <c:v>8.5625189894340438E+20</c:v>
                </c:pt>
                <c:pt idx="59">
                  <c:v>8.5754329650454449E+20</c:v>
                </c:pt>
                <c:pt idx="60">
                  <c:v>8.5880519194883575E+20</c:v>
                </c:pt>
                <c:pt idx="61">
                  <c:v>8.600378053747325E+20</c:v>
                </c:pt>
                <c:pt idx="62">
                  <c:v>8.6124135274700394E+20</c:v>
                </c:pt>
                <c:pt idx="63">
                  <c:v>8.6241605127025407E+20</c:v>
                </c:pt>
                <c:pt idx="64">
                  <c:v>8.6356211774811144E+20</c:v>
                </c:pt>
                <c:pt idx="65">
                  <c:v>8.6467976855723875E+20</c:v>
                </c:pt>
                <c:pt idx="66">
                  <c:v>8.6576921962134084E+20</c:v>
                </c:pt>
                <c:pt idx="67">
                  <c:v>8.66830686385175E+20</c:v>
                </c:pt>
                <c:pt idx="68">
                  <c:v>8.6786438378855858E+20</c:v>
                </c:pt>
                <c:pt idx="69">
                  <c:v>8.6887052624037911E+20</c:v>
                </c:pt>
                <c:pt idx="70">
                  <c:v>8.6984932759260208E+20</c:v>
                </c:pt>
                <c:pt idx="71">
                  <c:v>8.7080100111428026E+20</c:v>
                </c:pt>
                <c:pt idx="72">
                  <c:v>8.7172575946556414E+20</c:v>
                </c:pt>
                <c:pt idx="73">
                  <c:v>8.726238165392809E+20</c:v>
                </c:pt>
                <c:pt idx="74">
                  <c:v>8.7349538266765958E+20</c:v>
                </c:pt>
                <c:pt idx="75">
                  <c:v>8.7434066881102637E+20</c:v>
                </c:pt>
                <c:pt idx="76">
                  <c:v>8.7515988528138342E+20</c:v>
                </c:pt>
                <c:pt idx="77">
                  <c:v>8.7595324172423804E+20</c:v>
                </c:pt>
                <c:pt idx="78">
                  <c:v>8.7672094710043155E+20</c:v>
                </c:pt>
                <c:pt idx="79">
                  <c:v>8.7746320966796863E+20</c:v>
                </c:pt>
                <c:pt idx="80">
                  <c:v>8.7818023696384616E+20</c:v>
                </c:pt>
                <c:pt idx="81">
                  <c:v>8.7887223578588191E+20</c:v>
                </c:pt>
                <c:pt idx="82">
                  <c:v>8.7953941217454431E+20</c:v>
                </c:pt>
                <c:pt idx="83">
                  <c:v>8.8018197139478059E+20</c:v>
                </c:pt>
                <c:pt idx="84">
                  <c:v>8.8080011791784647E+20</c:v>
                </c:pt>
                <c:pt idx="85">
                  <c:v>8.8139405685140305E+20</c:v>
                </c:pt>
                <c:pt idx="86">
                  <c:v>8.8196399022376957E+20</c:v>
                </c:pt>
                <c:pt idx="87">
                  <c:v>8.8251012023514694E+20</c:v>
                </c:pt>
                <c:pt idx="88">
                  <c:v>8.8303264826932134E+20</c:v>
                </c:pt>
                <c:pt idx="89">
                  <c:v>8.8353177488154244E+20</c:v>
                </c:pt>
                <c:pt idx="90">
                  <c:v>8.840076997864004E+20</c:v>
                </c:pt>
                <c:pt idx="91">
                  <c:v>8.8446062184570461E+20</c:v>
                </c:pt>
                <c:pt idx="92">
                  <c:v>8.8489073905636042E+20</c:v>
                </c:pt>
                <c:pt idx="93">
                  <c:v>8.8529824853824753E+20</c:v>
                </c:pt>
                <c:pt idx="94">
                  <c:v>8.8568334652209837E+20</c:v>
                </c:pt>
                <c:pt idx="95">
                  <c:v>8.8604622833737413E+20</c:v>
                </c:pt>
                <c:pt idx="96">
                  <c:v>8.8638708840014453E+20</c:v>
                </c:pt>
                <c:pt idx="97">
                  <c:v>8.8670612131716216E+20</c:v>
                </c:pt>
                <c:pt idx="98">
                  <c:v>8.8700351902331686E+20</c:v>
                </c:pt>
                <c:pt idx="99">
                  <c:v>8.8727947329029656E+20</c:v>
                </c:pt>
                <c:pt idx="100">
                  <c:v>8.8753417496631955E+20</c:v>
                </c:pt>
                <c:pt idx="101">
                  <c:v>8.8776781396865883E+20</c:v>
                </c:pt>
                <c:pt idx="102">
                  <c:v>8.8798057927616496E+20</c:v>
                </c:pt>
                <c:pt idx="103">
                  <c:v>8.881726589217909E+20</c:v>
                </c:pt>
                <c:pt idx="104">
                  <c:v>8.8834423998511487E+20</c:v>
                </c:pt>
                <c:pt idx="105">
                  <c:v>8.8849550858486442E+20</c:v>
                </c:pt>
                <c:pt idx="106">
                  <c:v>8.8862664987144002E+20</c:v>
                </c:pt>
                <c:pt idx="107">
                  <c:v>8.8873784801943958E+20</c:v>
                </c:pt>
                <c:pt idx="108">
                  <c:v>8.8882928622018088E+20</c:v>
                </c:pt>
                <c:pt idx="109">
                  <c:v>8.8890114752747681E+20</c:v>
                </c:pt>
                <c:pt idx="110">
                  <c:v>8.8895361267056181E+20</c:v>
                </c:pt>
                <c:pt idx="111">
                  <c:v>8.8898686197459386E+20</c:v>
                </c:pt>
                <c:pt idx="112">
                  <c:v>8.8900107478081575E+20</c:v>
                </c:pt>
                <c:pt idx="113">
                  <c:v>8.8899642944261469E+20</c:v>
                </c:pt>
                <c:pt idx="114">
                  <c:v>8.8897310332158175E+20</c:v>
                </c:pt>
                <c:pt idx="115">
                  <c:v>8.8893127278357106E+20</c:v>
                </c:pt>
                <c:pt idx="116">
                  <c:v>8.8887111319475978E+20</c:v>
                </c:pt>
                <c:pt idx="117">
                  <c:v>8.8879279891770691E+20</c:v>
                </c:pt>
                <c:pt idx="118">
                  <c:v>8.8869650330741323E+20</c:v>
                </c:pt>
                <c:pt idx="119">
                  <c:v>8.8858239870737999E+20</c:v>
                </c:pt>
                <c:pt idx="120">
                  <c:v>8.8845065644566983E+20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courbes!$AH$1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courbes!$AH$2:$AH$51</c:f>
              <c:numCache>
                <c:formatCode>0.0000E+00</c:formatCode>
                <c:ptCount val="50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courbes!$AT$1</c:f>
              <c:strCache>
                <c:ptCount val="1"/>
                <c:pt idx="0">
                  <c:v>VESTA - Pu240 </c:v>
                </c:pt>
              </c:strCache>
            </c:strRef>
          </c:tx>
          <c:spPr>
            <a:ln w="28575">
              <a:noFill/>
            </a:ln>
          </c:spP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courbes!$AT$2:$AT$8</c:f>
              <c:numCache>
                <c:formatCode>0.0000E+00</c:formatCode>
                <c:ptCount val="7"/>
                <c:pt idx="0">
                  <c:v>7.2346005790387942E+20</c:v>
                </c:pt>
                <c:pt idx="1">
                  <c:v>7.3064015892098122E+20</c:v>
                </c:pt>
                <c:pt idx="2">
                  <c:v>7.4439481026699539E+20</c:v>
                </c:pt>
                <c:pt idx="3">
                  <c:v>7.7207712744136363E+20</c:v>
                </c:pt>
                <c:pt idx="4">
                  <c:v>8.1351409596174592E+20</c:v>
                </c:pt>
                <c:pt idx="5">
                  <c:v>9.0573081504886017E+20</c:v>
                </c:pt>
                <c:pt idx="6">
                  <c:v>9.7320646316138273E+20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courbes!$D$1</c:f>
              <c:strCache>
                <c:ptCount val="1"/>
                <c:pt idx="0">
                  <c:v>RK1 - Pu240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courbes!$D$2:$D$136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091904"/>
        <c:axId val="92093824"/>
      </c:scatterChart>
      <c:valAx>
        <c:axId val="92091904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92093824"/>
        <c:crosses val="autoZero"/>
        <c:crossBetween val="midCat"/>
      </c:valAx>
      <c:valAx>
        <c:axId val="92093824"/>
        <c:scaling>
          <c:orientation val="minMax"/>
          <c:min val="6.5E+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0.0000E+00" sourceLinked="1"/>
        <c:majorTickMark val="out"/>
        <c:minorTickMark val="none"/>
        <c:tickLblPos val="nextTo"/>
        <c:crossAx val="920919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le Pu241</a:t>
            </a:r>
            <a:endParaRPr lang="fr-FR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courbes!$Z$1</c:f>
              <c:strCache>
                <c:ptCount val="1"/>
                <c:pt idx="0">
                  <c:v>Exact Simpl. - Pu241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courbes!$Z$2:$Z$136</c:f>
              <c:numCache>
                <c:formatCode>0.0000E+00</c:formatCode>
                <c:ptCount val="135"/>
                <c:pt idx="0">
                  <c:v>1.5072084539664164E+20</c:v>
                </c:pt>
                <c:pt idx="1">
                  <c:v>1.4918954580386575E+20</c:v>
                </c:pt>
                <c:pt idx="2">
                  <c:v>1.4771760758840413E+20</c:v>
                </c:pt>
                <c:pt idx="3">
                  <c:v>1.4630309124609373E+20</c:v>
                </c:pt>
                <c:pt idx="4">
                  <c:v>1.4494411575906207E+20</c:v>
                </c:pt>
                <c:pt idx="5">
                  <c:v>1.4363885686467772E+20</c:v>
                </c:pt>
                <c:pt idx="6">
                  <c:v>1.423855453756725E+20</c:v>
                </c:pt>
                <c:pt idx="7">
                  <c:v>1.4118246554991917E+20</c:v>
                </c:pt>
                <c:pt idx="8">
                  <c:v>1.4002795350839352E+20</c:v>
                </c:pt>
                <c:pt idx="9">
                  <c:v>1.3892039569989236E+20</c:v>
                </c:pt>
                <c:pt idx="10">
                  <c:v>1.3785822741112339E+20</c:v>
                </c:pt>
                <c:pt idx="11">
                  <c:v>1.3683993132082201E+20</c:v>
                </c:pt>
                <c:pt idx="12">
                  <c:v>1.3586403609659148E+20</c:v>
                </c:pt>
                <c:pt idx="13">
                  <c:v>1.3492911503320053E+20</c:v>
                </c:pt>
                <c:pt idx="14">
                  <c:v>1.3403378473111129E+20</c:v>
                </c:pt>
                <c:pt idx="15">
                  <c:v>1.3317670381404568E+20</c:v>
                </c:pt>
                <c:pt idx="16">
                  <c:v>1.3235657168443367E+20</c:v>
                </c:pt>
                <c:pt idx="17">
                  <c:v>1.3157212731562353E+20</c:v>
                </c:pt>
                <c:pt idx="18">
                  <c:v>1.3082214807976354E+20</c:v>
                </c:pt>
                <c:pt idx="19">
                  <c:v>1.3010544861030072E+20</c:v>
                </c:pt>
                <c:pt idx="20">
                  <c:v>1.2942087969807119E+20</c:v>
                </c:pt>
                <c:pt idx="21">
                  <c:v>1.2876732721998756E+20</c:v>
                </c:pt>
                <c:pt idx="22">
                  <c:v>1.281437110993592E+20</c:v>
                </c:pt>
                <c:pt idx="23">
                  <c:v>1.2754898429690908E+20</c:v>
                </c:pt>
                <c:pt idx="24">
                  <c:v>1.2698213183157833E+20</c:v>
                </c:pt>
                <c:pt idx="25">
                  <c:v>1.264421698302375E+20</c:v>
                </c:pt>
                <c:pt idx="26">
                  <c:v>1.2592814460544947E+20</c:v>
                </c:pt>
                <c:pt idx="27">
                  <c:v>1.2543913176045348E+20</c:v>
                </c:pt>
                <c:pt idx="28">
                  <c:v>1.2497423532056551E+20</c:v>
                </c:pt>
                <c:pt idx="29">
                  <c:v>1.2453258689021374E+20</c:v>
                </c:pt>
                <c:pt idx="30">
                  <c:v>1.2411334483484996E+20</c:v>
                </c:pt>
                <c:pt idx="31">
                  <c:v>1.237156934870025E+20</c:v>
                </c:pt>
                <c:pt idx="32">
                  <c:v>1.2333884237575623E+20</c:v>
                </c:pt>
                <c:pt idx="33">
                  <c:v>1.2298202547896612E+20</c:v>
                </c:pt>
                <c:pt idx="34">
                  <c:v>1.2264450049753385E+20</c:v>
                </c:pt>
                <c:pt idx="35">
                  <c:v>1.2232554815109372E+20</c:v>
                </c:pt>
                <c:pt idx="36">
                  <c:v>1.2202447149447591E+20</c:v>
                </c:pt>
                <c:pt idx="37">
                  <c:v>1.2174059525433211E+20</c:v>
                </c:pt>
                <c:pt idx="38">
                  <c:v>1.2147326518532859E+20</c:v>
                </c:pt>
                <c:pt idx="39">
                  <c:v>1.2122184744532797E+20</c:v>
                </c:pt>
                <c:pt idx="40">
                  <c:v>1.2098572798899788E+20</c:v>
                </c:pt>
                <c:pt idx="41">
                  <c:v>1.2076431197930367E+20</c:v>
                </c:pt>
                <c:pt idx="42">
                  <c:v>1.2055702321635487E+20</c:v>
                </c:pt>
                <c:pt idx="43">
                  <c:v>1.203633035830946E+20</c:v>
                </c:pt>
                <c:pt idx="44">
                  <c:v>1.2018261250733274E+20</c:v>
                </c:pt>
                <c:pt idx="45">
                  <c:v>1.2001442643964145E+20</c:v>
                </c:pt>
                <c:pt idx="46">
                  <c:v>1.198582383466437E+20</c:v>
                </c:pt>
                <c:pt idx="47">
                  <c:v>1.1971355721924079E+20</c:v>
                </c:pt>
                <c:pt idx="48">
                  <c:v>1.1957990759533756E+20</c:v>
                </c:pt>
                <c:pt idx="49">
                  <c:v>1.1945682909663679E+20</c:v>
                </c:pt>
                <c:pt idx="50">
                  <c:v>1.1934387597908858E+20</c:v>
                </c:pt>
                <c:pt idx="51">
                  <c:v>1.1924061669659034E+20</c:v>
                </c:pt>
                <c:pt idx="52">
                  <c:v>1.1914663347754736E+20</c:v>
                </c:pt>
                <c:pt idx="53">
                  <c:v>1.1906152191391354E+20</c:v>
                </c:pt>
                <c:pt idx="54">
                  <c:v>1.1898489056234448E+20</c:v>
                </c:pt>
                <c:pt idx="55">
                  <c:v>1.1891636055710592E+20</c:v>
                </c:pt>
                <c:pt idx="56">
                  <c:v>1.188555652343893E+20</c:v>
                </c:pt>
                <c:pt idx="57">
                  <c:v>1.1880214976769994E+20</c:v>
                </c:pt>
                <c:pt idx="58">
                  <c:v>1.1875577081398911E+20</c:v>
                </c:pt>
                <c:pt idx="59">
                  <c:v>1.1871609617021479E+20</c:v>
                </c:pt>
                <c:pt idx="60">
                  <c:v>1.1868280444002273E+20</c:v>
                </c:pt>
                <c:pt idx="61">
                  <c:v>1.1865558471024946E+20</c:v>
                </c:pt>
                <c:pt idx="62">
                  <c:v>1.1863413623695776E+20</c:v>
                </c:pt>
                <c:pt idx="63">
                  <c:v>1.1861816814072344E+20</c:v>
                </c:pt>
                <c:pt idx="64">
                  <c:v>1.1860739911090088E+20</c:v>
                </c:pt>
                <c:pt idx="65">
                  <c:v>1.1860155711860258E+20</c:v>
                </c:pt>
                <c:pt idx="66">
                  <c:v>1.1860037913813595E+20</c:v>
                </c:pt>
                <c:pt idx="67">
                  <c:v>1.1860361087664765E+20</c:v>
                </c:pt>
                <c:pt idx="68">
                  <c:v>1.1861100651173439E+20</c:v>
                </c:pt>
                <c:pt idx="69">
                  <c:v>1.1862232843678505E+20</c:v>
                </c:pt>
                <c:pt idx="70">
                  <c:v>1.186373470138262E+20</c:v>
                </c:pt>
                <c:pt idx="71">
                  <c:v>1.186558403336504E+20</c:v>
                </c:pt>
                <c:pt idx="72">
                  <c:v>1.1867759398301221E+20</c:v>
                </c:pt>
                <c:pt idx="73">
                  <c:v>1.1870240081868459E+20</c:v>
                </c:pt>
                <c:pt idx="74">
                  <c:v>1.1873006074817259E+20</c:v>
                </c:pt>
                <c:pt idx="75">
                  <c:v>1.1876038051688931E+20</c:v>
                </c:pt>
                <c:pt idx="76">
                  <c:v>1.1879317350160332E+20</c:v>
                </c:pt>
                <c:pt idx="77">
                  <c:v>1.1882825950997286E+20</c:v>
                </c:pt>
                <c:pt idx="78">
                  <c:v>1.1886546458598811E+20</c:v>
                </c:pt>
                <c:pt idx="79">
                  <c:v>1.1890462082114712E+20</c:v>
                </c:pt>
                <c:pt idx="80">
                  <c:v>1.189455661711971E+20</c:v>
                </c:pt>
                <c:pt idx="81">
                  <c:v>1.1898814427827687E+20</c:v>
                </c:pt>
                <c:pt idx="82">
                  <c:v>1.190322042983019E+20</c:v>
                </c:pt>
                <c:pt idx="83">
                  <c:v>1.1907760073343774E+20</c:v>
                </c:pt>
                <c:pt idx="84">
                  <c:v>1.191241932695118E+20</c:v>
                </c:pt>
                <c:pt idx="85">
                  <c:v>1.1917184661821848E+20</c:v>
                </c:pt>
                <c:pt idx="86">
                  <c:v>1.1922043036397658E+20</c:v>
                </c:pt>
                <c:pt idx="87">
                  <c:v>1.1926981881530237E+20</c:v>
                </c:pt>
                <c:pt idx="88">
                  <c:v>1.1931989086056546E+20</c:v>
                </c:pt>
                <c:pt idx="89">
                  <c:v>1.1937052982799806E+20</c:v>
                </c:pt>
                <c:pt idx="90">
                  <c:v>1.1942162334983358E+20</c:v>
                </c:pt>
                <c:pt idx="91">
                  <c:v>1.1947306323045278E+20</c:v>
                </c:pt>
                <c:pt idx="92">
                  <c:v>1.1952474531841909E+20</c:v>
                </c:pt>
                <c:pt idx="93">
                  <c:v>1.1957656938228944E+20</c:v>
                </c:pt>
                <c:pt idx="94">
                  <c:v>1.1962843899009004E+20</c:v>
                </c:pt>
                <c:pt idx="95">
                  <c:v>1.1968026139234807E+20</c:v>
                </c:pt>
                <c:pt idx="96">
                  <c:v>1.1973194740857641E+20</c:v>
                </c:pt>
                <c:pt idx="97">
                  <c:v>1.197834113171087E+20</c:v>
                </c:pt>
                <c:pt idx="98">
                  <c:v>1.1983457074818694E+20</c:v>
                </c:pt>
                <c:pt idx="99">
                  <c:v>1.1988534658020621E+20</c:v>
                </c:pt>
                <c:pt idx="100">
                  <c:v>1.1993566283902329E+20</c:v>
                </c:pt>
                <c:pt idx="101">
                  <c:v>1.1998544660023974E+20</c:v>
                </c:pt>
                <c:pt idx="102">
                  <c:v>1.2003462789437132E+20</c:v>
                </c:pt>
                <c:pt idx="103">
                  <c:v>1.2008313961482045E+20</c:v>
                </c:pt>
                <c:pt idx="104">
                  <c:v>1.2013091742856779E+20</c:v>
                </c:pt>
                <c:pt idx="105">
                  <c:v>1.20177899689504E+20</c:v>
                </c:pt>
                <c:pt idx="106">
                  <c:v>1.2022402735432429E+20</c:v>
                </c:pt>
                <c:pt idx="107">
                  <c:v>1.2026924390090988E+20</c:v>
                </c:pt>
                <c:pt idx="108">
                  <c:v>1.2031349524912466E+20</c:v>
                </c:pt>
                <c:pt idx="109">
                  <c:v>1.2035672968395402E+20</c:v>
                </c:pt>
                <c:pt idx="110">
                  <c:v>1.2039889778091986E+20</c:v>
                </c:pt>
                <c:pt idx="111">
                  <c:v>1.2043995233370256E+20</c:v>
                </c:pt>
                <c:pt idx="112">
                  <c:v>1.204798482839069E+20</c:v>
                </c:pt>
                <c:pt idx="113">
                  <c:v>1.2051854265290763E+20</c:v>
                </c:pt>
                <c:pt idx="114">
                  <c:v>1.2055599447571553E+20</c:v>
                </c:pt>
                <c:pt idx="115">
                  <c:v>1.2059216473680221E+20</c:v>
                </c:pt>
                <c:pt idx="116">
                  <c:v>1.2062701630782888E+20</c:v>
                </c:pt>
                <c:pt idx="117">
                  <c:v>1.2066051388722124E+20</c:v>
                </c:pt>
                <c:pt idx="118">
                  <c:v>1.2069262394153712E+20</c:v>
                </c:pt>
                <c:pt idx="119">
                  <c:v>1.2072331464857502E+20</c:v>
                </c:pt>
                <c:pt idx="120">
                  <c:v>1.2075255584217059E+20</c:v>
                </c:pt>
                <c:pt idx="121">
                  <c:v>1.2078031895863412E+20</c:v>
                </c:pt>
                <c:pt idx="122">
                  <c:v>1.2080657698477851E+20</c:v>
                </c:pt>
                <c:pt idx="123">
                  <c:v>1.2083130440749282E+20</c:v>
                </c:pt>
                <c:pt idx="124">
                  <c:v>1.208544771648153E+20</c:v>
                </c:pt>
                <c:pt idx="125">
                  <c:v>1.2087607259846215E+20</c:v>
                </c:pt>
                <c:pt idx="126">
                  <c:v>1.2089606940776926E+20</c:v>
                </c:pt>
                <c:pt idx="127">
                  <c:v>1.2091444760500602E+20</c:v>
                </c:pt>
                <c:pt idx="128">
                  <c:v>1.2093118847201983E+20</c:v>
                </c:pt>
                <c:pt idx="129">
                  <c:v>1.2094627451817388E+20</c:v>
                </c:pt>
                <c:pt idx="130">
                  <c:v>1.2095968943953904E+20</c:v>
                </c:pt>
                <c:pt idx="131">
                  <c:v>1.2097141807930397E+20</c:v>
                </c:pt>
                <c:pt idx="132">
                  <c:v>1.2098144638936692E+20</c:v>
                </c:pt>
                <c:pt idx="133">
                  <c:v>1.2098976139307545E+20</c:v>
                </c:pt>
                <c:pt idx="134">
                  <c:v>1.2099635114908013E+20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courbes!$N$1</c:f>
              <c:strCache>
                <c:ptCount val="1"/>
                <c:pt idx="0">
                  <c:v>O5 - Pu241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courbes!$N$2:$N$122</c:f>
              <c:numCache>
                <c:formatCode>0.0000E+00</c:formatCode>
                <c:ptCount val="121"/>
                <c:pt idx="0">
                  <c:v>1.5072084539664158E+20</c:v>
                </c:pt>
                <c:pt idx="1">
                  <c:v>1.4918954580360685E+20</c:v>
                </c:pt>
                <c:pt idx="2">
                  <c:v>1.4771760759109075E+20</c:v>
                </c:pt>
                <c:pt idx="3">
                  <c:v>1.4630309124551837E+20</c:v>
                </c:pt>
                <c:pt idx="4">
                  <c:v>1.4494411564531561E+20</c:v>
                </c:pt>
                <c:pt idx="5">
                  <c:v>1.4363885619323345E+20</c:v>
                </c:pt>
                <c:pt idx="6">
                  <c:v>1.423855429486727E+20</c:v>
                </c:pt>
                <c:pt idx="7">
                  <c:v>1.411824587600086E+20</c:v>
                </c:pt>
                <c:pt idx="8">
                  <c:v>1.400279373969154E+20</c:v>
                </c:pt>
                <c:pt idx="9">
                  <c:v>1.3892036168269103E+20</c:v>
                </c:pt>
                <c:pt idx="10">
                  <c:v>1.3785816162658163E+20</c:v>
                </c:pt>
                <c:pt idx="11">
                  <c:v>1.368398125561062E+20</c:v>
                </c:pt>
                <c:pt idx="12">
                  <c:v>1.3586383324938127E+20</c:v>
                </c:pt>
                <c:pt idx="13">
                  <c:v>1.34928925473288E+20</c:v>
                </c:pt>
                <c:pt idx="14">
                  <c:v>1.3403360989595522E+20</c:v>
                </c:pt>
                <c:pt idx="15">
                  <c:v>1.3317654533745525E+20</c:v>
                </c:pt>
                <c:pt idx="16">
                  <c:v>1.3235643132065641E+20</c:v>
                </c:pt>
                <c:pt idx="17">
                  <c:v>1.315720067684982E+20</c:v>
                </c:pt>
                <c:pt idx="18">
                  <c:v>1.308220487012659E+20</c:v>
                </c:pt>
                <c:pt idx="19">
                  <c:v>1.3010537093386576E+20</c:v>
                </c:pt>
                <c:pt idx="20">
                  <c:v>1.2942082277309968E+20</c:v>
                </c:pt>
                <c:pt idx="21">
                  <c:v>1.2876728771494011E+20</c:v>
                </c:pt>
                <c:pt idx="22">
                  <c:v>1.281436821418051E+20</c:v>
                </c:pt>
                <c:pt idx="23">
                  <c:v>1.2754895401983307E+20</c:v>
                </c:pt>
                <c:pt idx="24">
                  <c:v>1.2698208159615767E+20</c:v>
                </c:pt>
                <c:pt idx="25">
                  <c:v>1.2644217065221063E+20</c:v>
                </c:pt>
                <c:pt idx="26">
                  <c:v>1.2592820074582219E+20</c:v>
                </c:pt>
                <c:pt idx="27">
                  <c:v>1.2543924771577691E+20</c:v>
                </c:pt>
                <c:pt idx="28">
                  <c:v>1.2497441576297939E+20</c:v>
                </c:pt>
                <c:pt idx="29">
                  <c:v>1.2453283654153259E+20</c:v>
                </c:pt>
                <c:pt idx="30">
                  <c:v>1.2411366824981606E+20</c:v>
                </c:pt>
                <c:pt idx="31">
                  <c:v>1.2371609472156461E+20</c:v>
                </c:pt>
                <c:pt idx="32">
                  <c:v>1.2333932451694648E+20</c:v>
                </c:pt>
                <c:pt idx="33">
                  <c:v>1.2298259001364175E+20</c:v>
                </c:pt>
                <c:pt idx="34">
                  <c:v>1.2264514649792084E+20</c:v>
                </c:pt>
                <c:pt idx="35">
                  <c:v>1.223262712557227E+20</c:v>
                </c:pt>
                <c:pt idx="36">
                  <c:v>1.2202526266373336E+20</c:v>
                </c:pt>
                <c:pt idx="37">
                  <c:v>1.2174150799142347E+20</c:v>
                </c:pt>
                <c:pt idx="38">
                  <c:v>1.2147430648801806E+20</c:v>
                </c:pt>
                <c:pt idx="39">
                  <c:v>1.2122302450402745E+20</c:v>
                </c:pt>
                <c:pt idx="40">
                  <c:v>1.2098704814037488E+20</c:v>
                </c:pt>
                <c:pt idx="41">
                  <c:v>1.2076578261406381E+20</c:v>
                </c:pt>
                <c:pt idx="42">
                  <c:v>1.2055865162384469E+20</c:v>
                </c:pt>
                <c:pt idx="43">
                  <c:v>1.2036509671588217E+20</c:v>
                </c:pt>
                <c:pt idx="44">
                  <c:v>1.2018457664942232E+20</c:v>
                </c:pt>
                <c:pt idx="45">
                  <c:v>1.2001656676245935E+20</c:v>
                </c:pt>
                <c:pt idx="46">
                  <c:v>1.1986055833740298E+20</c:v>
                </c:pt>
                <c:pt idx="47">
                  <c:v>1.1971605796674534E+20</c:v>
                </c:pt>
                <c:pt idx="48">
                  <c:v>1.1958258691872797E+20</c:v>
                </c:pt>
                <c:pt idx="49">
                  <c:v>1.1945972842242671E+20</c:v>
                </c:pt>
                <c:pt idx="50">
                  <c:v>1.1934700428849652E+20</c:v>
                </c:pt>
                <c:pt idx="51">
                  <c:v>1.1924398308922679E+20</c:v>
                </c:pt>
                <c:pt idx="52">
                  <c:v>1.1915024713629491E+20</c:v>
                </c:pt>
                <c:pt idx="53">
                  <c:v>1.1906539203796266E+20</c:v>
                </c:pt>
                <c:pt idx="54">
                  <c:v>1.1898902625627251E+20</c:v>
                </c:pt>
                <c:pt idx="55">
                  <c:v>1.1892077066424389E+20</c:v>
                </c:pt>
                <c:pt idx="56">
                  <c:v>1.188602581030697E+20</c:v>
                </c:pt>
                <c:pt idx="57">
                  <c:v>1.1880713293931263E+20</c:v>
                </c:pt>
                <c:pt idx="58">
                  <c:v>1.1876105062210131E+20</c:v>
                </c:pt>
                <c:pt idx="59">
                  <c:v>1.1872167724032691E+20</c:v>
                </c:pt>
                <c:pt idx="60">
                  <c:v>1.1868868907983936E+20</c:v>
                </c:pt>
                <c:pt idx="61">
                  <c:v>1.1866180561210876E+20</c:v>
                </c:pt>
                <c:pt idx="62">
                  <c:v>1.1864070341822936E+20</c:v>
                </c:pt>
                <c:pt idx="63">
                  <c:v>1.186250916599216E+20</c:v>
                </c:pt>
                <c:pt idx="64">
                  <c:v>1.1861468904171969E+20</c:v>
                </c:pt>
                <c:pt idx="65">
                  <c:v>1.1860922350181283E+20</c:v>
                </c:pt>
                <c:pt idx="66">
                  <c:v>1.1860843190288674E+20</c:v>
                </c:pt>
                <c:pt idx="67">
                  <c:v>1.1861205972296478E+20</c:v>
                </c:pt>
                <c:pt idx="68">
                  <c:v>1.1861986074624945E+20</c:v>
                </c:pt>
                <c:pt idx="69">
                  <c:v>1.1863159675396347E+20</c:v>
                </c:pt>
                <c:pt idx="70">
                  <c:v>1.186470372151913E+20</c:v>
                </c:pt>
                <c:pt idx="71">
                  <c:v>1.1866595897772043E+20</c:v>
                </c:pt>
                <c:pt idx="72">
                  <c:v>1.1868814595888251E+20</c:v>
                </c:pt>
                <c:pt idx="73">
                  <c:v>1.1871341216949654E+20</c:v>
                </c:pt>
                <c:pt idx="74">
                  <c:v>1.1874154163880831E+20</c:v>
                </c:pt>
                <c:pt idx="75">
                  <c:v>1.1877234108723852E+20</c:v>
                </c:pt>
                <c:pt idx="76">
                  <c:v>1.188056238478662E+20</c:v>
                </c:pt>
                <c:pt idx="77">
                  <c:v>1.1884120965056289E+20</c:v>
                </c:pt>
                <c:pt idx="78">
                  <c:v>1.1887892440612676E+20</c:v>
                </c:pt>
                <c:pt idx="79">
                  <c:v>1.1891859999041726E+20</c:v>
                </c:pt>
                <c:pt idx="80">
                  <c:v>1.1896007402848926E+20</c:v>
                </c:pt>
                <c:pt idx="81">
                  <c:v>1.1900318967872725E+20</c:v>
                </c:pt>
                <c:pt idx="82">
                  <c:v>1.190477954169798E+20</c:v>
                </c:pt>
                <c:pt idx="83">
                  <c:v>1.1909374482069384E+20</c:v>
                </c:pt>
                <c:pt idx="84">
                  <c:v>1.1914089635304884E+20</c:v>
                </c:pt>
                <c:pt idx="85">
                  <c:v>1.1918912943913681E+20</c:v>
                </c:pt>
                <c:pt idx="86">
                  <c:v>1.1923830251988946E+20</c:v>
                </c:pt>
                <c:pt idx="87">
                  <c:v>1.1928828982923649E+20</c:v>
                </c:pt>
                <c:pt idx="88">
                  <c:v>1.1933897016790301E+20</c:v>
                </c:pt>
                <c:pt idx="89">
                  <c:v>1.1939022675269732E+20</c:v>
                </c:pt>
                <c:pt idx="90">
                  <c:v>1.1944194706579823E+20</c:v>
                </c:pt>
                <c:pt idx="91">
                  <c:v>1.194940227040427E+20</c:v>
                </c:pt>
                <c:pt idx="92">
                  <c:v>1.195463492282134E+20</c:v>
                </c:pt>
                <c:pt idx="93">
                  <c:v>1.1959882601232615E+20</c:v>
                </c:pt>
                <c:pt idx="94">
                  <c:v>1.1965135609291743E+20</c:v>
                </c:pt>
                <c:pt idx="95">
                  <c:v>1.1970384601833198E+20</c:v>
                </c:pt>
                <c:pt idx="96">
                  <c:v>1.1975620569801028E+20</c:v>
                </c:pt>
                <c:pt idx="97">
                  <c:v>1.1980835963261544E+20</c:v>
                </c:pt>
                <c:pt idx="98">
                  <c:v>1.1986021761302816E+20</c:v>
                </c:pt>
                <c:pt idx="99">
                  <c:v>1.1991170041050869E+20</c:v>
                </c:pt>
                <c:pt idx="100">
                  <c:v>1.1996273193499722E+20</c:v>
                </c:pt>
                <c:pt idx="101">
                  <c:v>1.2001323912992332E+20</c:v>
                </c:pt>
                <c:pt idx="102">
                  <c:v>1.2006315186701541E+20</c:v>
                </c:pt>
                <c:pt idx="103">
                  <c:v>1.2011240284111032E+20</c:v>
                </c:pt>
                <c:pt idx="104">
                  <c:v>1.2016092746496247E+20</c:v>
                </c:pt>
                <c:pt idx="105">
                  <c:v>1.2020866376405359E+20</c:v>
                </c:pt>
                <c:pt idx="106">
                  <c:v>1.2025555227140201E+20</c:v>
                </c:pt>
                <c:pt idx="107">
                  <c:v>1.2030153592237213E+20</c:v>
                </c:pt>
                <c:pt idx="108">
                  <c:v>1.2034655994948403E+20</c:v>
                </c:pt>
                <c:pt idx="109">
                  <c:v>1.2039057973098211E+20</c:v>
                </c:pt>
                <c:pt idx="110">
                  <c:v>1.2043354031359261E+20</c:v>
                </c:pt>
                <c:pt idx="111">
                  <c:v>1.2047539436634703E+20</c:v>
                </c:pt>
                <c:pt idx="112">
                  <c:v>1.2051609670058315E+20</c:v>
                </c:pt>
                <c:pt idx="113">
                  <c:v>1.2055560419657472E+20</c:v>
                </c:pt>
                <c:pt idx="114">
                  <c:v>1.2059387573016106E+20</c:v>
                </c:pt>
                <c:pt idx="115">
                  <c:v>1.2063087209937687E+20</c:v>
                </c:pt>
                <c:pt idx="116">
                  <c:v>1.206665559510819E+20</c:v>
                </c:pt>
                <c:pt idx="117">
                  <c:v>1.2070089170759067E+20</c:v>
                </c:pt>
                <c:pt idx="118">
                  <c:v>1.2073384549330221E+20</c:v>
                </c:pt>
                <c:pt idx="119">
                  <c:v>1.2076538506132973E+20</c:v>
                </c:pt>
                <c:pt idx="120">
                  <c:v>1.2079547972013036E+20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courbes!$AI$1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courbes!$AI$2:$AI$51</c:f>
              <c:numCache>
                <c:formatCode>0.0000E+00</c:formatCode>
                <c:ptCount val="50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courbes!$AU$1</c:f>
              <c:strCache>
                <c:ptCount val="1"/>
                <c:pt idx="0">
                  <c:v>VESTA - Pu241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courbes!$AU$2:$AU$8</c:f>
              <c:numCache>
                <c:formatCode>0.0000E+00</c:formatCode>
                <c:ptCount val="7"/>
                <c:pt idx="0">
                  <c:v>1.5072084539664158E+20</c:v>
                </c:pt>
                <c:pt idx="1">
                  <c:v>1.4846998842920177E+20</c:v>
                </c:pt>
                <c:pt idx="2">
                  <c:v>1.4440113160344522E+20</c:v>
                </c:pt>
                <c:pt idx="3">
                  <c:v>1.3738884643565204E+20</c:v>
                </c:pt>
                <c:pt idx="4">
                  <c:v>1.2994370415873578E+20</c:v>
                </c:pt>
                <c:pt idx="5">
                  <c:v>1.2596141875480386E+20</c:v>
                </c:pt>
                <c:pt idx="6">
                  <c:v>1.3280056107894782E+20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courbes!$E$1</c:f>
              <c:strCache>
                <c:ptCount val="1"/>
                <c:pt idx="0">
                  <c:v>RK1 - Pu241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courbes!$E$2:$E$136</c:f>
              <c:numCache>
                <c:formatCode>0.0000E+00</c:formatCode>
                <c:ptCount val="135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217728"/>
        <c:axId val="92219648"/>
      </c:scatterChart>
      <c:valAx>
        <c:axId val="92217728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92219648"/>
        <c:crosses val="autoZero"/>
        <c:crossBetween val="midCat"/>
      </c:valAx>
      <c:valAx>
        <c:axId val="92219648"/>
        <c:scaling>
          <c:orientation val="minMax"/>
          <c:min val="1E+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0.0000E+00" sourceLinked="1"/>
        <c:majorTickMark val="out"/>
        <c:minorTickMark val="none"/>
        <c:tickLblPos val="nextTo"/>
        <c:crossAx val="922177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l'Am241</a:t>
            </a:r>
            <a:endParaRPr lang="fr-FR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courbes!$AB$1</c:f>
              <c:strCache>
                <c:ptCount val="1"/>
                <c:pt idx="0">
                  <c:v> Exact Simpl. - Am241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courbes!$AB$2:$AB$136</c:f>
              <c:numCache>
                <c:formatCode>0.0000E+00</c:formatCode>
                <c:ptCount val="135"/>
                <c:pt idx="0">
                  <c:v>3.2520680334545175E+19</c:v>
                </c:pt>
                <c:pt idx="1">
                  <c:v>3.2531438086477447E+19</c:v>
                </c:pt>
                <c:pt idx="2">
                  <c:v>3.2536002227588538E+19</c:v>
                </c:pt>
                <c:pt idx="3">
                  <c:v>3.2534718099636453E+19</c:v>
                </c:pt>
                <c:pt idx="4">
                  <c:v>3.2527917164369732E+19</c:v>
                </c:pt>
                <c:pt idx="5">
                  <c:v>3.2515917484860047E+19</c:v>
                </c:pt>
                <c:pt idx="6">
                  <c:v>3.2499024191312675E+19</c:v>
                </c:pt>
                <c:pt idx="7">
                  <c:v>3.2477529931837759E+19</c:v>
                </c:pt>
                <c:pt idx="8">
                  <c:v>3.245171530864744E+19</c:v>
                </c:pt>
                <c:pt idx="9">
                  <c:v>3.2421849300135911E+19</c:v>
                </c:pt>
                <c:pt idx="10">
                  <c:v>3.2388189669278155E+19</c:v>
                </c:pt>
                <c:pt idx="11">
                  <c:v>3.2350983358775943E+19</c:v>
                </c:pt>
                <c:pt idx="12">
                  <c:v>3.231046687336294E+19</c:v>
                </c:pt>
                <c:pt idx="13">
                  <c:v>3.2266866649670263E+19</c:v>
                </c:pt>
                <c:pt idx="14">
                  <c:v>3.2220399414039675E+19</c:v>
                </c:pt>
                <c:pt idx="15">
                  <c:v>3.2171272528662151E+19</c:v>
                </c:pt>
                <c:pt idx="16">
                  <c:v>3.2119684326404997E+19</c:v>
                </c:pt>
                <c:pt idx="17">
                  <c:v>3.2065824434683339E+19</c:v>
                </c:pt>
                <c:pt idx="18">
                  <c:v>3.2009874088717091E+19</c:v>
                </c:pt>
                <c:pt idx="19">
                  <c:v>3.1952006434506555E+19</c:v>
                </c:pt>
                <c:pt idx="20">
                  <c:v>3.1892386821849555E+19</c:v>
                </c:pt>
                <c:pt idx="21">
                  <c:v>3.1831173087711117E+19</c:v>
                </c:pt>
                <c:pt idx="22">
                  <c:v>3.176851583024989E+19</c:v>
                </c:pt>
                <c:pt idx="23">
                  <c:v>3.1704558673793942E+19</c:v>
                </c:pt>
                <c:pt idx="24">
                  <c:v>3.1639438525051093E+19</c:v>
                </c:pt>
                <c:pt idx="25">
                  <c:v>3.1573285820829344E+19</c:v>
                </c:pt>
                <c:pt idx="26">
                  <c:v>3.1506224767534465E+19</c:v>
                </c:pt>
                <c:pt idx="27">
                  <c:v>3.1438373572704698E+19</c:v>
                </c:pt>
                <c:pt idx="28">
                  <c:v>3.1369844668833554E+19</c:v>
                </c:pt>
                <c:pt idx="29">
                  <c:v>3.1300744929723171E+19</c:v>
                </c:pt>
                <c:pt idx="30">
                  <c:v>3.1231175879606321E+19</c:v>
                </c:pt>
                <c:pt idx="31">
                  <c:v>3.1161233895263445E+19</c:v>
                </c:pt>
                <c:pt idx="32">
                  <c:v>3.1091010401358766E+19</c:v>
                </c:pt>
                <c:pt idx="33">
                  <c:v>3.1020592059208393E+19</c:v>
                </c:pt>
                <c:pt idx="34">
                  <c:v>3.0950060949190124E+19</c:v>
                </c:pt>
                <c:pt idx="35">
                  <c:v>3.0879494746996228E+19</c:v>
                </c:pt>
                <c:pt idx="36">
                  <c:v>3.0808966893925032E+19</c:v>
                </c:pt>
                <c:pt idx="37">
                  <c:v>3.07385467614005E+19</c:v>
                </c:pt>
                <c:pt idx="38">
                  <c:v>3.0668299809904476E+19</c:v>
                </c:pt>
                <c:pt idx="39">
                  <c:v>3.0598287742499062E+19</c:v>
                </c:pt>
                <c:pt idx="40">
                  <c:v>3.0528568653111886E+19</c:v>
                </c:pt>
                <c:pt idx="41">
                  <c:v>3.0459197169751212E+19</c:v>
                </c:pt>
                <c:pt idx="42">
                  <c:v>3.0390224592814137E+19</c:v>
                </c:pt>
                <c:pt idx="43">
                  <c:v>3.0321699028643447E+19</c:v>
                </c:pt>
                <c:pt idx="44">
                  <c:v>3.0253665518486462E+19</c:v>
                </c:pt>
                <c:pt idx="45">
                  <c:v>3.0186166163003269E+19</c:v>
                </c:pt>
                <c:pt idx="46">
                  <c:v>3.0119240242466505E+19</c:v>
                </c:pt>
                <c:pt idx="47">
                  <c:v>3.0052924332792742E+19</c:v>
                </c:pt>
                <c:pt idx="48">
                  <c:v>2.998725241753763E+19</c:v>
                </c:pt>
                <c:pt idx="49">
                  <c:v>2.9922255995987214E+19</c:v>
                </c:pt>
                <c:pt idx="50">
                  <c:v>2.9857964187469378E+19</c:v>
                </c:pt>
                <c:pt idx="51">
                  <c:v>2.9794403832009032E+19</c:v>
                </c:pt>
                <c:pt idx="52">
                  <c:v>2.9731599587444216E+19</c:v>
                </c:pt>
                <c:pt idx="53">
                  <c:v>2.9669574023118959E+19</c:v>
                </c:pt>
                <c:pt idx="54">
                  <c:v>2.9608347710262706E+19</c:v>
                </c:pt>
                <c:pt idx="55">
                  <c:v>2.9547939309164913E+19</c:v>
                </c:pt>
                <c:pt idx="56">
                  <c:v>2.9488365653248762E+19</c:v>
                </c:pt>
                <c:pt idx="57">
                  <c:v>2.9429641830144369E+19</c:v>
                </c:pt>
                <c:pt idx="58">
                  <c:v>2.9371781259860771E+19</c:v>
                </c:pt>
                <c:pt idx="59">
                  <c:v>2.9314795770150035E+19</c:v>
                </c:pt>
                <c:pt idx="60">
                  <c:v>2.9258695669155955E+19</c:v>
                </c:pt>
                <c:pt idx="61">
                  <c:v>2.9203489815436616E+19</c:v>
                </c:pt>
                <c:pt idx="62">
                  <c:v>2.9149185685446435E+19</c:v>
                </c:pt>
                <c:pt idx="63">
                  <c:v>2.9095789438561493E+19</c:v>
                </c:pt>
                <c:pt idx="64">
                  <c:v>2.9043305979728634E+19</c:v>
                </c:pt>
                <c:pt idx="65">
                  <c:v>2.8991739019817591E+19</c:v>
                </c:pt>
                <c:pt idx="66">
                  <c:v>2.8941091133750616E+19</c:v>
                </c:pt>
                <c:pt idx="67">
                  <c:v>2.889136381648461E+19</c:v>
                </c:pt>
                <c:pt idx="68">
                  <c:v>2.8842557536915423E+19</c:v>
                </c:pt>
                <c:pt idx="69">
                  <c:v>2.8794671789774832E+19</c:v>
                </c:pt>
                <c:pt idx="70">
                  <c:v>2.874770514558532E+19</c:v>
                </c:pt>
                <c:pt idx="71">
                  <c:v>2.8701655298738782E+19</c:v>
                </c:pt>
                <c:pt idx="72">
                  <c:v>2.8656519113760899E+19</c:v>
                </c:pt>
                <c:pt idx="73">
                  <c:v>2.8612292669822075E+19</c:v>
                </c:pt>
                <c:pt idx="74">
                  <c:v>2.8568971303553679E+19</c:v>
                </c:pt>
                <c:pt idx="75">
                  <c:v>2.8526549650226364E+19</c:v>
                </c:pt>
                <c:pt idx="76">
                  <c:v>2.8485021683345863E+19</c:v>
                </c:pt>
                <c:pt idx="77">
                  <c:v>2.8444380752718889E+19</c:v>
                </c:pt>
                <c:pt idx="78">
                  <c:v>2.8404619621041807E+19</c:v>
                </c:pt>
                <c:pt idx="79">
                  <c:v>2.8365730499060859E+19</c:v>
                </c:pt>
                <c:pt idx="80">
                  <c:v>2.8327705079353524E+19</c:v>
                </c:pt>
                <c:pt idx="81">
                  <c:v>2.8290534568776901E+19</c:v>
                </c:pt>
                <c:pt idx="82">
                  <c:v>2.8254209719629087E+19</c:v>
                </c:pt>
                <c:pt idx="83">
                  <c:v>2.8218720859567358E+19</c:v>
                </c:pt>
                <c:pt idx="84">
                  <c:v>2.8184057920325493E+19</c:v>
                </c:pt>
                <c:pt idx="85">
                  <c:v>2.8150210465271538E+19</c:v>
                </c:pt>
                <c:pt idx="86">
                  <c:v>2.8117167715845951E+19</c:v>
                </c:pt>
                <c:pt idx="87">
                  <c:v>2.8084918576918413E+19</c:v>
                </c:pt>
                <c:pt idx="88">
                  <c:v>2.8053451661101142E+19</c:v>
                </c:pt>
                <c:pt idx="89">
                  <c:v>2.8022755312054051E+19</c:v>
                </c:pt>
                <c:pt idx="90">
                  <c:v>2.7992817626817683E+19</c:v>
                </c:pt>
                <c:pt idx="91">
                  <c:v>2.7963626477207003E+19</c:v>
                </c:pt>
                <c:pt idx="92">
                  <c:v>2.7935169530299236E+19</c:v>
                </c:pt>
                <c:pt idx="93">
                  <c:v>2.7907434268047266E+19</c:v>
                </c:pt>
                <c:pt idx="94">
                  <c:v>2.7880408006049378E+19</c:v>
                </c:pt>
                <c:pt idx="95">
                  <c:v>2.7854077911504904E+19</c:v>
                </c:pt>
                <c:pt idx="96">
                  <c:v>2.7828431020384694E+19</c:v>
                </c:pt>
                <c:pt idx="97">
                  <c:v>2.7803454253844066E+19</c:v>
                </c:pt>
                <c:pt idx="98">
                  <c:v>2.7779134433905164E+19</c:v>
                </c:pt>
                <c:pt idx="99">
                  <c:v>2.7755458298434707E+19</c:v>
                </c:pt>
                <c:pt idx="100">
                  <c:v>2.7732412515442426E+19</c:v>
                </c:pt>
                <c:pt idx="101">
                  <c:v>2.7709983696724394E+19</c:v>
                </c:pt>
                <c:pt idx="102">
                  <c:v>2.7688158410874962E+19</c:v>
                </c:pt>
                <c:pt idx="103">
                  <c:v>2.7666923195689878E+19</c:v>
                </c:pt>
                <c:pt idx="104">
                  <c:v>2.7646264569982939E+19</c:v>
                </c:pt>
                <c:pt idx="105">
                  <c:v>2.7626169044837147E+19</c:v>
                </c:pt>
                <c:pt idx="106">
                  <c:v>2.7606623134311199E+19</c:v>
                </c:pt>
                <c:pt idx="107">
                  <c:v>2.7587613365621391E+19</c:v>
                </c:pt>
                <c:pt idx="108">
                  <c:v>2.7569126288817783E+19</c:v>
                </c:pt>
                <c:pt idx="109">
                  <c:v>2.7551148485973688E+19</c:v>
                </c:pt>
                <c:pt idx="110">
                  <c:v>2.7533666579906404E+19</c:v>
                </c:pt>
                <c:pt idx="111">
                  <c:v>2.7516667242446529E+19</c:v>
                </c:pt>
                <c:pt idx="112">
                  <c:v>2.7500137202272711E+19</c:v>
                </c:pt>
                <c:pt idx="113">
                  <c:v>2.7484063252328317E+19</c:v>
                </c:pt>
                <c:pt idx="114">
                  <c:v>2.7468432256835736E+19</c:v>
                </c:pt>
                <c:pt idx="115">
                  <c:v>2.7453231157923131E+19</c:v>
                </c:pt>
                <c:pt idx="116">
                  <c:v>2.7438446981879136E+19</c:v>
                </c:pt>
                <c:pt idx="117">
                  <c:v>2.7424066845048938E+19</c:v>
                </c:pt>
                <c:pt idx="118">
                  <c:v>2.7410077959386149E+19</c:v>
                </c:pt>
                <c:pt idx="119">
                  <c:v>2.7396467637673103E+19</c:v>
                </c:pt>
                <c:pt idx="120">
                  <c:v>2.7383223298423202E+19</c:v>
                </c:pt>
                <c:pt idx="121">
                  <c:v>2.7370332470476947E+19</c:v>
                </c:pt>
                <c:pt idx="122">
                  <c:v>2.7357782797304185E+19</c:v>
                </c:pt>
                <c:pt idx="123">
                  <c:v>2.734556204102393E+19</c:v>
                </c:pt>
                <c:pt idx="124">
                  <c:v>2.7333658086152905E+19</c:v>
                </c:pt>
                <c:pt idx="125">
                  <c:v>2.7322058943093834E+19</c:v>
                </c:pt>
                <c:pt idx="126">
                  <c:v>2.7310752751373668E+19</c:v>
                </c:pt>
                <c:pt idx="127">
                  <c:v>2.729972778264209E+19</c:v>
                </c:pt>
                <c:pt idx="128">
                  <c:v>2.7288972443439608E+19</c:v>
                </c:pt>
                <c:pt idx="129">
                  <c:v>2.7278475277745439E+19</c:v>
                </c:pt>
                <c:pt idx="130">
                  <c:v>2.7268224969313133E+19</c:v>
                </c:pt>
                <c:pt idx="131">
                  <c:v>2.7258210343803888E+19</c:v>
                </c:pt>
                <c:pt idx="132">
                  <c:v>2.7248420370725061E+19</c:v>
                </c:pt>
                <c:pt idx="133">
                  <c:v>2.7238844165182804E+19</c:v>
                </c:pt>
                <c:pt idx="134">
                  <c:v>2.7229470989455905E+19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courbes!$P$1</c:f>
              <c:strCache>
                <c:ptCount val="1"/>
                <c:pt idx="0">
                  <c:v>O5 - Am241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courbes!$P$2:$P$122</c:f>
              <c:numCache>
                <c:formatCode>0.0000E+00</c:formatCode>
                <c:ptCount val="121"/>
                <c:pt idx="0">
                  <c:v>3.2520680334545068E+19</c:v>
                </c:pt>
                <c:pt idx="1">
                  <c:v>3.2531438086500602E+19</c:v>
                </c:pt>
                <c:pt idx="2">
                  <c:v>3.2536002229100179E+19</c:v>
                </c:pt>
                <c:pt idx="3">
                  <c:v>3.2534718116800365E+19</c:v>
                </c:pt>
                <c:pt idx="4">
                  <c:v>3.2527917260325671E+19</c:v>
                </c:pt>
                <c:pt idx="5">
                  <c:v>3.2515917849021063E+19</c:v>
                </c:pt>
                <c:pt idx="6">
                  <c:v>3.2499025273204437E+19</c:v>
                </c:pt>
                <c:pt idx="7">
                  <c:v>3.2477532646519136E+19</c:v>
                </c:pt>
                <c:pt idx="8">
                  <c:v>3.2451721328286433E+19</c:v>
                </c:pt>
                <c:pt idx="9">
                  <c:v>3.2421861445858046E+19</c:v>
                </c:pt>
                <c:pt idx="10">
                  <c:v>3.238821241696861E+19</c:v>
                </c:pt>
                <c:pt idx="11">
                  <c:v>3.2351023472088191E+19</c:v>
                </c:pt>
                <c:pt idx="12">
                  <c:v>3.2310534176774779E+19</c:v>
                </c:pt>
                <c:pt idx="13">
                  <c:v>3.2266931951070454E+19</c:v>
                </c:pt>
                <c:pt idx="14">
                  <c:v>3.2220462806552199E+19</c:v>
                </c:pt>
                <c:pt idx="15">
                  <c:v>3.2171334118576828E+19</c:v>
                </c:pt>
                <c:pt idx="16">
                  <c:v>3.2119744258704642E+19</c:v>
                </c:pt>
                <c:pt idx="17">
                  <c:v>3.206588294657373E+19</c:v>
                </c:pt>
                <c:pt idx="18">
                  <c:v>3.2009931601774174E+19</c:v>
                </c:pt>
                <c:pt idx="19">
                  <c:v>3.195206369572234E+19</c:v>
                </c:pt>
                <c:pt idx="20">
                  <c:v>3.189244510353517E+19</c:v>
                </c:pt>
                <c:pt idx="21">
                  <c:v>3.1831234455904383E+19</c:v>
                </c:pt>
                <c:pt idx="22">
                  <c:v>3.176858349097078E+19</c:v>
                </c:pt>
                <c:pt idx="23">
                  <c:v>3.1704637406198501E+19</c:v>
                </c:pt>
                <c:pt idx="24">
                  <c:v>3.1639535210249282E+19</c:v>
                </c:pt>
                <c:pt idx="25">
                  <c:v>3.1573380656958255E+19</c:v>
                </c:pt>
                <c:pt idx="26">
                  <c:v>3.150631800119543E+19</c:v>
                </c:pt>
                <c:pt idx="27">
                  <c:v>3.1438465469479817E+19</c:v>
                </c:pt>
                <c:pt idx="28">
                  <c:v>3.1369935530901938E+19</c:v>
                </c:pt>
                <c:pt idx="29">
                  <c:v>3.1300835132535149E+19</c:v>
                </c:pt>
                <c:pt idx="30">
                  <c:v>3.1231265934846951E+19</c:v>
                </c:pt>
                <c:pt idx="31">
                  <c:v>3.1161324547110334E+19</c:v>
                </c:pt>
                <c:pt idx="32">
                  <c:v>3.1091102762815099E+19</c:v>
                </c:pt>
                <c:pt idx="33">
                  <c:v>3.1020687795079184E+19</c:v>
                </c:pt>
                <c:pt idx="34">
                  <c:v>3.0950162512059998E+19</c:v>
                </c:pt>
                <c:pt idx="35">
                  <c:v>3.0879605672365724E+19</c:v>
                </c:pt>
                <c:pt idx="36">
                  <c:v>3.0809092160466678E+19</c:v>
                </c:pt>
                <c:pt idx="37">
                  <c:v>3.0738673164120076E+19</c:v>
                </c:pt>
                <c:pt idx="38">
                  <c:v>3.0668427828409905E+19</c:v>
                </c:pt>
                <c:pt idx="39">
                  <c:v>3.0598417880107106E+19</c:v>
                </c:pt>
                <c:pt idx="40">
                  <c:v>3.0528701448736838E+19</c:v>
                </c:pt>
                <c:pt idx="41">
                  <c:v>3.0459333222714343E+19</c:v>
                </c:pt>
                <c:pt idx="42">
                  <c:v>3.0390364605480862E+19</c:v>
                </c:pt>
                <c:pt idx="43">
                  <c:v>3.0321843871639638E+19</c:v>
                </c:pt>
                <c:pt idx="44">
                  <c:v>3.0253816323091755E+19</c:v>
                </c:pt>
                <c:pt idx="45">
                  <c:v>3.0186324445172134E+19</c:v>
                </c:pt>
                <c:pt idx="46">
                  <c:v>3.0119408062785434E+19</c:v>
                </c:pt>
                <c:pt idx="47">
                  <c:v>3.0053104496541983E+19</c:v>
                </c:pt>
                <c:pt idx="48">
                  <c:v>2.9987448718893703E+19</c:v>
                </c:pt>
                <c:pt idx="49">
                  <c:v>2.9922459889353515E+19</c:v>
                </c:pt>
                <c:pt idx="50">
                  <c:v>2.9858176432813711E+19</c:v>
                </c:pt>
                <c:pt idx="51">
                  <c:v>2.9794625214403756E+19</c:v>
                </c:pt>
                <c:pt idx="52">
                  <c:v>2.9731830924882604E+19</c:v>
                </c:pt>
                <c:pt idx="53">
                  <c:v>2.9669816183050772E+19</c:v>
                </c:pt>
                <c:pt idx="54">
                  <c:v>2.9608601638162412E+19</c:v>
                </c:pt>
                <c:pt idx="55">
                  <c:v>2.9548206072337441E+19</c:v>
                </c:pt>
                <c:pt idx="56">
                  <c:v>2.9488646502973608E+19</c:v>
                </c:pt>
                <c:pt idx="57">
                  <c:v>2.9429938285158572E+19</c:v>
                </c:pt>
                <c:pt idx="58">
                  <c:v>2.9372095214082015E+19</c:v>
                </c:pt>
                <c:pt idx="59">
                  <c:v>2.9315129627447718E+19</c:v>
                </c:pt>
                <c:pt idx="60">
                  <c:v>2.9259052507885666E+19</c:v>
                </c:pt>
                <c:pt idx="61">
                  <c:v>2.9203864381665047E+19</c:v>
                </c:pt>
                <c:pt idx="62">
                  <c:v>2.9149579022299845E+19</c:v>
                </c:pt>
                <c:pt idx="63">
                  <c:v>2.9096202612237042E+19</c:v>
                </c:pt>
                <c:pt idx="64">
                  <c:v>2.9043740084474556E+19</c:v>
                </c:pt>
                <c:pt idx="65">
                  <c:v>2.8992195188764041E+19</c:v>
                </c:pt>
                <c:pt idx="66">
                  <c:v>2.8941570557813686E+19</c:v>
                </c:pt>
                <c:pt idx="67">
                  <c:v>2.8891867773491024E+19</c:v>
                </c:pt>
                <c:pt idx="68">
                  <c:v>2.8843087433025741E+19</c:v>
                </c:pt>
                <c:pt idx="69">
                  <c:v>2.8795229215212483E+19</c:v>
                </c:pt>
                <c:pt idx="70">
                  <c:v>2.8748291946613641E+19</c:v>
                </c:pt>
                <c:pt idx="71">
                  <c:v>2.8702273667762192E+19</c:v>
                </c:pt>
                <c:pt idx="72">
                  <c:v>2.8657171699364463E+19</c:v>
                </c:pt>
                <c:pt idx="73">
                  <c:v>2.8612976527908012E+19</c:v>
                </c:pt>
                <c:pt idx="74">
                  <c:v>2.8569687724351353E+19</c:v>
                </c:pt>
                <c:pt idx="75">
                  <c:v>2.8527299942410707E+19</c:v>
                </c:pt>
                <c:pt idx="76">
                  <c:v>2.8485807177089118E+19</c:v>
                </c:pt>
                <c:pt idx="77">
                  <c:v>2.8445202806640751E+19</c:v>
                </c:pt>
                <c:pt idx="78">
                  <c:v>2.8405479634535158E+19</c:v>
                </c:pt>
                <c:pt idx="79">
                  <c:v>2.8366629931421598E+19</c:v>
                </c:pt>
                <c:pt idx="80">
                  <c:v>2.8328645477093319E+19</c:v>
                </c:pt>
                <c:pt idx="81">
                  <c:v>2.8291517602451825E+19</c:v>
                </c:pt>
                <c:pt idx="82">
                  <c:v>2.8255237231471215E+19</c:v>
                </c:pt>
                <c:pt idx="83">
                  <c:v>2.8219794923162419E+19</c:v>
                </c:pt>
                <c:pt idx="84">
                  <c:v>2.8185180913537544E+19</c:v>
                </c:pt>
                <c:pt idx="85">
                  <c:v>2.8151381039278285E+19</c:v>
                </c:pt>
                <c:pt idx="86">
                  <c:v>2.8118387345578435E+19</c:v>
                </c:pt>
                <c:pt idx="87">
                  <c:v>2.8086188749629649E+19</c:v>
                </c:pt>
                <c:pt idx="88">
                  <c:v>2.8054773878144205E+19</c:v>
                </c:pt>
                <c:pt idx="89">
                  <c:v>2.8024131093233676E+19</c:v>
                </c:pt>
                <c:pt idx="90">
                  <c:v>2.7994248518287573E+19</c:v>
                </c:pt>
                <c:pt idx="91">
                  <c:v>2.7965114063851999E+19</c:v>
                </c:pt>
                <c:pt idx="92">
                  <c:v>2.7936715453508301E+19</c:v>
                </c:pt>
                <c:pt idx="93">
                  <c:v>2.7909040249751736E+19</c:v>
                </c:pt>
                <c:pt idx="94">
                  <c:v>2.788207587987012E+19</c:v>
                </c:pt>
                <c:pt idx="95">
                  <c:v>2.7855809661822476E+19</c:v>
                </c:pt>
                <c:pt idx="96">
                  <c:v>2.7830228830117704E+19</c:v>
                </c:pt>
                <c:pt idx="97">
                  <c:v>2.780531784469479E+19</c:v>
                </c:pt>
                <c:pt idx="98">
                  <c:v>2.7781065390016774E+19</c:v>
                </c:pt>
                <c:pt idx="99">
                  <c:v>2.7757458209656992E+19</c:v>
                </c:pt>
                <c:pt idx="100">
                  <c:v>2.7734482978298253E+19</c:v>
                </c:pt>
                <c:pt idx="101">
                  <c:v>2.7712126317054501E+19</c:v>
                </c:pt>
                <c:pt idx="102">
                  <c:v>2.7690374808792449E+19</c:v>
                </c:pt>
                <c:pt idx="103">
                  <c:v>2.7669215013453222E+19</c:v>
                </c:pt>
                <c:pt idx="104">
                  <c:v>2.7648633483373974E+19</c:v>
                </c:pt>
                <c:pt idx="105">
                  <c:v>2.7628616778609574E+19</c:v>
                </c:pt>
                <c:pt idx="106">
                  <c:v>2.7609151482254205E+19</c:v>
                </c:pt>
                <c:pt idx="107">
                  <c:v>2.759022421576301E+19</c:v>
                </c:pt>
                <c:pt idx="108">
                  <c:v>2.7571821654273769E+19</c:v>
                </c:pt>
                <c:pt idx="109">
                  <c:v>2.755392877245064E+19</c:v>
                </c:pt>
                <c:pt idx="110">
                  <c:v>2.7536533403336753E+19</c:v>
                </c:pt>
                <c:pt idx="111">
                  <c:v>2.7519622218138608E+19</c:v>
                </c:pt>
                <c:pt idx="112">
                  <c:v>2.7503181945383694E+19</c:v>
                </c:pt>
                <c:pt idx="113">
                  <c:v>2.748719937941409E+19</c:v>
                </c:pt>
                <c:pt idx="114">
                  <c:v>2.747166138888013E+19</c:v>
                </c:pt>
                <c:pt idx="115">
                  <c:v>2.7456554925233979E+19</c:v>
                </c:pt>
                <c:pt idx="116">
                  <c:v>2.7441867031223325E+19</c:v>
                </c:pt>
                <c:pt idx="117">
                  <c:v>2.7427584849384944E+19</c:v>
                </c:pt>
                <c:pt idx="118">
                  <c:v>2.7413695630538355E+19</c:v>
                </c:pt>
                <c:pt idx="119">
                  <c:v>2.7400186742279467E+19</c:v>
                </c:pt>
                <c:pt idx="120">
                  <c:v>2.7387045677474169E+19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courbes!$AK$1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courbes!$AK$2:$AK$51</c:f>
              <c:numCache>
                <c:formatCode>0.0000E+00</c:formatCode>
                <c:ptCount val="50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courbes!$AW$1</c:f>
              <c:strCache>
                <c:ptCount val="1"/>
                <c:pt idx="0">
                  <c:v>VESTA - Am241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courbes!$AW$2:$AW$8</c:f>
              <c:numCache>
                <c:formatCode>0.0000E+00</c:formatCode>
                <c:ptCount val="7"/>
                <c:pt idx="0">
                  <c:v>3.2520680334545068E+19</c:v>
                </c:pt>
                <c:pt idx="1">
                  <c:v>3.2520680334545068E+19</c:v>
                </c:pt>
                <c:pt idx="2">
                  <c:v>3.2494808671589978E+19</c:v>
                </c:pt>
                <c:pt idx="3">
                  <c:v>3.2305083143252664E+19</c:v>
                </c:pt>
                <c:pt idx="4">
                  <c:v>3.1761778221195825E+19</c:v>
                </c:pt>
                <c:pt idx="5">
                  <c:v>2.9916266263732916E+19</c:v>
                </c:pt>
                <c:pt idx="6">
                  <c:v>2.9269474689855726E+19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courbes!$G$1</c:f>
              <c:strCache>
                <c:ptCount val="1"/>
                <c:pt idx="0">
                  <c:v>RK1 - Am241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courbes!$G$2:$G$136</c:f>
              <c:numCache>
                <c:formatCode>0.0000E+00</c:formatCode>
                <c:ptCount val="135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236032"/>
        <c:axId val="92250496"/>
      </c:scatterChart>
      <c:valAx>
        <c:axId val="92236032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92250496"/>
        <c:crosses val="autoZero"/>
        <c:crossBetween val="midCat"/>
      </c:valAx>
      <c:valAx>
        <c:axId val="92250496"/>
        <c:scaling>
          <c:orientation val="minMax"/>
          <c:min val="2.5E+19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0.0000E+00" sourceLinked="1"/>
        <c:majorTickMark val="out"/>
        <c:minorTickMark val="none"/>
        <c:tickLblPos val="nextTo"/>
        <c:crossAx val="922360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l'U235</a:t>
            </a:r>
            <a:endParaRPr lang="fr-FR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916608990755136"/>
          <c:y val="8.8437591134441523E-2"/>
          <c:w val="0.58822742698563957"/>
          <c:h val="0.81718746962185274"/>
        </c:manualLayout>
      </c:layout>
      <c:scatterChart>
        <c:scatterStyle val="lineMarker"/>
        <c:varyColors val="0"/>
        <c:ser>
          <c:idx val="0"/>
          <c:order val="0"/>
          <c:tx>
            <c:strRef>
              <c:f>courbes!$H$1</c:f>
              <c:strCache>
                <c:ptCount val="1"/>
                <c:pt idx="0">
                  <c:v>RK1 - U235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courbes!$H$2:$H$136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courbes!$Q$1</c:f>
              <c:strCache>
                <c:ptCount val="1"/>
                <c:pt idx="0">
                  <c:v>O5 - U235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courbes!$Q$2:$Q$122</c:f>
              <c:numCache>
                <c:formatCode>0.0000E+00</c:formatCode>
                <c:ptCount val="121"/>
                <c:pt idx="0">
                  <c:v>8.8937324162937733E+19</c:v>
                </c:pt>
                <c:pt idx="1">
                  <c:v>8.7058541148012282E+19</c:v>
                </c:pt>
                <c:pt idx="2">
                  <c:v>8.5219547583508103E+19</c:v>
                </c:pt>
                <c:pt idx="3">
                  <c:v>8.3419500516275012E+19</c:v>
                </c:pt>
                <c:pt idx="4">
                  <c:v>8.1657574833394631E+19</c:v>
                </c:pt>
                <c:pt idx="5">
                  <c:v>7.9932962863074492E+19</c:v>
                </c:pt>
                <c:pt idx="6">
                  <c:v>7.8244873975541776E+19</c:v>
                </c:pt>
                <c:pt idx="7">
                  <c:v>7.6592534183937196E+19</c:v>
                </c:pt>
                <c:pt idx="8">
                  <c:v>7.4975185745208984E+19</c:v>
                </c:pt>
                <c:pt idx="9">
                  <c:v>7.3392086761006711E+19</c:v>
                </c:pt>
                <c:pt idx="10">
                  <c:v>7.18425107785752E+19</c:v>
                </c:pt>
                <c:pt idx="11">
                  <c:v>7.0325746391648403E+19</c:v>
                </c:pt>
                <c:pt idx="12">
                  <c:v>6.8841096841343312E+19</c:v>
                </c:pt>
                <c:pt idx="13">
                  <c:v>6.7387901249598177E+19</c:v>
                </c:pt>
                <c:pt idx="14">
                  <c:v>6.5965478990608884E+19</c:v>
                </c:pt>
                <c:pt idx="15">
                  <c:v>6.4573178126032019E+19</c:v>
                </c:pt>
                <c:pt idx="16">
                  <c:v>6.3210360515172794E+19</c:v>
                </c:pt>
                <c:pt idx="17">
                  <c:v>6.1876401506314822E+19</c:v>
                </c:pt>
                <c:pt idx="18">
                  <c:v>6.0570689628049744E+19</c:v>
                </c:pt>
                <c:pt idx="19">
                  <c:v>5.9292626280606876E+19</c:v>
                </c:pt>
                <c:pt idx="20">
                  <c:v>5.8041625427182952E+19</c:v>
                </c:pt>
                <c:pt idx="21">
                  <c:v>5.681711328527174E+19</c:v>
                </c:pt>
                <c:pt idx="22">
                  <c:v>5.5618528017993736E+19</c:v>
                </c:pt>
                <c:pt idx="23">
                  <c:v>5.4445319425425826E+19</c:v>
                </c:pt>
                <c:pt idx="24">
                  <c:v>5.3296948635930984E+19</c:v>
                </c:pt>
                <c:pt idx="25">
                  <c:v>5.2172904528232202E+19</c:v>
                </c:pt>
                <c:pt idx="26">
                  <c:v>5.107266070793642E+19</c:v>
                </c:pt>
                <c:pt idx="27">
                  <c:v>4.999571296762241E+19</c:v>
                </c:pt>
                <c:pt idx="28">
                  <c:v>4.8941567770968441E+19</c:v>
                </c:pt>
                <c:pt idx="29">
                  <c:v>4.7909742014025605E+19</c:v>
                </c:pt>
                <c:pt idx="30">
                  <c:v>4.6899762786491023E+19</c:v>
                </c:pt>
                <c:pt idx="31">
                  <c:v>4.5911167132981182E+19</c:v>
                </c:pt>
                <c:pt idx="32">
                  <c:v>4.494350181430512E+19</c:v>
                </c:pt>
                <c:pt idx="33">
                  <c:v>4.3996323068737815E+19</c:v>
                </c:pt>
                <c:pt idx="34">
                  <c:v>4.3069196373293335E+19</c:v>
                </c:pt>
                <c:pt idx="35">
                  <c:v>4.216169620499814E+19</c:v>
                </c:pt>
                <c:pt idx="36">
                  <c:v>4.1273405802164421E+19</c:v>
                </c:pt>
                <c:pt idx="37">
                  <c:v>4.0403929865323635E+19</c:v>
                </c:pt>
                <c:pt idx="38">
                  <c:v>3.9552861282606506E+19</c:v>
                </c:pt>
                <c:pt idx="39">
                  <c:v>3.8719810101606212E+19</c:v>
                </c:pt>
                <c:pt idx="40">
                  <c:v>3.7904394622932607E+19</c:v>
                </c:pt>
                <c:pt idx="41">
                  <c:v>3.710624121558034E+19</c:v>
                </c:pt>
                <c:pt idx="42">
                  <c:v>3.6324984132296843E+19</c:v>
                </c:pt>
                <c:pt idx="43">
                  <c:v>3.5560265324950516E+19</c:v>
                </c:pt>
                <c:pt idx="44">
                  <c:v>3.4811734259898708E+19</c:v>
                </c:pt>
                <c:pt idx="45">
                  <c:v>3.4079047733355815E+19</c:v>
                </c:pt>
                <c:pt idx="46">
                  <c:v>3.3361869686761353E+19</c:v>
                </c:pt>
                <c:pt idx="47">
                  <c:v>3.2659871022148022E+19</c:v>
                </c:pt>
                <c:pt idx="48">
                  <c:v>3.1972729417509753E+19</c:v>
                </c:pt>
                <c:pt idx="49">
                  <c:v>3.1300139149779128E+19</c:v>
                </c:pt>
                <c:pt idx="50">
                  <c:v>3.0641785360041153E+19</c:v>
                </c:pt>
                <c:pt idx="51">
                  <c:v>2.999736646054366E+19</c:v>
                </c:pt>
                <c:pt idx="52">
                  <c:v>2.9366587246400373E+19</c:v>
                </c:pt>
                <c:pt idx="53">
                  <c:v>2.874915875279618E+19</c:v>
                </c:pt>
                <c:pt idx="54">
                  <c:v>2.8144798112192434E+19</c:v>
                </c:pt>
                <c:pt idx="55">
                  <c:v>2.7553228411532259E+19</c:v>
                </c:pt>
                <c:pt idx="56">
                  <c:v>2.6974178549445833E+19</c:v>
                </c:pt>
                <c:pt idx="57">
                  <c:v>2.6407383093455684E+19</c:v>
                </c:pt>
                <c:pt idx="58">
                  <c:v>2.585258213718197E+19</c:v>
                </c:pt>
                <c:pt idx="59">
                  <c:v>2.5309521157547827E+19</c:v>
                </c:pt>
                <c:pt idx="60">
                  <c:v>2.4777950871984574E+19</c:v>
                </c:pt>
                <c:pt idx="61">
                  <c:v>2.4257634835576541E+19</c:v>
                </c:pt>
                <c:pt idx="62">
                  <c:v>2.3748329537637671E+19</c:v>
                </c:pt>
                <c:pt idx="63">
                  <c:v>2.3249801731416486E+19</c:v>
                </c:pt>
                <c:pt idx="64">
                  <c:v>2.2761823106650128E+19</c:v>
                </c:pt>
                <c:pt idx="65">
                  <c:v>2.2284170179126759E+19</c:v>
                </c:pt>
                <c:pt idx="66">
                  <c:v>2.1816624180248011E+19</c:v>
                </c:pt>
                <c:pt idx="67">
                  <c:v>2.1358970946591379E+19</c:v>
                </c:pt>
                <c:pt idx="68">
                  <c:v>2.0911000809472659E+19</c:v>
                </c:pt>
                <c:pt idx="69">
                  <c:v>2.0472508484508369E+19</c:v>
                </c:pt>
                <c:pt idx="70">
                  <c:v>2.0043292961178141E+19</c:v>
                </c:pt>
                <c:pt idx="71">
                  <c:v>1.9623157392387215E+19</c:v>
                </c:pt>
                <c:pt idx="72">
                  <c:v>1.9211908984028762E+19</c:v>
                </c:pt>
                <c:pt idx="73">
                  <c:v>1.8809364870653096E+19</c:v>
                </c:pt>
                <c:pt idx="74">
                  <c:v>1.8415336722063604E+19</c:v>
                </c:pt>
                <c:pt idx="75">
                  <c:v>1.8029644146195816E+19</c:v>
                </c:pt>
                <c:pt idx="76">
                  <c:v>1.7652110568845099E+19</c:v>
                </c:pt>
                <c:pt idx="77">
                  <c:v>1.7282563148254206E+19</c:v>
                </c:pt>
                <c:pt idx="78">
                  <c:v>1.6920832689700876E+19</c:v>
                </c:pt>
                <c:pt idx="79">
                  <c:v>1.6566753560085393E+19</c:v>
                </c:pt>
                <c:pt idx="80">
                  <c:v>1.6220163602518149E+19</c:v>
                </c:pt>
                <c:pt idx="81">
                  <c:v>1.588090405090722E+19</c:v>
                </c:pt>
                <c:pt idx="82">
                  <c:v>1.554881944454595E+19</c:v>
                </c:pt>
                <c:pt idx="83">
                  <c:v>1.5223757542700495E+19</c:v>
                </c:pt>
                <c:pt idx="84">
                  <c:v>1.4905569239197424E+19</c:v>
                </c:pt>
                <c:pt idx="85">
                  <c:v>1.4594113106690859E+19</c:v>
                </c:pt>
                <c:pt idx="86">
                  <c:v>1.4289243491340442E+19</c:v>
                </c:pt>
                <c:pt idx="87">
                  <c:v>1.3990820878654276E+19</c:v>
                </c:pt>
                <c:pt idx="88">
                  <c:v>1.3698708706853534E+19</c:v>
                </c:pt>
                <c:pt idx="89">
                  <c:v>1.3412773300814555E+19</c:v>
                </c:pt>
                <c:pt idx="90">
                  <c:v>1.3132883806010974E+19</c:v>
                </c:pt>
                <c:pt idx="91">
                  <c:v>1.2858912122455824E+19</c:v>
                </c:pt>
                <c:pt idx="92">
                  <c:v>1.2590732838643671E+19</c:v>
                </c:pt>
                <c:pt idx="93">
                  <c:v>1.2328223165492701E+19</c:v>
                </c:pt>
                <c:pt idx="94">
                  <c:v>1.2071262870286868E+19</c:v>
                </c:pt>
                <c:pt idx="95">
                  <c:v>1.1819734210617989E+19</c:v>
                </c:pt>
                <c:pt idx="96">
                  <c:v>1.1573521868327852E+19</c:v>
                </c:pt>
                <c:pt idx="97">
                  <c:v>1.1332516464059711E+19</c:v>
                </c:pt>
                <c:pt idx="98">
                  <c:v>1.1096605349643246E+19</c:v>
                </c:pt>
                <c:pt idx="99">
                  <c:v>1.0865680625072339E+19</c:v>
                </c:pt>
                <c:pt idx="100">
                  <c:v>1.0639636673950966E+19</c:v>
                </c:pt>
                <c:pt idx="101">
                  <c:v>1.041837011240414E+19</c:v>
                </c:pt>
                <c:pt idx="102">
                  <c:v>1.0201779737988913E+19</c:v>
                </c:pt>
                <c:pt idx="103">
                  <c:v>9.9897664786053448E+18</c:v>
                </c:pt>
                <c:pt idx="104">
                  <c:v>9.7822333414074634E+18</c:v>
                </c:pt>
                <c:pt idx="105">
                  <c:v>9.5790853617142702E+18</c:v>
                </c:pt>
                <c:pt idx="106">
                  <c:v>9.380229551920681E+18</c:v>
                </c:pt>
                <c:pt idx="107">
                  <c:v>9.1855748504085309E+18</c:v>
                </c:pt>
                <c:pt idx="108">
                  <c:v>8.9950320704575355E+18</c:v>
                </c:pt>
                <c:pt idx="109">
                  <c:v>8.8085166184078367E+18</c:v>
                </c:pt>
                <c:pt idx="110">
                  <c:v>8.6259413724692152E+18</c:v>
                </c:pt>
                <c:pt idx="111">
                  <c:v>8.4472228830710344E+18</c:v>
                </c:pt>
                <c:pt idx="112">
                  <c:v>8.2722794667704658E+18</c:v>
                </c:pt>
                <c:pt idx="113">
                  <c:v>8.101031166740396E+18</c:v>
                </c:pt>
                <c:pt idx="114">
                  <c:v>7.9333997132573573E+18</c:v>
                </c:pt>
                <c:pt idx="115">
                  <c:v>7.769308484189438E+18</c:v>
                </c:pt>
                <c:pt idx="116">
                  <c:v>7.608682465484202E+18</c:v>
                </c:pt>
                <c:pt idx="117">
                  <c:v>7.4514482116566221E+18</c:v>
                </c:pt>
                <c:pt idx="118">
                  <c:v>7.2975338062769848E+18</c:v>
                </c:pt>
                <c:pt idx="119">
                  <c:v>7.1468688224588145E+18</c:v>
                </c:pt>
                <c:pt idx="120">
                  <c:v>6.9993842833467976E+18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courbes!$AC$1</c:f>
              <c:strCache>
                <c:ptCount val="1"/>
                <c:pt idx="0">
                  <c:v> Exact Simpl. - U235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courbes!$AC$2:$AC$136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8.7053382330057064E+19</c:v>
                </c:pt>
                <c:pt idx="2">
                  <c:v>8.5209347666220237E+19</c:v>
                </c:pt>
                <c:pt idx="3">
                  <c:v>8.3404374825720037E+19</c:v>
                </c:pt>
                <c:pt idx="4">
                  <c:v>8.1637636369640964E+19</c:v>
                </c:pt>
                <c:pt idx="5">
                  <c:v>7.9908322386543198E+19</c:v>
                </c:pt>
                <c:pt idx="6">
                  <c:v>7.8215640121181553E+19</c:v>
                </c:pt>
                <c:pt idx="7">
                  <c:v>7.6558813611089199E+19</c:v>
                </c:pt>
                <c:pt idx="8">
                  <c:v>7.493708333085945E+19</c:v>
                </c:pt>
                <c:pt idx="9">
                  <c:v>7.3349705843962864E+19</c:v>
                </c:pt>
                <c:pt idx="10">
                  <c:v>7.1795953461939675E+19</c:v>
                </c:pt>
                <c:pt idx="11">
                  <c:v>7.0275113910811517E+19</c:v>
                </c:pt>
                <c:pt idx="12">
                  <c:v>6.878649000455952E+19</c:v>
                </c:pt>
                <c:pt idx="13">
                  <c:v>6.7329399325519053E+19</c:v>
                </c:pt>
                <c:pt idx="14">
                  <c:v>6.5903173911544521E+19</c:v>
                </c:pt>
                <c:pt idx="15">
                  <c:v>6.4507159949801021E+19</c:v>
                </c:pt>
                <c:pt idx="16">
                  <c:v>6.3140717477042233E+19</c:v>
                </c:pt>
                <c:pt idx="17">
                  <c:v>6.1803220086237323E+19</c:v>
                </c:pt>
                <c:pt idx="18">
                  <c:v>6.0494054639412314E+19</c:v>
                </c:pt>
                <c:pt idx="19">
                  <c:v>5.9212620986574242E+19</c:v>
                </c:pt>
                <c:pt idx="20">
                  <c:v>5.7958331690589307E+19</c:v>
                </c:pt>
                <c:pt idx="21">
                  <c:v>5.6730611757888913E+19</c:v>
                </c:pt>
                <c:pt idx="22">
                  <c:v>5.5528898374880059E+19</c:v>
                </c:pt>
                <c:pt idx="23">
                  <c:v>5.4352640649939304E+19</c:v>
                </c:pt>
                <c:pt idx="24">
                  <c:v>5.3201299360872022E+19</c:v>
                </c:pt>
                <c:pt idx="25">
                  <c:v>5.2074346707721232E+19</c:v>
                </c:pt>
                <c:pt idx="26">
                  <c:v>5.0971266070812557E+19</c:v>
                </c:pt>
                <c:pt idx="27">
                  <c:v>4.9891551773924458E+19</c:v>
                </c:pt>
                <c:pt idx="28">
                  <c:v>4.8834708852475322E+19</c:v>
                </c:pt>
                <c:pt idx="29">
                  <c:v>4.7800252826620822E+19</c:v>
                </c:pt>
                <c:pt idx="30">
                  <c:v>4.6787709479157817E+19</c:v>
                </c:pt>
                <c:pt idx="31">
                  <c:v>4.5796614638132847E+19</c:v>
                </c:pt>
                <c:pt idx="32">
                  <c:v>4.4826513964055585E+19</c:v>
                </c:pt>
                <c:pt idx="33">
                  <c:v>4.3876962741619704E+19</c:v>
                </c:pt>
                <c:pt idx="34">
                  <c:v>4.2947525675835679E+19</c:v>
                </c:pt>
                <c:pt idx="35">
                  <c:v>4.2037776692482064E+19</c:v>
                </c:pt>
                <c:pt idx="36">
                  <c:v>4.1147298742783795E+19</c:v>
                </c:pt>
                <c:pt idx="37">
                  <c:v>4.0275683612227936E+19</c:v>
                </c:pt>
                <c:pt idx="38">
                  <c:v>3.9422531733429191E+19</c:v>
                </c:pt>
                <c:pt idx="39">
                  <c:v>3.8587452002959606E+19</c:v>
                </c:pt>
                <c:pt idx="40">
                  <c:v>3.7770061602058101E+19</c:v>
                </c:pt>
                <c:pt idx="41">
                  <c:v>3.69699858211381E+19</c:v>
                </c:pt>
                <c:pt idx="42">
                  <c:v>3.6186857888012456E+19</c:v>
                </c:pt>
                <c:pt idx="43">
                  <c:v>3.5420318799757042E+19</c:v>
                </c:pt>
                <c:pt idx="44">
                  <c:v>3.4670017158136033E+19</c:v>
                </c:pt>
                <c:pt idx="45">
                  <c:v>3.393560900851327E+19</c:v>
                </c:pt>
                <c:pt idx="46">
                  <c:v>3.3216757682175943E+19</c:v>
                </c:pt>
                <c:pt idx="47">
                  <c:v>3.251313364199834E+19</c:v>
                </c:pt>
                <c:pt idx="48">
                  <c:v>3.1824414331374805E+19</c:v>
                </c:pt>
                <c:pt idx="49">
                  <c:v>3.1150284026352775E+19</c:v>
                </c:pt>
                <c:pt idx="50">
                  <c:v>3.0490433690898047E+19</c:v>
                </c:pt>
                <c:pt idx="51">
                  <c:v>2.9844560835225891E+19</c:v>
                </c:pt>
                <c:pt idx="52">
                  <c:v>2.9212369377133162E+19</c:v>
                </c:pt>
                <c:pt idx="53">
                  <c:v>2.8593569506267722E+19</c:v>
                </c:pt>
                <c:pt idx="54">
                  <c:v>2.7987877551273116E+19</c:v>
                </c:pt>
                <c:pt idx="55">
                  <c:v>2.7395015849747378E+19</c:v>
                </c:pt>
                <c:pt idx="56">
                  <c:v>2.681471262095657E+19</c:v>
                </c:pt>
                <c:pt idx="57">
                  <c:v>2.6246701841244516E+19</c:v>
                </c:pt>
                <c:pt idx="58">
                  <c:v>2.5690723122081833E+19</c:v>
                </c:pt>
                <c:pt idx="59">
                  <c:v>2.5146521590698074E+19</c:v>
                </c:pt>
                <c:pt idx="60">
                  <c:v>2.4613847773242532E+19</c:v>
                </c:pt>
                <c:pt idx="61">
                  <c:v>2.4092457480419983E+19</c:v>
                </c:pt>
                <c:pt idx="62">
                  <c:v>2.3582111695548965E+19</c:v>
                </c:pt>
                <c:pt idx="63">
                  <c:v>2.3082576464991371E+19</c:v>
                </c:pt>
                <c:pt idx="64">
                  <c:v>2.2593622790902915E+19</c:v>
                </c:pt>
                <c:pt idx="65">
                  <c:v>2.2115026526255616E+19</c:v>
                </c:pt>
                <c:pt idx="66">
                  <c:v>2.1646568272083845E+19</c:v>
                </c:pt>
                <c:pt idx="67">
                  <c:v>2.118803327690709E+19</c:v>
                </c:pt>
                <c:pt idx="68">
                  <c:v>2.073921133828318E+19</c:v>
                </c:pt>
                <c:pt idx="69">
                  <c:v>2.0299896706446901E+19</c:v>
                </c:pt>
                <c:pt idx="70">
                  <c:v>1.9869887989989822E+19</c:v>
                </c:pt>
                <c:pt idx="71">
                  <c:v>1.9448988063538082E+19</c:v>
                </c:pt>
                <c:pt idx="72">
                  <c:v>1.9037003977385812E+19</c:v>
                </c:pt>
                <c:pt idx="73">
                  <c:v>1.8633746869042786E+19</c:v>
                </c:pt>
                <c:pt idx="74">
                  <c:v>1.8239031876655733E+19</c:v>
                </c:pt>
                <c:pt idx="75">
                  <c:v>1.785267805426364E+19</c:v>
                </c:pt>
                <c:pt idx="76">
                  <c:v>1.7474508288848167E+19</c:v>
                </c:pt>
                <c:pt idx="77">
                  <c:v>1.7104349219141188E+19</c:v>
                </c:pt>
                <c:pt idx="78">
                  <c:v>1.6742031156152195E+19</c:v>
                </c:pt>
                <c:pt idx="79">
                  <c:v>1.6387388005379164E+19</c:v>
                </c:pt>
                <c:pt idx="80">
                  <c:v>1.6040257190667223E+19</c:v>
                </c:pt>
                <c:pt idx="81">
                  <c:v>1.570047957968018E+19</c:v>
                </c:pt>
                <c:pt idx="82">
                  <c:v>1.5367899410950814E+19</c:v>
                </c:pt>
                <c:pt idx="83">
                  <c:v>1.5042364222476397E+19</c:v>
                </c:pt>
                <c:pt idx="84">
                  <c:v>1.4723724781826793E+19</c:v>
                </c:pt>
                <c:pt idx="85">
                  <c:v>1.4411835017733075E+19</c:v>
                </c:pt>
                <c:pt idx="86">
                  <c:v>1.4106551953125243E+19</c:v>
                </c:pt>
                <c:pt idx="87">
                  <c:v>1.3807735639588434E+19</c:v>
                </c:pt>
                <c:pt idx="88">
                  <c:v>1.3515249093207515E+19</c:v>
                </c:pt>
                <c:pt idx="89">
                  <c:v>1.3228958231770661E+19</c:v>
                </c:pt>
                <c:pt idx="90">
                  <c:v>1.2948731813303153E+19</c:v>
                </c:pt>
                <c:pt idx="91">
                  <c:v>1.2674441375903187E+19</c:v>
                </c:pt>
                <c:pt idx="92">
                  <c:v>1.2405961178852149E+19</c:v>
                </c:pt>
                <c:pt idx="93">
                  <c:v>1.2143168144972313E+19</c:v>
                </c:pt>
                <c:pt idx="94">
                  <c:v>1.1885941804205576E+19</c:v>
                </c:pt>
                <c:pt idx="95">
                  <c:v>1.1634164238387382E+19</c:v>
                </c:pt>
                <c:pt idx="96">
                  <c:v>1.1387720027190438E+19</c:v>
                </c:pt>
                <c:pt idx="97">
                  <c:v>1.1146496195213521E+19</c:v>
                </c:pt>
                <c:pt idx="98">
                  <c:v>1.0910382160191103E+19</c:v>
                </c:pt>
                <c:pt idx="99">
                  <c:v>1.0679269682300021E+19</c:v>
                </c:pt>
                <c:pt idx="100">
                  <c:v>1.0453052814539979E+19</c:v>
                </c:pt>
                <c:pt idx="101">
                  <c:v>1.0231627854165137E+19</c:v>
                </c:pt>
                <c:pt idx="102">
                  <c:v>1.0014893295144511E+19</c:v>
                </c:pt>
                <c:pt idx="103">
                  <c:v>9.8027497816293908E+18</c:v>
                </c:pt>
                <c:pt idx="104">
                  <c:v>9.5951000624064573E+18</c:v>
                </c:pt>
                <c:pt idx="105">
                  <c:v>9.39184894631569E+18</c:v>
                </c:pt>
                <c:pt idx="106">
                  <c:v>9.1929032586126889E+18</c:v>
                </c:pt>
                <c:pt idx="107">
                  <c:v>8.9981717982553221E+18</c:v>
                </c:pt>
                <c:pt idx="108">
                  <c:v>8.8075652960951798E+18</c:v>
                </c:pt>
                <c:pt idx="109">
                  <c:v>8.6209963739546542E+18</c:v>
                </c:pt>
                <c:pt idx="110">
                  <c:v>8.438379504570879E+18</c:v>
                </c:pt>
                <c:pt idx="111">
                  <c:v>8.2596309723881574E+18</c:v>
                </c:pt>
                <c:pt idx="112">
                  <c:v>8.0846688351809382E+18</c:v>
                </c:pt>
                <c:pt idx="113">
                  <c:v>7.9134128864897004E+18</c:v>
                </c:pt>
                <c:pt idx="114">
                  <c:v>7.7457846188525732E+18</c:v>
                </c:pt>
                <c:pt idx="115">
                  <c:v>7.5817071878157957E+18</c:v>
                </c:pt>
                <c:pt idx="116">
                  <c:v>7.4211053767065457E+18</c:v>
                </c:pt>
                <c:pt idx="117">
                  <c:v>7.263905562151979E+18</c:v>
                </c:pt>
                <c:pt idx="118">
                  <c:v>7.1100356803286692E+18</c:v>
                </c:pt>
                <c:pt idx="119">
                  <c:v>6.9594251939269734E+18</c:v>
                </c:pt>
                <c:pt idx="120">
                  <c:v>6.8120050598151987E+18</c:v>
                </c:pt>
                <c:pt idx="121">
                  <c:v>6.6677076973887191E+18</c:v>
                </c:pt>
                <c:pt idx="122">
                  <c:v>6.5264669575895603E+18</c:v>
                </c:pt>
                <c:pt idx="123">
                  <c:v>6.3882180925822147E+18</c:v>
                </c:pt>
                <c:pt idx="124">
                  <c:v>6.2528977260718408E+18</c:v>
                </c:pt>
                <c:pt idx="125">
                  <c:v>6.1204438242511667E+18</c:v>
                </c:pt>
                <c:pt idx="126">
                  <c:v>5.990795667362858E+18</c:v>
                </c:pt>
                <c:pt idx="127">
                  <c:v>5.8638938218642452E+18</c:v>
                </c:pt>
                <c:pt idx="128">
                  <c:v>5.739680113181696E+18</c:v>
                </c:pt>
                <c:pt idx="129">
                  <c:v>5.6180975990421228E+18</c:v>
                </c:pt>
                <c:pt idx="130">
                  <c:v>5.4990905433693972E+18</c:v>
                </c:pt>
                <c:pt idx="131">
                  <c:v>5.3826043907337267E+18</c:v>
                </c:pt>
                <c:pt idx="132">
                  <c:v>5.2685857413422469E+18</c:v>
                </c:pt>
                <c:pt idx="133">
                  <c:v>5.1569823265593948E+18</c:v>
                </c:pt>
                <c:pt idx="134">
                  <c:v>5.0477429849458299E+18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courbes!$AL$1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courbes!$AL$2:$AL$136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courbes!$AP$1</c:f>
              <c:strCache>
                <c:ptCount val="1"/>
                <c:pt idx="0">
                  <c:v>VESTA - U235 </c:v>
                </c:pt>
              </c:strCache>
            </c:strRef>
          </c:tx>
          <c:marker>
            <c:symbol val="none"/>
          </c:marker>
          <c:xVal>
            <c:numRef>
              <c:f>courbes!$AO$2:$AO$8</c:f>
              <c:numCache>
                <c:formatCode>0.0000E+00</c:formatCode>
                <c:ptCount val="7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courbes!$AP$2:$AP$8</c:f>
              <c:numCache>
                <c:formatCode>0.0000E+00</c:formatCode>
                <c:ptCount val="7"/>
                <c:pt idx="0">
                  <c:v>8.8937324162937733E+19</c:v>
                </c:pt>
                <c:pt idx="1">
                  <c:v>8.58863158607495E+19</c:v>
                </c:pt>
                <c:pt idx="2">
                  <c:v>8.0086807161689129E+19</c:v>
                </c:pt>
                <c:pt idx="3">
                  <c:v>6.8945873163047076E+19</c:v>
                </c:pt>
                <c:pt idx="4">
                  <c:v>5.3561185406970372E+19</c:v>
                </c:pt>
                <c:pt idx="5">
                  <c:v>2.5168657722300748E+19</c:v>
                </c:pt>
                <c:pt idx="6">
                  <c:v>7.4529304786881649E+18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311936"/>
        <c:axId val="92313856"/>
      </c:scatterChart>
      <c:valAx>
        <c:axId val="9231193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92313856"/>
        <c:crosses val="autoZero"/>
        <c:crossBetween val="midCat"/>
      </c:valAx>
      <c:valAx>
        <c:axId val="92313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layout>
            <c:manualLayout>
              <c:xMode val="edge"/>
              <c:yMode val="edge"/>
              <c:x val="2.9793001989401005E-2"/>
              <c:y val="0.32527194517351998"/>
            </c:manualLayout>
          </c:layout>
          <c:overlay val="0"/>
        </c:title>
        <c:numFmt formatCode="0.0000E+00" sourceLinked="1"/>
        <c:majorTickMark val="out"/>
        <c:minorTickMark val="none"/>
        <c:tickLblPos val="nextTo"/>
        <c:crossAx val="923119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049203403714664"/>
          <c:y val="0.40827233401380381"/>
          <c:w val="0.19950796596285336"/>
          <c:h val="0.2790573053368328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Comparaison des modèles pour l'U238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courbes!$I$1</c:f>
              <c:strCache>
                <c:ptCount val="1"/>
                <c:pt idx="0">
                  <c:v>RK1 - U238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courbes!$I$2:$I$136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courbes!$R$1</c:f>
              <c:strCache>
                <c:ptCount val="1"/>
                <c:pt idx="0">
                  <c:v>O5 - U238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courbes!$R$2:$R$122</c:f>
              <c:numCache>
                <c:formatCode>0.0000E+00</c:formatCode>
                <c:ptCount val="121"/>
                <c:pt idx="0">
                  <c:v>1.6799927091276064E+22</c:v>
                </c:pt>
                <c:pt idx="1">
                  <c:v>1.675206497968709E+22</c:v>
                </c:pt>
                <c:pt idx="2">
                  <c:v>1.6704339224817908E+22</c:v>
                </c:pt>
                <c:pt idx="3">
                  <c:v>1.6656749438194034E+22</c:v>
                </c:pt>
                <c:pt idx="4">
                  <c:v>1.6609295232447757E+22</c:v>
                </c:pt>
                <c:pt idx="5">
                  <c:v>1.6561976221314947E+22</c:v>
                </c:pt>
                <c:pt idx="6">
                  <c:v>1.6514792019631901E+22</c:v>
                </c:pt>
                <c:pt idx="7">
                  <c:v>1.646774224333214E+22</c:v>
                </c:pt>
                <c:pt idx="8">
                  <c:v>1.6420826509443242E+22</c:v>
                </c:pt>
                <c:pt idx="9">
                  <c:v>1.637404443608366E+22</c:v>
                </c:pt>
                <c:pt idx="10">
                  <c:v>1.6327395642459575E+22</c:v>
                </c:pt>
                <c:pt idx="11">
                  <c:v>1.6280879748861668E+22</c:v>
                </c:pt>
                <c:pt idx="12">
                  <c:v>1.6234496376661975E+22</c:v>
                </c:pt>
                <c:pt idx="13">
                  <c:v>1.618824514833397E+22</c:v>
                </c:pt>
                <c:pt idx="14">
                  <c:v>1.6142125687390417E+22</c:v>
                </c:pt>
                <c:pt idx="15">
                  <c:v>1.6096137618432041E+22</c:v>
                </c:pt>
                <c:pt idx="16">
                  <c:v>1.6050280567129082E+22</c:v>
                </c:pt>
                <c:pt idx="17">
                  <c:v>1.60045541602182E+22</c:v>
                </c:pt>
                <c:pt idx="18">
                  <c:v>1.5958958025499415E+22</c:v>
                </c:pt>
                <c:pt idx="19">
                  <c:v>1.5913491791833058E+22</c:v>
                </c:pt>
                <c:pt idx="20">
                  <c:v>1.5868155089136669E+22</c:v>
                </c:pt>
                <c:pt idx="21">
                  <c:v>1.5822947548381944E+22</c:v>
                </c:pt>
                <c:pt idx="22">
                  <c:v>1.5777868801591663E+22</c:v>
                </c:pt>
                <c:pt idx="23">
                  <c:v>1.5732918481836627E+22</c:v>
                </c:pt>
                <c:pt idx="24">
                  <c:v>1.568809622323257E+22</c:v>
                </c:pt>
                <c:pt idx="25">
                  <c:v>1.5643401660959549E+22</c:v>
                </c:pt>
                <c:pt idx="26">
                  <c:v>1.5598834431201976E+22</c:v>
                </c:pt>
                <c:pt idx="27">
                  <c:v>1.5554394171195582E+22</c:v>
                </c:pt>
                <c:pt idx="28">
                  <c:v>1.5510080519209591E+22</c:v>
                </c:pt>
                <c:pt idx="29">
                  <c:v>1.5465893114543767E+22</c:v>
                </c:pt>
                <c:pt idx="30">
                  <c:v>1.5421831597525425E+22</c:v>
                </c:pt>
                <c:pt idx="31">
                  <c:v>1.5377895609506487E+22</c:v>
                </c:pt>
                <c:pt idx="32">
                  <c:v>1.5334084792860505E+22</c:v>
                </c:pt>
                <c:pt idx="33">
                  <c:v>1.5290398790979701E+22</c:v>
                </c:pt>
                <c:pt idx="34">
                  <c:v>1.5246837248271994E+22</c:v>
                </c:pt>
                <c:pt idx="35">
                  <c:v>1.5203399810158034E+22</c:v>
                </c:pt>
                <c:pt idx="36">
                  <c:v>1.5160086123068244E+22</c:v>
                </c:pt>
                <c:pt idx="37">
                  <c:v>1.5116895834461507E+22</c:v>
                </c:pt>
                <c:pt idx="38">
                  <c:v>1.5073828592767302E+22</c:v>
                </c:pt>
                <c:pt idx="39">
                  <c:v>1.5030884047430997E+22</c:v>
                </c:pt>
                <c:pt idx="40">
                  <c:v>1.4988061848896688E+22</c:v>
                </c:pt>
                <c:pt idx="41">
                  <c:v>1.4945361648604297E+22</c:v>
                </c:pt>
                <c:pt idx="42">
                  <c:v>1.4902783098986724E+22</c:v>
                </c:pt>
                <c:pt idx="43">
                  <c:v>1.4860325853466976E+22</c:v>
                </c:pt>
                <c:pt idx="44">
                  <c:v>1.4817989566455307E+22</c:v>
                </c:pt>
                <c:pt idx="45">
                  <c:v>1.4775773893346342E+22</c:v>
                </c:pt>
                <c:pt idx="46">
                  <c:v>1.4733678490516218E+22</c:v>
                </c:pt>
                <c:pt idx="47">
                  <c:v>1.4691703015319712E+22</c:v>
                </c:pt>
                <c:pt idx="48">
                  <c:v>1.4649847126087382E+22</c:v>
                </c:pt>
                <c:pt idx="49">
                  <c:v>1.4608110482143614E+22</c:v>
                </c:pt>
                <c:pt idx="50">
                  <c:v>1.4566492743750732E+22</c:v>
                </c:pt>
                <c:pt idx="51">
                  <c:v>1.4524993572152766E+22</c:v>
                </c:pt>
                <c:pt idx="52">
                  <c:v>1.4483612629558828E+22</c:v>
                </c:pt>
                <c:pt idx="53">
                  <c:v>1.4442349579140357E+22</c:v>
                </c:pt>
                <c:pt idx="54">
                  <c:v>1.4401204085028333E+22</c:v>
                </c:pt>
                <c:pt idx="55">
                  <c:v>1.4360175812310519E+22</c:v>
                </c:pt>
                <c:pt idx="56">
                  <c:v>1.4319264427028693E+22</c:v>
                </c:pt>
                <c:pt idx="57">
                  <c:v>1.4278469596175869E+22</c:v>
                </c:pt>
                <c:pt idx="58">
                  <c:v>1.4237790987693536E+22</c:v>
                </c:pt>
                <c:pt idx="59">
                  <c:v>1.4197228270468886E+22</c:v>
                </c:pt>
                <c:pt idx="60">
                  <c:v>1.4156781114332042E+22</c:v>
                </c:pt>
                <c:pt idx="61">
                  <c:v>1.4116449190073487E+22</c:v>
                </c:pt>
                <c:pt idx="62">
                  <c:v>1.4076232169390103E+22</c:v>
                </c:pt>
                <c:pt idx="63">
                  <c:v>1.4036129724927406E+22</c:v>
                </c:pt>
                <c:pt idx="64">
                  <c:v>1.3996141530263528E+22</c:v>
                </c:pt>
                <c:pt idx="65">
                  <c:v>1.395626725990653E+22</c:v>
                </c:pt>
                <c:pt idx="66">
                  <c:v>1.3916506589291707E+22</c:v>
                </c:pt>
                <c:pt idx="67">
                  <c:v>1.3876859194778952E+22</c:v>
                </c:pt>
                <c:pt idx="68">
                  <c:v>1.3837324753650045E+22</c:v>
                </c:pt>
                <c:pt idx="69">
                  <c:v>1.3797902944105983E+22</c:v>
                </c:pt>
                <c:pt idx="70">
                  <c:v>1.3758593445264324E+22</c:v>
                </c:pt>
                <c:pt idx="71">
                  <c:v>1.3719395937156493E+22</c:v>
                </c:pt>
                <c:pt idx="72">
                  <c:v>1.3680310100725101E+22</c:v>
                </c:pt>
                <c:pt idx="73">
                  <c:v>1.3641335617840795E+22</c:v>
                </c:pt>
                <c:pt idx="74">
                  <c:v>1.3602472171250125E+22</c:v>
                </c:pt>
                <c:pt idx="75">
                  <c:v>1.3563719444616337E+22</c:v>
                </c:pt>
                <c:pt idx="76">
                  <c:v>1.3525077122503896E+22</c:v>
                </c:pt>
                <c:pt idx="77">
                  <c:v>1.3486544890375904E+22</c:v>
                </c:pt>
                <c:pt idx="78">
                  <c:v>1.344812243459149E+22</c:v>
                </c:pt>
                <c:pt idx="79">
                  <c:v>1.3409809442403248E+22</c:v>
                </c:pt>
                <c:pt idx="80">
                  <c:v>1.337160560195464E+22</c:v>
                </c:pt>
                <c:pt idx="81">
                  <c:v>1.3333510602277404E+22</c:v>
                </c:pt>
                <c:pt idx="82">
                  <c:v>1.3295524133288985E+22</c:v>
                </c:pt>
                <c:pt idx="83">
                  <c:v>1.3257645885789934E+22</c:v>
                </c:pt>
                <c:pt idx="84">
                  <c:v>1.3219875551461331E+22</c:v>
                </c:pt>
                <c:pt idx="85">
                  <c:v>1.3182212822881039E+22</c:v>
                </c:pt>
                <c:pt idx="86">
                  <c:v>1.3144657393473351E+22</c:v>
                </c:pt>
                <c:pt idx="87">
                  <c:v>1.3107208957548407E+22</c:v>
                </c:pt>
                <c:pt idx="88">
                  <c:v>1.3069867210287228E+22</c:v>
                </c:pt>
                <c:pt idx="89">
                  <c:v>1.3032631847739212E+22</c:v>
                </c:pt>
                <c:pt idx="90">
                  <c:v>1.2995502566819657E+22</c:v>
                </c:pt>
                <c:pt idx="91">
                  <c:v>1.2958479065307222E+22</c:v>
                </c:pt>
                <c:pt idx="92">
                  <c:v>1.292156104184146E+22</c:v>
                </c:pt>
                <c:pt idx="93">
                  <c:v>1.2884748195920311E+22</c:v>
                </c:pt>
                <c:pt idx="94">
                  <c:v>1.2848040227897604E+22</c:v>
                </c:pt>
                <c:pt idx="95">
                  <c:v>1.2811436838980552E+22</c:v>
                </c:pt>
                <c:pt idx="96">
                  <c:v>1.277493773122725E+22</c:v>
                </c:pt>
                <c:pt idx="97">
                  <c:v>1.2738542607562405E+22</c:v>
                </c:pt>
                <c:pt idx="98">
                  <c:v>1.2702251171728662E+22</c:v>
                </c:pt>
                <c:pt idx="99">
                  <c:v>1.2666063128324697E+22</c:v>
                </c:pt>
                <c:pt idx="100">
                  <c:v>1.2629978182790756E+22</c:v>
                </c:pt>
                <c:pt idx="101">
                  <c:v>1.2593996041406235E+22</c:v>
                </c:pt>
                <c:pt idx="102">
                  <c:v>1.2558116411287271E+22</c:v>
                </c:pt>
                <c:pt idx="103">
                  <c:v>1.2522339000384326E+22</c:v>
                </c:pt>
                <c:pt idx="104">
                  <c:v>1.2486663517479778E+22</c:v>
                </c:pt>
                <c:pt idx="105">
                  <c:v>1.2451089672185485E+22</c:v>
                </c:pt>
                <c:pt idx="106">
                  <c:v>1.2415617174940391E+22</c:v>
                </c:pt>
                <c:pt idx="107">
                  <c:v>1.238024573700811E+22</c:v>
                </c:pt>
                <c:pt idx="108">
                  <c:v>1.2344975070474501E+22</c:v>
                </c:pt>
                <c:pt idx="109">
                  <c:v>1.2309804888262852E+22</c:v>
                </c:pt>
                <c:pt idx="110">
                  <c:v>1.2274734904086874E+22</c:v>
                </c:pt>
                <c:pt idx="111">
                  <c:v>1.2239764832487486E+22</c:v>
                </c:pt>
                <c:pt idx="112">
                  <c:v>1.2204894388818859E+22</c:v>
                </c:pt>
                <c:pt idx="113">
                  <c:v>1.2170123289246074E+22</c:v>
                </c:pt>
                <c:pt idx="114">
                  <c:v>1.2135451250742786E+22</c:v>
                </c:pt>
                <c:pt idx="115">
                  <c:v>1.2100877991088885E+22</c:v>
                </c:pt>
                <c:pt idx="116">
                  <c:v>1.2066403228868193E+22</c:v>
                </c:pt>
                <c:pt idx="117">
                  <c:v>1.2032026683466081E+22</c:v>
                </c:pt>
                <c:pt idx="118">
                  <c:v>1.1997748075067183E+22</c:v>
                </c:pt>
                <c:pt idx="119">
                  <c:v>1.1963567124653028E+22</c:v>
                </c:pt>
                <c:pt idx="120">
                  <c:v>1.192948355399973E+22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courbes!$AD$1</c:f>
              <c:strCache>
                <c:ptCount val="1"/>
                <c:pt idx="0">
                  <c:v> Exact Simpl. - U238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courbes!$AD$2:$AD$136</c:f>
              <c:numCache>
                <c:formatCode>0.0000E+00</c:formatCode>
                <c:ptCount val="135"/>
                <c:pt idx="0">
                  <c:v>1.6799927091276066E+22</c:v>
                </c:pt>
                <c:pt idx="1">
                  <c:v>1.6752064971806066E+22</c:v>
                </c:pt>
                <c:pt idx="2">
                  <c:v>1.6704339209027838E+22</c:v>
                </c:pt>
                <c:pt idx="3">
                  <c:v>1.6656749414468249E+22</c:v>
                </c:pt>
                <c:pt idx="4">
                  <c:v>1.660929520076091E+22</c:v>
                </c:pt>
                <c:pt idx="5">
                  <c:v>1.6561976181643016E+22</c:v>
                </c:pt>
                <c:pt idx="6">
                  <c:v>1.6514791971952207E+22</c:v>
                </c:pt>
                <c:pt idx="7">
                  <c:v>1.6467742187623425E+22</c:v>
                </c:pt>
                <c:pt idx="8">
                  <c:v>1.6420826445685803E+22</c:v>
                </c:pt>
                <c:pt idx="9">
                  <c:v>1.6374044364259528E+22</c:v>
                </c:pt>
                <c:pt idx="10">
                  <c:v>1.6327395562552748E+22</c:v>
                </c:pt>
                <c:pt idx="11">
                  <c:v>1.6280879660858471E+22</c:v>
                </c:pt>
                <c:pt idx="12">
                  <c:v>1.6234496280551462E+22</c:v>
                </c:pt>
                <c:pt idx="13">
                  <c:v>1.6188245044085173E+22</c:v>
                </c:pt>
                <c:pt idx="14">
                  <c:v>1.6142125574988667E+22</c:v>
                </c:pt>
                <c:pt idx="15">
                  <c:v>1.6096137497863558E+22</c:v>
                </c:pt>
                <c:pt idx="16">
                  <c:v>1.6050280438380938E+22</c:v>
                </c:pt>
                <c:pt idx="17">
                  <c:v>1.6004554023278358E+22</c:v>
                </c:pt>
                <c:pt idx="18">
                  <c:v>1.5958957880356763E+22</c:v>
                </c:pt>
                <c:pt idx="19">
                  <c:v>1.5913491638477476E+22</c:v>
                </c:pt>
                <c:pt idx="20">
                  <c:v>1.5868154927559177E+22</c:v>
                </c:pt>
                <c:pt idx="21">
                  <c:v>1.5822947378574892E+22</c:v>
                </c:pt>
                <c:pt idx="22">
                  <c:v>1.5777868623548976E+22</c:v>
                </c:pt>
                <c:pt idx="23">
                  <c:v>1.5732918295554135E+22</c:v>
                </c:pt>
                <c:pt idx="24">
                  <c:v>1.5688096028708431E+22</c:v>
                </c:pt>
                <c:pt idx="25">
                  <c:v>1.5643401458172304E+22</c:v>
                </c:pt>
                <c:pt idx="26">
                  <c:v>1.5598834220145595E+22</c:v>
                </c:pt>
                <c:pt idx="27">
                  <c:v>1.5554393951864609E+22</c:v>
                </c:pt>
                <c:pt idx="28">
                  <c:v>1.5510080291599131E+22</c:v>
                </c:pt>
                <c:pt idx="29">
                  <c:v>1.5465892878649506E+22</c:v>
                </c:pt>
                <c:pt idx="30">
                  <c:v>1.5421831353343691E+22</c:v>
                </c:pt>
                <c:pt idx="31">
                  <c:v>1.5377895357034325E+22</c:v>
                </c:pt>
                <c:pt idx="32">
                  <c:v>1.5334084532095821E+22</c:v>
                </c:pt>
                <c:pt idx="33">
                  <c:v>1.5290398521921443E+22</c:v>
                </c:pt>
                <c:pt idx="34">
                  <c:v>1.5246836970920421E+22</c:v>
                </c:pt>
                <c:pt idx="35">
                  <c:v>1.5203399524515026E+22</c:v>
                </c:pt>
                <c:pt idx="36">
                  <c:v>1.5160085829137721E+22</c:v>
                </c:pt>
                <c:pt idx="37">
                  <c:v>1.5116895532228253E+22</c:v>
                </c:pt>
                <c:pt idx="38">
                  <c:v>1.5073828282230796E+22</c:v>
                </c:pt>
                <c:pt idx="39">
                  <c:v>1.5030883728591096E+22</c:v>
                </c:pt>
                <c:pt idx="40">
                  <c:v>1.4988061521753596E+22</c:v>
                </c:pt>
                <c:pt idx="41">
                  <c:v>1.4945361313158622E+22</c:v>
                </c:pt>
                <c:pt idx="42">
                  <c:v>1.4902782755239511E+22</c:v>
                </c:pt>
                <c:pt idx="43">
                  <c:v>1.4860325501419815E+22</c:v>
                </c:pt>
                <c:pt idx="44">
                  <c:v>1.4817989206110452E+22</c:v>
                </c:pt>
                <c:pt idx="45">
                  <c:v>1.4775773524706908E+22</c:v>
                </c:pt>
                <c:pt idx="46">
                  <c:v>1.4733678113586439E+22</c:v>
                </c:pt>
                <c:pt idx="47">
                  <c:v>1.4691702630105253E+22</c:v>
                </c:pt>
                <c:pt idx="48">
                  <c:v>1.4649846732595736E+22</c:v>
                </c:pt>
                <c:pt idx="49">
                  <c:v>1.4608110080363667E+22</c:v>
                </c:pt>
                <c:pt idx="50">
                  <c:v>1.4566492333685451E+22</c:v>
                </c:pt>
                <c:pt idx="51">
                  <c:v>1.4524993153805335E+22</c:v>
                </c:pt>
                <c:pt idx="52">
                  <c:v>1.4483612202932673E+22</c:v>
                </c:pt>
                <c:pt idx="53">
                  <c:v>1.4442349144239172E+22</c:v>
                </c:pt>
                <c:pt idx="54">
                  <c:v>1.4401203641856129E+22</c:v>
                </c:pt>
                <c:pt idx="55">
                  <c:v>1.4360175360871728E+22</c:v>
                </c:pt>
                <c:pt idx="56">
                  <c:v>1.4319263967328294E+22</c:v>
                </c:pt>
                <c:pt idx="57">
                  <c:v>1.4278469128219582E+22</c:v>
                </c:pt>
                <c:pt idx="58">
                  <c:v>1.4237790511488058E+22</c:v>
                </c:pt>
                <c:pt idx="59">
                  <c:v>1.4197227786022211E+22</c:v>
                </c:pt>
                <c:pt idx="60">
                  <c:v>1.4156780621653845E+22</c:v>
                </c:pt>
                <c:pt idx="61">
                  <c:v>1.4116448689155398E+22</c:v>
                </c:pt>
                <c:pt idx="62">
                  <c:v>1.407623166023726E+22</c:v>
                </c:pt>
                <c:pt idx="63">
                  <c:v>1.4036129207545097E+22</c:v>
                </c:pt>
                <c:pt idx="64">
                  <c:v>1.3996141004657198E+22</c:v>
                </c:pt>
                <c:pt idx="65">
                  <c:v>1.3956266726081801E+22</c:v>
                </c:pt>
                <c:pt idx="66">
                  <c:v>1.3916506047254465E+22</c:v>
                </c:pt>
                <c:pt idx="67">
                  <c:v>1.3876858644535404E+22</c:v>
                </c:pt>
                <c:pt idx="68">
                  <c:v>1.3837324195206875E+22</c:v>
                </c:pt>
                <c:pt idx="69">
                  <c:v>1.3797902377470535E+22</c:v>
                </c:pt>
                <c:pt idx="70">
                  <c:v>1.3758592870444826E+22</c:v>
                </c:pt>
                <c:pt idx="71">
                  <c:v>1.3719395354162374E+22</c:v>
                </c:pt>
                <c:pt idx="72">
                  <c:v>1.3680309509567365E+22</c:v>
                </c:pt>
                <c:pt idx="73">
                  <c:v>1.3641335018512965E+22</c:v>
                </c:pt>
                <c:pt idx="74">
                  <c:v>1.3602471563758727E+22</c:v>
                </c:pt>
                <c:pt idx="75">
                  <c:v>1.356371882896799E+22</c:v>
                </c:pt>
                <c:pt idx="76">
                  <c:v>1.352507649870534E+22</c:v>
                </c:pt>
                <c:pt idx="77">
                  <c:v>1.3486544258434008E+22</c:v>
                </c:pt>
                <c:pt idx="78">
                  <c:v>1.3448121794513326E+22</c:v>
                </c:pt>
                <c:pt idx="79">
                  <c:v>1.340980879419618E+22</c:v>
                </c:pt>
                <c:pt idx="80">
                  <c:v>1.3371604945626445E+22</c:v>
                </c:pt>
                <c:pt idx="81">
                  <c:v>1.333350993783647E+22</c:v>
                </c:pt>
                <c:pt idx="82">
                  <c:v>1.3295523460744521E+22</c:v>
                </c:pt>
                <c:pt idx="83">
                  <c:v>1.3257645205152281E+22</c:v>
                </c:pt>
                <c:pt idx="84">
                  <c:v>1.321987486274232E+22</c:v>
                </c:pt>
                <c:pt idx="85">
                  <c:v>1.318221212607559E+22</c:v>
                </c:pt>
                <c:pt idx="86">
                  <c:v>1.3144656688588916E+22</c:v>
                </c:pt>
                <c:pt idx="87">
                  <c:v>1.3107208244592506E+22</c:v>
                </c:pt>
                <c:pt idx="88">
                  <c:v>1.3069866489267473E+22</c:v>
                </c:pt>
                <c:pt idx="89">
                  <c:v>1.303263111866333E+22</c:v>
                </c:pt>
                <c:pt idx="90">
                  <c:v>1.2995501829695532E+22</c:v>
                </c:pt>
                <c:pt idx="91">
                  <c:v>1.2958478320143012E+22</c:v>
                </c:pt>
                <c:pt idx="92">
                  <c:v>1.2921560288645712E+22</c:v>
                </c:pt>
                <c:pt idx="93">
                  <c:v>1.2884747434702129E+22</c:v>
                </c:pt>
                <c:pt idx="94">
                  <c:v>1.2848039458666883E+22</c:v>
                </c:pt>
                <c:pt idx="95">
                  <c:v>1.2811436061748252E+22</c:v>
                </c:pt>
                <c:pt idx="96">
                  <c:v>1.2774936946005777E+22</c:v>
                </c:pt>
                <c:pt idx="97">
                  <c:v>1.2738541814347798E+22</c:v>
                </c:pt>
                <c:pt idx="98">
                  <c:v>1.2702250370529061E+22</c:v>
                </c:pt>
                <c:pt idx="99">
                  <c:v>1.2666062319148302E+22</c:v>
                </c:pt>
                <c:pt idx="100">
                  <c:v>1.2629977365645835E+22</c:v>
                </c:pt>
                <c:pt idx="101">
                  <c:v>1.2593995216301161E+22</c:v>
                </c:pt>
                <c:pt idx="102">
                  <c:v>1.2558115578230574E+22</c:v>
                </c:pt>
                <c:pt idx="103">
                  <c:v>1.2522338159384783E+22</c:v>
                </c:pt>
                <c:pt idx="104">
                  <c:v>1.2486662668546524E+22</c:v>
                </c:pt>
                <c:pt idx="105">
                  <c:v>1.2451088815328204E+22</c:v>
                </c:pt>
                <c:pt idx="106">
                  <c:v>1.2415616310169521E+22</c:v>
                </c:pt>
                <c:pt idx="107">
                  <c:v>1.2380244864335115E+22</c:v>
                </c:pt>
                <c:pt idx="108">
                  <c:v>1.2344974189912226E+22</c:v>
                </c:pt>
                <c:pt idx="109">
                  <c:v>1.2309803999808339E+22</c:v>
                </c:pt>
                <c:pt idx="110">
                  <c:v>1.2274734007748846E+22</c:v>
                </c:pt>
                <c:pt idx="111">
                  <c:v>1.2239763928274726E+22</c:v>
                </c:pt>
                <c:pt idx="112">
                  <c:v>1.2204893476740215E+22</c:v>
                </c:pt>
                <c:pt idx="113">
                  <c:v>1.2170122369310485E+22</c:v>
                </c:pt>
                <c:pt idx="114">
                  <c:v>1.2135450322959348E+22</c:v>
                </c:pt>
                <c:pt idx="115">
                  <c:v>1.2100877055466934E+22</c:v>
                </c:pt>
                <c:pt idx="116">
                  <c:v>1.2066402285417409E+22</c:v>
                </c:pt>
                <c:pt idx="117">
                  <c:v>1.2032025732196673E+22</c:v>
                </c:pt>
                <c:pt idx="118">
                  <c:v>1.1997747115990085E+22</c:v>
                </c:pt>
                <c:pt idx="119">
                  <c:v>1.196356615778018E+22</c:v>
                </c:pt>
                <c:pt idx="120">
                  <c:v>1.1929482579344399E+22</c:v>
                </c:pt>
                <c:pt idx="121">
                  <c:v>1.1895496103252822E+22</c:v>
                </c:pt>
                <c:pt idx="122">
                  <c:v>1.186160645286592E+22</c:v>
                </c:pt>
                <c:pt idx="123">
                  <c:v>1.1827813352332287E+22</c:v>
                </c:pt>
                <c:pt idx="124">
                  <c:v>1.179411652658641E+22</c:v>
                </c:pt>
                <c:pt idx="125">
                  <c:v>1.1760515701346417E+22</c:v>
                </c:pt>
                <c:pt idx="126">
                  <c:v>1.1727010603111857E+22</c:v>
                </c:pt>
                <c:pt idx="127">
                  <c:v>1.1693600959161463E+22</c:v>
                </c:pt>
                <c:pt idx="128">
                  <c:v>1.1660286497550942E+22</c:v>
                </c:pt>
                <c:pt idx="129">
                  <c:v>1.1627066947110749E+22</c:v>
                </c:pt>
                <c:pt idx="130">
                  <c:v>1.1593942037443891E+22</c:v>
                </c:pt>
                <c:pt idx="131">
                  <c:v>1.1560911498923727E+22</c:v>
                </c:pt>
                <c:pt idx="132">
                  <c:v>1.1527975062691755E+22</c:v>
                </c:pt>
                <c:pt idx="133">
                  <c:v>1.1495132460655447E+22</c:v>
                </c:pt>
                <c:pt idx="134">
                  <c:v>1.1462383425486059E+22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courbes!$AM$1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courbes!$AM$2:$AM$136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courbes!$AQ$1</c:f>
              <c:strCache>
                <c:ptCount val="1"/>
                <c:pt idx="0">
                  <c:v>VESTA - U238 </c:v>
                </c:pt>
              </c:strCache>
            </c:strRef>
          </c:tx>
          <c:marker>
            <c:symbol val="none"/>
          </c:marker>
          <c:xVal>
            <c:numRef>
              <c:f>courbes!$AO$2:$AO$8</c:f>
              <c:numCache>
                <c:formatCode>0.0000E+00</c:formatCode>
                <c:ptCount val="7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courbes!$AQ$2:$AQ$8</c:f>
              <c:numCache>
                <c:formatCode>0.0000E+00</c:formatCode>
                <c:ptCount val="7"/>
                <c:pt idx="0">
                  <c:v>1.6799927091276064E+22</c:v>
                </c:pt>
                <c:pt idx="1">
                  <c:v>1.6722149651038675E+22</c:v>
                </c:pt>
                <c:pt idx="2">
                  <c:v>1.6583878646172205E+22</c:v>
                </c:pt>
                <c:pt idx="3">
                  <c:v>1.6272768885222648E+22</c:v>
                </c:pt>
                <c:pt idx="4">
                  <c:v>1.5754252616973387E+22</c:v>
                </c:pt>
                <c:pt idx="5">
                  <c:v>1.4302407065875455E+22</c:v>
                </c:pt>
                <c:pt idx="6">
                  <c:v>1.2167848428249331E+22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85504"/>
        <c:axId val="92499968"/>
      </c:scatterChart>
      <c:valAx>
        <c:axId val="92485504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Temps</a:t>
                </a:r>
                <a:r>
                  <a:rPr lang="fr-FR" baseline="0"/>
                  <a:t> (années)</a:t>
                </a:r>
                <a:endParaRPr lang="fr-FR"/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92499968"/>
        <c:crosses val="autoZero"/>
        <c:crossBetween val="midCat"/>
      </c:valAx>
      <c:valAx>
        <c:axId val="92499968"/>
        <c:scaling>
          <c:orientation val="minMax"/>
          <c:min val="1E+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0.0000E+00" sourceLinked="1"/>
        <c:majorTickMark val="out"/>
        <c:minorTickMark val="none"/>
        <c:tickLblPos val="nextTo"/>
        <c:crossAx val="924855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le Pu242</a:t>
            </a:r>
            <a:endParaRPr lang="fr-FR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courbes!$AA$1</c:f>
              <c:strCache>
                <c:ptCount val="1"/>
                <c:pt idx="0">
                  <c:v> Exact Simpl. - Pu242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courbes!$AA$2:$AA$136</c:f>
              <c:numCache>
                <c:formatCode>0.0000E+00</c:formatCode>
                <c:ptCount val="135"/>
                <c:pt idx="0">
                  <c:v>5.1070699679853543E+19</c:v>
                </c:pt>
                <c:pt idx="1">
                  <c:v>5.1403038210638676E+19</c:v>
                </c:pt>
                <c:pt idx="2">
                  <c:v>5.1727025641732014E+19</c:v>
                </c:pt>
                <c:pt idx="3">
                  <c:v>5.2042943811497558E+19</c:v>
                </c:pt>
                <c:pt idx="4">
                  <c:v>5.2351065574077039E+19</c:v>
                </c:pt>
                <c:pt idx="5">
                  <c:v>5.2651655066511081E+19</c:v>
                </c:pt>
                <c:pt idx="6">
                  <c:v>5.2944967968094093E+19</c:v>
                </c:pt>
                <c:pt idx="7">
                  <c:v>5.3231251752183923E+19</c:v>
                </c:pt>
                <c:pt idx="8">
                  <c:v>5.351074593069151E+19</c:v>
                </c:pt>
                <c:pt idx="9">
                  <c:v>5.3783682291456147E+19</c:v>
                </c:pt>
                <c:pt idx="10">
                  <c:v>5.4050285128719401E+19</c:v>
                </c:pt>
                <c:pt idx="11">
                  <c:v>5.431077146689808E+19</c:v>
                </c:pt>
                <c:pt idx="12">
                  <c:v>5.4565351277845283E+19</c:v>
                </c:pt>
                <c:pt idx="13">
                  <c:v>5.4814227691796496E+19</c:v>
                </c:pt>
                <c:pt idx="14">
                  <c:v>5.5057597202179129E+19</c:v>
                </c:pt>
                <c:pt idx="15">
                  <c:v>5.5295649864464466E+19</c:v>
                </c:pt>
                <c:pt idx="16">
                  <c:v>5.552856948923895E+19</c:v>
                </c:pt>
                <c:pt idx="17">
                  <c:v>5.5756533829655003E+19</c:v>
                </c:pt>
                <c:pt idx="18">
                  <c:v>5.5979714763434426E+19</c:v>
                </c:pt>
                <c:pt idx="19">
                  <c:v>5.6198278469574164E+19</c:v>
                </c:pt>
                <c:pt idx="20">
                  <c:v>5.6412385599911592E+19</c:v>
                </c:pt>
                <c:pt idx="21">
                  <c:v>5.6622191445700051E+19</c:v>
                </c:pt>
                <c:pt idx="22">
                  <c:v>5.682784609933738E+19</c:v>
                </c:pt>
                <c:pt idx="23">
                  <c:v>5.7029494611385844E+19</c:v>
                </c:pt>
                <c:pt idx="24">
                  <c:v>5.7227277143026303E+19</c:v>
                </c:pt>
                <c:pt idx="25">
                  <c:v>5.7421329114073399E+19</c:v>
                </c:pt>
                <c:pt idx="26">
                  <c:v>5.7611781346681225E+19</c:v>
                </c:pt>
                <c:pt idx="27">
                  <c:v>5.7798760204869796E+19</c:v>
                </c:pt>
                <c:pt idx="28">
                  <c:v>5.7982387729983177E+19</c:v>
                </c:pt>
                <c:pt idx="29">
                  <c:v>5.8162781772207555E+19</c:v>
                </c:pt>
                <c:pt idx="30">
                  <c:v>5.8340056118258729E+19</c:v>
                </c:pt>
                <c:pt idx="31">
                  <c:v>5.851432061534693E+19</c:v>
                </c:pt>
                <c:pt idx="32">
                  <c:v>5.8685681291534631E+19</c:v>
                </c:pt>
                <c:pt idx="33">
                  <c:v>5.885424047258334E+19</c:v>
                </c:pt>
                <c:pt idx="34">
                  <c:v>5.9020096895397331E+19</c:v>
                </c:pt>
                <c:pt idx="35">
                  <c:v>5.918334581815876E+19</c:v>
                </c:pt>
                <c:pt idx="36">
                  <c:v>5.9344079127252533E+19</c:v>
                </c:pt>
                <c:pt idx="37">
                  <c:v>5.9502385441072939E+19</c:v>
                </c:pt>
                <c:pt idx="38">
                  <c:v>5.9658350210799796E+19</c:v>
                </c:pt>
                <c:pt idx="39">
                  <c:v>5.9812055818238394E+19</c:v>
                </c:pt>
                <c:pt idx="40">
                  <c:v>5.9963581670798492E+19</c:v>
                </c:pt>
                <c:pt idx="41">
                  <c:v>6.011300429370386E+19</c:v>
                </c:pt>
                <c:pt idx="42">
                  <c:v>6.0260397419508695E+19</c:v>
                </c:pt>
                <c:pt idx="43">
                  <c:v>6.0405832074996777E+19</c:v>
                </c:pt>
                <c:pt idx="44">
                  <c:v>6.0549376665543246E+19</c:v>
                </c:pt>
                <c:pt idx="45">
                  <c:v>6.0691097057009533E+19</c:v>
                </c:pt>
                <c:pt idx="46">
                  <c:v>6.0831056655242625E+19</c:v>
                </c:pt>
                <c:pt idx="47">
                  <c:v>6.0969316483249766E+19</c:v>
                </c:pt>
                <c:pt idx="48">
                  <c:v>6.1105935256113381E+19</c:v>
                </c:pt>
                <c:pt idx="49">
                  <c:v>6.1240969453713359E+19</c:v>
                </c:pt>
                <c:pt idx="50">
                  <c:v>6.1374473391319024E+19</c:v>
                </c:pt>
                <c:pt idx="51">
                  <c:v>6.1506499288112103E+19</c:v>
                </c:pt>
                <c:pt idx="52">
                  <c:v>6.1637097333701181E+19</c:v>
                </c:pt>
                <c:pt idx="53">
                  <c:v>6.1766315752685601E+19</c:v>
                </c:pt>
                <c:pt idx="54">
                  <c:v>6.1894200867322692E+19</c:v>
                </c:pt>
                <c:pt idx="55">
                  <c:v>6.202079715835809E+19</c:v>
                </c:pt>
                <c:pt idx="56">
                  <c:v>6.2146147324065317E+19</c:v>
                </c:pt>
                <c:pt idx="57">
                  <c:v>6.2270292337553637E+19</c:v>
                </c:pt>
                <c:pt idx="58">
                  <c:v>6.2393271502388298E+19</c:v>
                </c:pt>
                <c:pt idx="59">
                  <c:v>6.2515122506572857E+19</c:v>
                </c:pt>
                <c:pt idx="60">
                  <c:v>6.2635881474945417E+19</c:v>
                </c:pt>
                <c:pt idx="61">
                  <c:v>6.2755583020027838E+19</c:v>
                </c:pt>
                <c:pt idx="62">
                  <c:v>6.2874260291376677E+19</c:v>
                </c:pt>
                <c:pt idx="63">
                  <c:v>6.2991945023478071E+19</c:v>
                </c:pt>
                <c:pt idx="64">
                  <c:v>6.31086675822283E+19</c:v>
                </c:pt>
                <c:pt idx="65">
                  <c:v>6.3224457010041094E+19</c:v>
                </c:pt>
                <c:pt idx="66">
                  <c:v>6.3339341069620576E+19</c:v>
                </c:pt>
                <c:pt idx="67">
                  <c:v>6.3453346286439268E+19</c:v>
                </c:pt>
                <c:pt idx="68">
                  <c:v>6.3566497989957255E+19</c:v>
                </c:pt>
                <c:pt idx="69">
                  <c:v>6.3678820353619722E+19</c:v>
                </c:pt>
                <c:pt idx="70">
                  <c:v>6.3790336433669243E+19</c:v>
                </c:pt>
                <c:pt idx="71">
                  <c:v>6.3901068206801617E+19</c:v>
                </c:pt>
                <c:pt idx="72">
                  <c:v>6.401103660670727E+19</c:v>
                </c:pt>
                <c:pt idx="73">
                  <c:v>6.4120261559521116E+19</c:v>
                </c:pt>
                <c:pt idx="74">
                  <c:v>6.4228762018219983E+19</c:v>
                </c:pt>
                <c:pt idx="75">
                  <c:v>6.4336555995992261E+19</c:v>
                </c:pt>
                <c:pt idx="76">
                  <c:v>6.4443660598611837E+19</c:v>
                </c:pt>
                <c:pt idx="77">
                  <c:v>6.4550092055847502E+19</c:v>
                </c:pt>
                <c:pt idx="78">
                  <c:v>6.4655865751927521E+19</c:v>
                </c:pt>
                <c:pt idx="79">
                  <c:v>6.4760996255098995E+19</c:v>
                </c:pt>
                <c:pt idx="80">
                  <c:v>6.4865497346293498E+19</c:v>
                </c:pt>
                <c:pt idx="81">
                  <c:v>6.4969382046938694E+19</c:v>
                </c:pt>
                <c:pt idx="82">
                  <c:v>6.5072662645929247E+19</c:v>
                </c:pt>
                <c:pt idx="83">
                  <c:v>6.5175350725789811E+19</c:v>
                </c:pt>
                <c:pt idx="84">
                  <c:v>6.5277457188045652E+19</c:v>
                </c:pt>
                <c:pt idx="85">
                  <c:v>6.5378992277832892E+19</c:v>
                </c:pt>
                <c:pt idx="86">
                  <c:v>6.5479965607758135E+19</c:v>
                </c:pt>
                <c:pt idx="87">
                  <c:v>6.5580386181043454E+19</c:v>
                </c:pt>
                <c:pt idx="88">
                  <c:v>6.5680262413963166E+19</c:v>
                </c:pt>
                <c:pt idx="89">
                  <c:v>6.5779602157604831E+19</c:v>
                </c:pt>
                <c:pt idx="90">
                  <c:v>6.5878412718964441E+19</c:v>
                </c:pt>
                <c:pt idx="91">
                  <c:v>6.59767008814022E+19</c:v>
                </c:pt>
                <c:pt idx="92">
                  <c:v>6.607447292447241E+19</c:v>
                </c:pt>
                <c:pt idx="93">
                  <c:v>6.6171734643147309E+19</c:v>
                </c:pt>
                <c:pt idx="94">
                  <c:v>6.6268491366454624E+19</c:v>
                </c:pt>
                <c:pt idx="95">
                  <c:v>6.6364747975539556E+19</c:v>
                </c:pt>
                <c:pt idx="96">
                  <c:v>6.6460508921175769E+19</c:v>
                </c:pt>
                <c:pt idx="97">
                  <c:v>6.6555778240733872E+19</c:v>
                </c:pt>
                <c:pt idx="98">
                  <c:v>6.6650559574629319E+19</c:v>
                </c:pt>
                <c:pt idx="99">
                  <c:v>6.6744856182258336E+19</c:v>
                </c:pt>
                <c:pt idx="100">
                  <c:v>6.6838670957444071E+19</c:v>
                </c:pt>
                <c:pt idx="101">
                  <c:v>6.6932006443399676E+19</c:v>
                </c:pt>
                <c:pt idx="102">
                  <c:v>6.7024864847227978E+19</c:v>
                </c:pt>
                <c:pt idx="103">
                  <c:v>6.7117248053967585E+19</c:v>
                </c:pt>
                <c:pt idx="104">
                  <c:v>6.7209157640200421E+19</c:v>
                </c:pt>
                <c:pt idx="105">
                  <c:v>6.730059488723275E+19</c:v>
                </c:pt>
                <c:pt idx="106">
                  <c:v>6.7391560793861423E+19</c:v>
                </c:pt>
                <c:pt idx="107">
                  <c:v>6.7482056088739217E+19</c:v>
                </c:pt>
                <c:pt idx="108">
                  <c:v>6.7572081242347733E+19</c:v>
                </c:pt>
                <c:pt idx="109">
                  <c:v>6.7661636478593335E+19</c:v>
                </c:pt>
                <c:pt idx="110">
                  <c:v>6.7750721786031768E+19</c:v>
                </c:pt>
                <c:pt idx="111">
                  <c:v>6.7839336928738509E+19</c:v>
                </c:pt>
                <c:pt idx="112">
                  <c:v>6.7927481456829891E+19</c:v>
                </c:pt>
                <c:pt idx="113">
                  <c:v>6.80151547166469E+19</c:v>
                </c:pt>
                <c:pt idx="114">
                  <c:v>6.810235586061176E+19</c:v>
                </c:pt>
                <c:pt idx="115">
                  <c:v>6.81890838567685E+19</c:v>
                </c:pt>
                <c:pt idx="116">
                  <c:v>6.8275337498011599E+19</c:v>
                </c:pt>
                <c:pt idx="117">
                  <c:v>6.8361115411016876E+19</c:v>
                </c:pt>
                <c:pt idx="118">
                  <c:v>6.8446416064881656E+19</c:v>
                </c:pt>
                <c:pt idx="119">
                  <c:v>6.8531237779480871E+19</c:v>
                </c:pt>
                <c:pt idx="120">
                  <c:v>6.8615578733550305E+19</c:v>
                </c:pt>
                <c:pt idx="121">
                  <c:v>6.8699436972502614E+19</c:v>
                </c:pt>
                <c:pt idx="122">
                  <c:v>6.8782810415985099E+19</c:v>
                </c:pt>
                <c:pt idx="123">
                  <c:v>6.8865696865186316E+19</c:v>
                </c:pt>
                <c:pt idx="124">
                  <c:v>6.8948094009898893E+19</c:v>
                </c:pt>
                <c:pt idx="125">
                  <c:v>6.9029999435346018E+19</c:v>
                </c:pt>
                <c:pt idx="126">
                  <c:v>6.9111410628778459E+19</c:v>
                </c:pt>
                <c:pt idx="127">
                  <c:v>6.9192324985846596E+19</c:v>
                </c:pt>
                <c:pt idx="128">
                  <c:v>6.9272739816759853E+19</c:v>
                </c:pt>
                <c:pt idx="129">
                  <c:v>6.9352652352232096E+19</c:v>
                </c:pt>
                <c:pt idx="130">
                  <c:v>6.9432059749225529E+19</c:v>
                </c:pt>
                <c:pt idx="131">
                  <c:v>6.9510959096495669E+19</c:v>
                </c:pt>
                <c:pt idx="132">
                  <c:v>6.9589347419943797E+19</c:v>
                </c:pt>
                <c:pt idx="133">
                  <c:v>6.9667221687784767E+19</c:v>
                </c:pt>
                <c:pt idx="134">
                  <c:v>6.9744578815531057E+19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courbes!$O$1</c:f>
              <c:strCache>
                <c:ptCount val="1"/>
                <c:pt idx="0">
                  <c:v>O5 - Pu242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courbes!$O$2:$O$122</c:f>
              <c:numCache>
                <c:formatCode>0.0000E+00</c:formatCode>
                <c:ptCount val="121"/>
                <c:pt idx="0">
                  <c:v>5.1070699679853748E+19</c:v>
                </c:pt>
                <c:pt idx="1">
                  <c:v>5.1403038210650227E+19</c:v>
                </c:pt>
                <c:pt idx="2">
                  <c:v>5.1727025642489274E+19</c:v>
                </c:pt>
                <c:pt idx="3">
                  <c:v>5.2042943820107784E+19</c:v>
                </c:pt>
                <c:pt idx="4">
                  <c:v>5.2351065622197903E+19</c:v>
                </c:pt>
                <c:pt idx="5">
                  <c:v>5.2651655249050952E+19</c:v>
                </c:pt>
                <c:pt idx="6">
                  <c:v>5.2944968510201225E+19</c:v>
                </c:pt>
                <c:pt idx="7">
                  <c:v>5.3231253112069841E+19</c:v>
                </c:pt>
                <c:pt idx="8">
                  <c:v>5.3510748945608696E+19</c:v>
                </c:pt>
                <c:pt idx="9">
                  <c:v>5.3783688373944222E+19</c:v>
                </c:pt>
                <c:pt idx="10">
                  <c:v>5.4050296520021344E+19</c:v>
                </c:pt>
                <c:pt idx="11">
                  <c:v>5.431079155424727E+19</c:v>
                </c:pt>
                <c:pt idx="12">
                  <c:v>5.4565384982135439E+19</c:v>
                </c:pt>
                <c:pt idx="13">
                  <c:v>5.4814260506297049E+19</c:v>
                </c:pt>
                <c:pt idx="14">
                  <c:v>5.5057629186330255E+19</c:v>
                </c:pt>
                <c:pt idx="15">
                  <c:v>5.5295681088236462E+19</c:v>
                </c:pt>
                <c:pt idx="16">
                  <c:v>5.5528600046657716E+19</c:v>
                </c:pt>
                <c:pt idx="17">
                  <c:v>5.5756563866682458E+19</c:v>
                </c:pt>
                <c:pt idx="18">
                  <c:v>5.5979744525651198E+19</c:v>
                </c:pt>
                <c:pt idx="19">
                  <c:v>5.6198308374962225E+19</c:v>
                </c:pt>
                <c:pt idx="20">
                  <c:v>5.6412416341877375E+19</c:v>
                </c:pt>
                <c:pt idx="21">
                  <c:v>5.6622224131327672E+19</c:v>
                </c:pt>
                <c:pt idx="22">
                  <c:v>5.6827882427719123E+19</c:v>
                </c:pt>
                <c:pt idx="23">
                  <c:v>5.7029537096738398E+19</c:v>
                </c:pt>
                <c:pt idx="24">
                  <c:v>5.7227329387158503E+19</c:v>
                </c:pt>
                <c:pt idx="25">
                  <c:v>5.7421381101686874E+19</c:v>
                </c:pt>
                <c:pt idx="26">
                  <c:v>5.7611833292816613E+19</c:v>
                </c:pt>
                <c:pt idx="27">
                  <c:v>5.7798812344617558E+19</c:v>
                </c:pt>
                <c:pt idx="28">
                  <c:v>5.7982440328300675E+19</c:v>
                </c:pt>
                <c:pt idx="29">
                  <c:v>5.8162835143782515E+19</c:v>
                </c:pt>
                <c:pt idx="30">
                  <c:v>5.8340110661249786E+19</c:v>
                </c:pt>
                <c:pt idx="31">
                  <c:v>5.8514376862723817E+19</c:v>
                </c:pt>
                <c:pt idx="32">
                  <c:v>5.868573998362511E+19</c:v>
                </c:pt>
                <c:pt idx="33">
                  <c:v>5.885430265433781E+19</c:v>
                </c:pt>
                <c:pt idx="34">
                  <c:v>5.9020164041774268E+19</c:v>
                </c:pt>
                <c:pt idx="35">
                  <c:v>5.9183419990939501E+19</c:v>
                </c:pt>
                <c:pt idx="36">
                  <c:v>5.9344163166495744E+19</c:v>
                </c:pt>
                <c:pt idx="37">
                  <c:v>5.9502472640465789E+19</c:v>
                </c:pt>
                <c:pt idx="38">
                  <c:v>5.9658441061338784E+19</c:v>
                </c:pt>
                <c:pt idx="39">
                  <c:v>5.9812150839716348E+19</c:v>
                </c:pt>
                <c:pt idx="40">
                  <c:v>5.9963681418726294E+19</c:v>
                </c:pt>
                <c:pt idx="41">
                  <c:v>6.0113109373273948E+19</c:v>
                </c:pt>
                <c:pt idx="42">
                  <c:v>6.026050850929324E+19</c:v>
                </c:pt>
                <c:pt idx="43">
                  <c:v>6.0405949962998071E+19</c:v>
                </c:pt>
                <c:pt idx="44">
                  <c:v>6.0549502300133417E+19</c:v>
                </c:pt>
                <c:pt idx="45">
                  <c:v>6.0691231615226561E+19</c:v>
                </c:pt>
                <c:pt idx="46">
                  <c:v>6.0831201630838391E+19</c:v>
                </c:pt>
                <c:pt idx="47">
                  <c:v>6.0969473796814529E+19</c:v>
                </c:pt>
                <c:pt idx="48">
                  <c:v>6.1106107389536633E+19</c:v>
                </c:pt>
                <c:pt idx="49">
                  <c:v>6.1241152194658583E+19</c:v>
                </c:pt>
                <c:pt idx="50">
                  <c:v>6.1374667598933328E+19</c:v>
                </c:pt>
                <c:pt idx="51">
                  <c:v>6.1506705855702352E+19</c:v>
                </c:pt>
                <c:pt idx="52">
                  <c:v>6.1637317193449054E+19</c:v>
                </c:pt>
                <c:pt idx="53">
                  <c:v>6.1766549885304979E+19</c:v>
                </c:pt>
                <c:pt idx="54">
                  <c:v>6.1894450318556054E+19</c:v>
                </c:pt>
                <c:pt idx="55">
                  <c:v>6.2021063064148836E+19</c:v>
                </c:pt>
                <c:pt idx="56">
                  <c:v>6.2146430946196824E+19</c:v>
                </c:pt>
                <c:pt idx="57">
                  <c:v>6.2270595111486513E+19</c:v>
                </c:pt>
                <c:pt idx="58">
                  <c:v>6.2393595098983842E+19</c:v>
                </c:pt>
                <c:pt idx="59">
                  <c:v>6.2515468909340328E+19</c:v>
                </c:pt>
                <c:pt idx="60">
                  <c:v>6.2636253074399281E+19</c:v>
                </c:pt>
                <c:pt idx="61">
                  <c:v>6.275597751085985E+19</c:v>
                </c:pt>
                <c:pt idx="62">
                  <c:v>6.2874678946464039E+19</c:v>
                </c:pt>
                <c:pt idx="63">
                  <c:v>6.2992389151244018E+19</c:v>
                </c:pt>
                <c:pt idx="64">
                  <c:v>6.3109138529718493E+19</c:v>
                </c:pt>
                <c:pt idx="65">
                  <c:v>6.3224956169474064E+19</c:v>
                </c:pt>
                <c:pt idx="66">
                  <c:v>6.3339869889746371E+19</c:v>
                </c:pt>
                <c:pt idx="67">
                  <c:v>6.3453906290001322E+19</c:v>
                </c:pt>
                <c:pt idx="68">
                  <c:v>6.3567090798516355E+19</c:v>
                </c:pt>
                <c:pt idx="69">
                  <c:v>6.3679447720961647E+19</c:v>
                </c:pt>
                <c:pt idx="70">
                  <c:v>6.3791000288981393E+19</c:v>
                </c:pt>
                <c:pt idx="71">
                  <c:v>6.3901770708774896E+19</c:v>
                </c:pt>
                <c:pt idx="72">
                  <c:v>6.4011780209677976E+19</c:v>
                </c:pt>
                <c:pt idx="73">
                  <c:v>6.4121045422194622E+19</c:v>
                </c:pt>
                <c:pt idx="74">
                  <c:v>6.42295878259224E+19</c:v>
                </c:pt>
                <c:pt idx="75">
                  <c:v>6.4337425467452604E+19</c:v>
                </c:pt>
                <c:pt idx="76">
                  <c:v>6.4444575487855272E+19</c:v>
                </c:pt>
                <c:pt idx="77">
                  <c:v>6.4551054156531876E+19</c:v>
                </c:pt>
                <c:pt idx="78">
                  <c:v>6.4656876905067708E+19</c:v>
                </c:pt>
                <c:pt idx="79">
                  <c:v>6.4762058361084551E+19</c:v>
                </c:pt>
                <c:pt idx="80">
                  <c:v>6.4866612382093066E+19</c:v>
                </c:pt>
                <c:pt idx="81">
                  <c:v>6.4970552089345352E+19</c:v>
                </c:pt>
                <c:pt idx="82">
                  <c:v>6.5073889901687562E+19</c:v>
                </c:pt>
                <c:pt idx="83">
                  <c:v>6.517663756941226E+19</c:v>
                </c:pt>
                <c:pt idx="84">
                  <c:v>6.5278806208111084E+19</c:v>
                </c:pt>
                <c:pt idx="85">
                  <c:v>6.5380403748300882E+19</c:v>
                </c:pt>
                <c:pt idx="86">
                  <c:v>6.5481441586761097E+19</c:v>
                </c:pt>
                <c:pt idx="87">
                  <c:v>6.5581928755328508E+19</c:v>
                </c:pt>
                <c:pt idx="88">
                  <c:v>6.5681873699958014E+19</c:v>
                </c:pt>
                <c:pt idx="89">
                  <c:v>6.578128430420453E+19</c:v>
                </c:pt>
                <c:pt idx="90">
                  <c:v>6.5880167912704991E+19</c:v>
                </c:pt>
                <c:pt idx="91">
                  <c:v>6.5978531354660282E+19</c:v>
                </c:pt>
                <c:pt idx="92">
                  <c:v>6.6076380967317217E+19</c:v>
                </c:pt>
                <c:pt idx="93">
                  <c:v>6.617372261945054E+19</c:v>
                </c:pt>
                <c:pt idx="94">
                  <c:v>6.6270561734844867E+19</c:v>
                </c:pt>
                <c:pt idx="95">
                  <c:v>6.6366903315776627E+19</c:v>
                </c:pt>
                <c:pt idx="96">
                  <c:v>6.6462751966496096E+19</c:v>
                </c:pt>
                <c:pt idx="97">
                  <c:v>6.6558110097062633E+19</c:v>
                </c:pt>
                <c:pt idx="98">
                  <c:v>6.6652982606448599E+19</c:v>
                </c:pt>
                <c:pt idx="99">
                  <c:v>6.6747372776208253E+19</c:v>
                </c:pt>
                <c:pt idx="100">
                  <c:v>6.6841283522829304E+19</c:v>
                </c:pt>
                <c:pt idx="101">
                  <c:v>6.6934717413913403E+19</c:v>
                </c:pt>
                <c:pt idx="102">
                  <c:v>6.702767668435642E+19</c:v>
                </c:pt>
                <c:pt idx="103">
                  <c:v>6.7120163252528923E+19</c:v>
                </c:pt>
                <c:pt idx="104">
                  <c:v>6.7212178736456516E+19</c:v>
                </c:pt>
                <c:pt idx="105">
                  <c:v>6.7303724470000222E+19</c:v>
                </c:pt>
                <c:pt idx="106">
                  <c:v>6.7394801519036891E+19</c:v>
                </c:pt>
                <c:pt idx="107">
                  <c:v>6.7485410697639608E+19</c:v>
                </c:pt>
                <c:pt idx="108">
                  <c:v>6.7575552584257995E+19</c:v>
                </c:pt>
                <c:pt idx="109">
                  <c:v>6.7665226257032962E+19</c:v>
                </c:pt>
                <c:pt idx="110">
                  <c:v>6.7754432589992894E+19</c:v>
                </c:pt>
                <c:pt idx="111">
                  <c:v>6.7843171362121875E+19</c:v>
                </c:pt>
                <c:pt idx="112">
                  <c:v>6.7931442138596557E+19</c:v>
                </c:pt>
                <c:pt idx="113">
                  <c:v>6.801924428182877E+19</c:v>
                </c:pt>
                <c:pt idx="114">
                  <c:v>6.8106576962508055E+19</c:v>
                </c:pt>
                <c:pt idx="115">
                  <c:v>6.8193439170644181E+19</c:v>
                </c:pt>
                <c:pt idx="116">
                  <c:v>6.8279829726609826E+19</c:v>
                </c:pt>
                <c:pt idx="117">
                  <c:v>6.8365747292182995E+19</c:v>
                </c:pt>
                <c:pt idx="118">
                  <c:v>6.8451190381589643E+19</c:v>
                </c:pt>
                <c:pt idx="119">
                  <c:v>6.8536157372546245E+19</c:v>
                </c:pt>
                <c:pt idx="120">
                  <c:v>6.8620646517302395E+19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courbes!$AJ$1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courbes!$AJ$2:$AJ$51</c:f>
              <c:numCache>
                <c:formatCode>0.0000E+00</c:formatCode>
                <c:ptCount val="50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courbes!$AV$1</c:f>
              <c:strCache>
                <c:ptCount val="1"/>
                <c:pt idx="0">
                  <c:v>VESTA - Pu242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courbes!$AV$2:$AV$8</c:f>
              <c:numCache>
                <c:formatCode>0.0000E+00</c:formatCode>
                <c:ptCount val="7"/>
                <c:pt idx="0">
                  <c:v>5.1070699679853748E+19</c:v>
                </c:pt>
                <c:pt idx="1">
                  <c:v>5.1691620040703025E+19</c:v>
                </c:pt>
                <c:pt idx="2">
                  <c:v>5.2873093505096802E+19</c:v>
                </c:pt>
                <c:pt idx="3">
                  <c:v>5.5149801494877528E+19</c:v>
                </c:pt>
                <c:pt idx="4">
                  <c:v>5.837513781373354E+19</c:v>
                </c:pt>
                <c:pt idx="5">
                  <c:v>6.5765814886620176E+19</c:v>
                </c:pt>
                <c:pt idx="6">
                  <c:v>7.5148611450564936E+19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courbes!$F$1</c:f>
              <c:strCache>
                <c:ptCount val="1"/>
                <c:pt idx="0">
                  <c:v>RK1 - Pu242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courbes!$F$2:$F$136</c:f>
              <c:numCache>
                <c:formatCode>0.0000E+00</c:formatCode>
                <c:ptCount val="135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45088"/>
        <c:axId val="92763648"/>
      </c:scatterChart>
      <c:valAx>
        <c:axId val="92745088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92763648"/>
        <c:crosses val="autoZero"/>
        <c:crossBetween val="midCat"/>
      </c:valAx>
      <c:valAx>
        <c:axId val="92763648"/>
        <c:scaling>
          <c:orientation val="minMax"/>
          <c:min val="4E+19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overlay val="0"/>
        </c:title>
        <c:numFmt formatCode="0.0000E+00" sourceLinked="1"/>
        <c:majorTickMark val="out"/>
        <c:minorTickMark val="none"/>
        <c:tickLblPos val="nextTo"/>
        <c:crossAx val="927450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fr-FR" sz="1400"/>
              <a:t>Quantité total du vecteur Pu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mod.RK1!$U$2:$U$94</c:f>
              <c:numCache>
                <c:formatCode>0.00</c:formatCode>
                <c:ptCount val="93"/>
                <c:pt idx="0">
                  <c:v>3.1480046197121304E+21</c:v>
                </c:pt>
                <c:pt idx="1">
                  <c:v>3.1472360403681422E+21</c:v>
                </c:pt>
                <c:pt idx="2">
                  <c:v>3.1464122326719518E+21</c:v>
                </c:pt>
                <c:pt idx="3">
                  <c:v>3.1455334915009392E+21</c:v>
                </c:pt>
                <c:pt idx="4">
                  <c:v>3.1446001247279802E+21</c:v>
                </c:pt>
                <c:pt idx="5">
                  <c:v>3.1436124524854499E+21</c:v>
                </c:pt>
                <c:pt idx="6">
                  <c:v>3.1425708064576881E+21</c:v>
                </c:pt>
                <c:pt idx="7">
                  <c:v>3.1414755292009165E+21</c:v>
                </c:pt>
                <c:pt idx="8">
                  <c:v>3.1403269734896999E+21</c:v>
                </c:pt>
                <c:pt idx="9">
                  <c:v>3.1391255016890051E+21</c:v>
                </c:pt>
                <c:pt idx="10">
                  <c:v>3.1378714851509844E+21</c:v>
                </c:pt>
                <c:pt idx="11">
                  <c:v>3.1365653036356186E+21</c:v>
                </c:pt>
                <c:pt idx="12">
                  <c:v>3.1352073447544057E+21</c:v>
                </c:pt>
                <c:pt idx="13">
                  <c:v>3.1337980034362644E+21</c:v>
                </c:pt>
                <c:pt idx="14">
                  <c:v>3.1323376814149112E+21</c:v>
                </c:pt>
                <c:pt idx="15">
                  <c:v>3.1308267867369279E+21</c:v>
                </c:pt>
                <c:pt idx="16">
                  <c:v>3.129265733289815E+21</c:v>
                </c:pt>
                <c:pt idx="17">
                  <c:v>3.1276549403493222E+21</c:v>
                </c:pt>
                <c:pt idx="18">
                  <c:v>3.1259948321453748E+21</c:v>
                </c:pt>
                <c:pt idx="19">
                  <c:v>3.1242858374459409E+21</c:v>
                </c:pt>
                <c:pt idx="20">
                  <c:v>3.122528389158207E+21</c:v>
                </c:pt>
                <c:pt idx="21">
                  <c:v>3.1207229239464433E+21</c:v>
                </c:pt>
                <c:pt idx="22">
                  <c:v>3.1188698818659672E+21</c:v>
                </c:pt>
                <c:pt idx="23">
                  <c:v>3.1169697060126379E+21</c:v>
                </c:pt>
                <c:pt idx="24">
                  <c:v>3.1150228421873081E+21</c:v>
                </c:pt>
                <c:pt idx="25">
                  <c:v>3.113029738574725E+21</c:v>
                </c:pt>
                <c:pt idx="26">
                  <c:v>3.1109908454363302E+21</c:v>
                </c:pt>
                <c:pt idx="27">
                  <c:v>3.1089066148164833E+21</c:v>
                </c:pt>
                <c:pt idx="28">
                  <c:v>3.1067775002616062E+21</c:v>
                </c:pt>
                <c:pt idx="29">
                  <c:v>3.1046039565517969E+21</c:v>
                </c:pt>
                <c:pt idx="30">
                  <c:v>3.1023864394444408E+21</c:v>
                </c:pt>
                <c:pt idx="31">
                  <c:v>3.1001254054293956E+21</c:v>
                </c:pt>
                <c:pt idx="32">
                  <c:v>3.0978213114953261E+21</c:v>
                </c:pt>
                <c:pt idx="33">
                  <c:v>3.0954746149067675E+21</c:v>
                </c:pt>
                <c:pt idx="34">
                  <c:v>3.0930857729915434E+21</c:v>
                </c:pt>
                <c:pt idx="35">
                  <c:v>3.0906552429381319E+21</c:v>
                </c:pt>
                <c:pt idx="36">
                  <c:v>3.0881834816026386E+21</c:v>
                </c:pt>
                <c:pt idx="37">
                  <c:v>3.0856709453249915E+21</c:v>
                </c:pt>
                <c:pt idx="38">
                  <c:v>3.0831180897540333E+21</c:v>
                </c:pt>
                <c:pt idx="39">
                  <c:v>3.080525369681179E+21</c:v>
                </c:pt>
                <c:pt idx="40">
                  <c:v>3.0778932388823014E+21</c:v>
                </c:pt>
                <c:pt idx="41">
                  <c:v>3.0752221499675441E+21</c:v>
                </c:pt>
                <c:pt idx="42">
                  <c:v>3.0725125542387725E+21</c:v>
                </c:pt>
                <c:pt idx="43">
                  <c:v>3.0697649015543557E+21</c:v>
                </c:pt>
                <c:pt idx="44">
                  <c:v>3.0669796402009997E+21</c:v>
                </c:pt>
                <c:pt idx="45">
                  <c:v>3.0641572167723841E+21</c:v>
                </c:pt>
                <c:pt idx="46">
                  <c:v>3.0612980760543164E+21</c:v>
                </c:pt>
                <c:pt idx="47">
                  <c:v>3.0584026609161591E+21</c:v>
                </c:pt>
                <c:pt idx="48">
                  <c:v>3.0554714122083033E+21</c:v>
                </c:pt>
                <c:pt idx="49">
                  <c:v>3.0525047686654224E+21</c:v>
                </c:pt>
                <c:pt idx="50">
                  <c:v>3.0495031668153107E+21</c:v>
                </c:pt>
                <c:pt idx="51">
                  <c:v>3.0464670408930655E+21</c:v>
                </c:pt>
                <c:pt idx="52">
                  <c:v>3.0433968227604161E+21</c:v>
                </c:pt>
                <c:pt idx="53">
                  <c:v>3.0402929418299879E+21</c:v>
                </c:pt>
                <c:pt idx="54">
                  <c:v>3.0371558249943049E+21</c:v>
                </c:pt>
                <c:pt idx="55">
                  <c:v>3.0339858965593472E+21</c:v>
                </c:pt>
                <c:pt idx="56">
                  <c:v>3.0307835781824732E+21</c:v>
                </c:pt>
                <c:pt idx="57">
                  <c:v>3.0275492888145324E+21</c:v>
                </c:pt>
                <c:pt idx="58">
                  <c:v>3.0242834446459999E+21</c:v>
                </c:pt>
                <c:pt idx="59">
                  <c:v>3.0209864590569683E+21</c:v>
                </c:pt>
                <c:pt idx="60">
                  <c:v>3.0176587425708303E+21</c:v>
                </c:pt>
                <c:pt idx="61">
                  <c:v>3.0143007028115124E+21</c:v>
                </c:pt>
                <c:pt idx="62">
                  <c:v>3.0109127444640993E+21</c:v>
                </c:pt>
                <c:pt idx="63">
                  <c:v>3.0074952692387168E+21</c:v>
                </c:pt>
                <c:pt idx="64">
                  <c:v>3.0040486758375296E+21</c:v>
                </c:pt>
                <c:pt idx="65">
                  <c:v>3.000573359924721E+21</c:v>
                </c:pt>
                <c:pt idx="66">
                  <c:v>2.9970697140993283E+21</c:v>
                </c:pt>
                <c:pt idx="67">
                  <c:v>2.993538127870824E+21</c:v>
                </c:pt>
                <c:pt idx="68">
                  <c:v>2.9899789876372927E+21</c:v>
                </c:pt>
                <c:pt idx="69">
                  <c:v>2.9863926766661219E+21</c:v>
                </c:pt>
                <c:pt idx="70">
                  <c:v>2.9827795750770814E+21</c:v>
                </c:pt>
                <c:pt idx="71">
                  <c:v>2.9791400598276827E+21</c:v>
                </c:pt>
                <c:pt idx="72">
                  <c:v>2.9754745047007237E+21</c:v>
                </c:pt>
                <c:pt idx="73">
                  <c:v>2.9717832802939191E+21</c:v>
                </c:pt>
                <c:pt idx="74">
                  <c:v>2.9680667540115114E+21</c:v>
                </c:pt>
                <c:pt idx="75">
                  <c:v>2.9643252900577888E+21</c:v>
                </c:pt>
                <c:pt idx="76">
                  <c:v>2.9605592494324067E+21</c:v>
                </c:pt>
                <c:pt idx="77">
                  <c:v>2.9567689899274325E+21</c:v>
                </c:pt>
                <c:pt idx="78">
                  <c:v>2.9529548661260372E+21</c:v>
                </c:pt>
                <c:pt idx="79">
                  <c:v>2.949117229402752E+21</c:v>
                </c:pt>
                <c:pt idx="80">
                  <c:v>2.9452564279252033E+21</c:v>
                </c:pt>
                <c:pt idx="81">
                  <c:v>2.9413728066572811E+21</c:v>
                </c:pt>
                <c:pt idx="82">
                  <c:v>2.9374667073636343E+21</c:v>
                </c:pt>
                <c:pt idx="83">
                  <c:v>2.9335384686154587E+21</c:v>
                </c:pt>
                <c:pt idx="84">
                  <c:v>2.9295884257974912E+21</c:v>
                </c:pt>
                <c:pt idx="85">
                  <c:v>2.9256169111161573E+21</c:v>
                </c:pt>
                <c:pt idx="86">
                  <c:v>2.9216242536088118E+21</c:v>
                </c:pt>
                <c:pt idx="87">
                  <c:v>2.917610779154009E+21</c:v>
                </c:pt>
                <c:pt idx="88">
                  <c:v>2.9135768104827544E+21</c:v>
                </c:pt>
                <c:pt idx="89">
                  <c:v>2.9095226671906821E+21</c:v>
                </c:pt>
                <c:pt idx="90">
                  <c:v>2.9054486657511011E+21</c:v>
                </c:pt>
                <c:pt idx="91">
                  <c:v>2.9013551195288738E+21</c:v>
                </c:pt>
                <c:pt idx="92">
                  <c:v>2.8972423387950623E+21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93856"/>
        <c:axId val="92931200"/>
      </c:scatterChart>
      <c:valAx>
        <c:axId val="92793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2931200"/>
        <c:crosses val="autoZero"/>
        <c:crossBetween val="midCat"/>
      </c:valAx>
      <c:valAx>
        <c:axId val="9293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fr-FR" sz="1100"/>
                  <a:t>Masse vecteur Pu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927938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/>
            </a:pPr>
            <a:r>
              <a:rPr lang="fr-FR"/>
              <a:t>Vecteur Pu au cours du temps (RK1)</a:t>
            </a:r>
          </a:p>
        </c:rich>
      </c:tx>
      <c:layout/>
      <c:overlay val="0"/>
    </c:title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mod.RK1!$K$1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mod.RK1!$K$2:$K$132</c:f>
              <c:numCache>
                <c:formatCode>0.00</c:formatCode>
                <c:ptCount val="131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</c:numCache>
            </c:numRef>
          </c:val>
        </c:ser>
        <c:ser>
          <c:idx val="2"/>
          <c:order val="1"/>
          <c:tx>
            <c:strRef>
              <c:f>mod.RK1!$M$1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mod.RK1!$M$2:$M$132</c:f>
              <c:numCache>
                <c:formatCode>0.00</c:formatCode>
                <c:ptCount val="131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</c:numCache>
            </c:numRef>
          </c:val>
        </c:ser>
        <c:ser>
          <c:idx val="3"/>
          <c:order val="2"/>
          <c:tx>
            <c:strRef>
              <c:f>mod.RK1!$O$1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mod.RK1!$O$2:$O$132</c:f>
              <c:numCache>
                <c:formatCode>0.00</c:formatCode>
                <c:ptCount val="131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</c:numCache>
            </c:numRef>
          </c:val>
        </c:ser>
        <c:ser>
          <c:idx val="4"/>
          <c:order val="3"/>
          <c:tx>
            <c:strRef>
              <c:f>mod.RK1!$Q$1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mod.RK1!$Q$2:$Q$132</c:f>
              <c:numCache>
                <c:formatCode>0.00</c:formatCode>
                <c:ptCount val="131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</c:numCache>
            </c:numRef>
          </c:val>
        </c:ser>
        <c:ser>
          <c:idx val="5"/>
          <c:order val="4"/>
          <c:tx>
            <c:strRef>
              <c:f>mod.RK1!$S$1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mod.RK1!$S$2:$S$132</c:f>
              <c:numCache>
                <c:formatCode>0.00</c:formatCode>
                <c:ptCount val="131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22016"/>
        <c:axId val="93223936"/>
      </c:areaChart>
      <c:catAx>
        <c:axId val="93222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Durée (années)</a:t>
                </a:r>
              </a:p>
            </c:rich>
          </c:tx>
          <c:layout/>
          <c:overlay val="0"/>
        </c:title>
        <c:numFmt formatCode="#,##0.00" sourceLinked="0"/>
        <c:majorTickMark val="none"/>
        <c:minorTickMark val="none"/>
        <c:tickLblPos val="nextTo"/>
        <c:crossAx val="93223936"/>
        <c:crosses val="autoZero"/>
        <c:auto val="1"/>
        <c:lblAlgn val="ctr"/>
        <c:lblOffset val="100"/>
        <c:noMultiLvlLbl val="0"/>
      </c:catAx>
      <c:valAx>
        <c:axId val="93223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E %wt</a:t>
                </a:r>
              </a:p>
            </c:rich>
          </c:tx>
          <c:layout/>
          <c:overlay val="0"/>
        </c:title>
        <c:numFmt formatCode="0%" sourceLinked="1"/>
        <c:majorTickMark val="none"/>
        <c:minorTickMark val="none"/>
        <c:tickLblPos val="nextTo"/>
        <c:crossAx val="93222016"/>
        <c:crosses val="autoZero"/>
        <c:crossBetween val="midCat"/>
      </c:valAx>
    </c:plotArea>
    <c:legend>
      <c:legendPos val="r"/>
      <c:layout/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>
          <a:solidFill>
            <a:sysClr val="windowText" lastClr="000000"/>
          </a:solidFill>
        </a:defRPr>
      </a:pPr>
      <a:endParaRPr lang="fr-FR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'Pu238'!$O$2</c:f>
              <c:strCache>
                <c:ptCount val="1"/>
                <c:pt idx="0">
                  <c:v>Exact Simpl. - Pu238</c:v>
                </c:pt>
              </c:strCache>
            </c:strRef>
          </c:tx>
          <c:marker>
            <c:symbol val="none"/>
          </c:marker>
          <c:xVal>
            <c:numRef>
              <c:f>'Pu238'!$N$3:$N$137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'Pu238'!$O$3:$O$137</c:f>
              <c:numCache>
                <c:formatCode>0.0000E+00</c:formatCode>
                <c:ptCount val="135"/>
                <c:pt idx="0">
                  <c:v>1.2032336397210911E+19</c:v>
                </c:pt>
                <c:pt idx="1">
                  <c:v>1.2244524625048338E+19</c:v>
                </c:pt>
                <c:pt idx="2">
                  <c:v>1.2444513376394756E+19</c:v>
                </c:pt>
                <c:pt idx="3">
                  <c:v>1.2632688167675199E+19</c:v>
                </c:pt>
                <c:pt idx="4">
                  <c:v>1.2809424252398715E+19</c:v>
                </c:pt>
                <c:pt idx="5">
                  <c:v>1.2975086873141232E+19</c:v>
                </c:pt>
                <c:pt idx="6">
                  <c:v>1.3130031507619987E+19</c:v>
                </c:pt>
                <c:pt idx="7">
                  <c:v>1.3274604108994576E+19</c:v>
                </c:pt>
                <c:pt idx="8">
                  <c:v>1.3409141340525773E+19</c:v>
                </c:pt>
                <c:pt idx="9">
                  <c:v>1.3533970804720689E+19</c:v>
                </c:pt>
                <c:pt idx="10">
                  <c:v>1.3649411267090612E+19</c:v>
                </c:pt>
                <c:pt idx="11">
                  <c:v>1.3755772874643669E+19</c:v>
                </c:pt>
                <c:pt idx="12">
                  <c:v>1.3853357369232957E+19</c:v>
                </c:pt>
                <c:pt idx="13">
                  <c:v>1.3942458295877673E+19</c:v>
                </c:pt>
                <c:pt idx="14">
                  <c:v>1.4023361206171812E+19</c:v>
                </c:pt>
                <c:pt idx="15">
                  <c:v>1.4096343856893092E+19</c:v>
                </c:pt>
                <c:pt idx="16">
                  <c:v>1.4161676403921428E+19</c:v>
                </c:pt>
                <c:pt idx="17">
                  <c:v>1.4219621591574815E+19</c:v>
                </c:pt>
                <c:pt idx="18">
                  <c:v>1.4270434937467093E+19</c:v>
                </c:pt>
                <c:pt idx="19">
                  <c:v>1.4314364912990298E+19</c:v>
                </c:pt>
                <c:pt idx="20">
                  <c:v>1.4351653119522128E+19</c:v>
                </c:pt>
                <c:pt idx="21">
                  <c:v>1.438253446045592E+19</c:v>
                </c:pt>
                <c:pt idx="22">
                  <c:v>1.44072373091497E+19</c:v>
                </c:pt>
                <c:pt idx="23">
                  <c:v>1.4425983672887386E+19</c:v>
                </c:pt>
                <c:pt idx="24">
                  <c:v>1.4438989352943985E+19</c:v>
                </c:pt>
                <c:pt idx="25">
                  <c:v>1.4446464100844282E+19</c:v>
                </c:pt>
                <c:pt idx="26">
                  <c:v>1.4448611770902389E+19</c:v>
                </c:pt>
                <c:pt idx="27">
                  <c:v>1.4445630469127832E+19</c:v>
                </c:pt>
                <c:pt idx="28">
                  <c:v>1.4437712698581574E+19</c:v>
                </c:pt>
                <c:pt idx="29">
                  <c:v>1.4425045501264036E+19</c:v>
                </c:pt>
                <c:pt idx="30">
                  <c:v>1.4407810596614627E+19</c:v>
                </c:pt>
                <c:pt idx="31">
                  <c:v>1.4386184516701127E+19</c:v>
                </c:pt>
                <c:pt idx="32">
                  <c:v>1.4360338738175107E+19</c:v>
                </c:pt>
                <c:pt idx="33">
                  <c:v>1.4330439811068133E+19</c:v>
                </c:pt>
                <c:pt idx="34">
                  <c:v>1.4296649484501541E+19</c:v>
                </c:pt>
                <c:pt idx="35">
                  <c:v>1.4259124829381198E+19</c:v>
                </c:pt>
                <c:pt idx="36">
                  <c:v>1.4218018358146753E+19</c:v>
                </c:pt>
                <c:pt idx="37">
                  <c:v>1.4173478141643727E+19</c:v>
                </c:pt>
                <c:pt idx="38">
                  <c:v>1.4125647923184771E+19</c:v>
                </c:pt>
                <c:pt idx="39">
                  <c:v>1.4074667229865353E+19</c:v>
                </c:pt>
                <c:pt idx="40">
                  <c:v>1.402067148119724E+19</c:v>
                </c:pt>
                <c:pt idx="41">
                  <c:v>1.3963792095122317E+19</c:v>
                </c:pt>
                <c:pt idx="42">
                  <c:v>1.390415659146693E+19</c:v>
                </c:pt>
                <c:pt idx="43">
                  <c:v>1.3841888692896809E+19</c:v>
                </c:pt>
                <c:pt idx="44">
                  <c:v>1.3777108423429964E+19</c:v>
                </c:pt>
                <c:pt idx="45">
                  <c:v>1.3709932204564787E+19</c:v>
                </c:pt>
                <c:pt idx="46">
                  <c:v>1.3640472949078483E+19</c:v>
                </c:pt>
                <c:pt idx="47">
                  <c:v>1.3568840152550085E+19</c:v>
                </c:pt>
                <c:pt idx="48">
                  <c:v>1.3495139982661218E+19</c:v>
                </c:pt>
                <c:pt idx="49">
                  <c:v>1.3419475366326006E+19</c:v>
                </c:pt>
                <c:pt idx="50">
                  <c:v>1.3341946074701005E+19</c:v>
                </c:pt>
                <c:pt idx="51">
                  <c:v>1.3262648806124438E+19</c:v>
                </c:pt>
                <c:pt idx="52">
                  <c:v>1.3181677267033182E+19</c:v>
                </c:pt>
                <c:pt idx="53">
                  <c:v>1.3099122250904539E+19</c:v>
                </c:pt>
                <c:pt idx="54">
                  <c:v>1.3015071715269087E+19</c:v>
                </c:pt>
                <c:pt idx="55">
                  <c:v>1.2929610856839643E+19</c:v>
                </c:pt>
                <c:pt idx="56">
                  <c:v>1.2842822184800502E+19</c:v>
                </c:pt>
                <c:pt idx="57">
                  <c:v>1.2754785592299831E+19</c:v>
                </c:pt>
                <c:pt idx="58">
                  <c:v>1.2665578426187432E+19</c:v>
                </c:pt>
                <c:pt idx="59">
                  <c:v>1.2575275555039142E+19</c:v>
                </c:pt>
                <c:pt idx="60">
                  <c:v>1.2483949435507675E+19</c:v>
                </c:pt>
                <c:pt idx="61">
                  <c:v>1.2391670177039671E+19</c:v>
                </c:pt>
                <c:pt idx="62">
                  <c:v>1.2298505604996911E+19</c:v>
                </c:pt>
                <c:pt idx="63">
                  <c:v>1.2204521322219454E+19</c:v>
                </c:pt>
                <c:pt idx="64">
                  <c:v>1.2109780769067327E+19</c:v>
                </c:pt>
                <c:pt idx="65">
                  <c:v>1.2014345281976381E+19</c:v>
                </c:pt>
                <c:pt idx="66">
                  <c:v>1.1918274150563705E+19</c:v>
                </c:pt>
                <c:pt idx="67">
                  <c:v>1.1821624673316327E+19</c:v>
                </c:pt>
                <c:pt idx="68">
                  <c:v>1.1724452211896988E+19</c:v>
                </c:pt>
                <c:pt idx="69">
                  <c:v>1.1626810244099473E+19</c:v>
                </c:pt>
                <c:pt idx="70">
                  <c:v>1.1528750415485407E+19</c:v>
                </c:pt>
                <c:pt idx="71">
                  <c:v>1.1430322589733753E+19</c:v>
                </c:pt>
                <c:pt idx="72">
                  <c:v>1.1331574897733448E+19</c:v>
                </c:pt>
                <c:pt idx="73">
                  <c:v>1.1232553785448899E+19</c:v>
                </c:pt>
                <c:pt idx="74">
                  <c:v>1.1133304060587461E+19</c:v>
                </c:pt>
                <c:pt idx="75">
                  <c:v>1.1033868938097353E+19</c:v>
                </c:pt>
                <c:pt idx="76">
                  <c:v>1.0934290084523665E+19</c:v>
                </c:pt>
                <c:pt idx="77">
                  <c:v>1.0834607661249677E+19</c:v>
                </c:pt>
                <c:pt idx="78">
                  <c:v>1.0734860366649954E+19</c:v>
                </c:pt>
                <c:pt idx="79">
                  <c:v>1.0635085477181104E+19</c:v>
                </c:pt>
                <c:pt idx="80">
                  <c:v>1.0535318887435528E+19</c:v>
                </c:pt>
                <c:pt idx="81">
                  <c:v>1.0435595149182833E+19</c:v>
                </c:pt>
                <c:pt idx="82">
                  <c:v>1.0335947509423067E+19</c:v>
                </c:pt>
                <c:pt idx="83">
                  <c:v>1.0236407947475427E+19</c:v>
                </c:pt>
                <c:pt idx="84">
                  <c:v>1.0137007211125389E+19</c:v>
                </c:pt>
                <c:pt idx="85">
                  <c:v>1.0037774851852859E+19</c:v>
                </c:pt>
                <c:pt idx="86">
                  <c:v>9.9387392591632712E+18</c:v>
                </c:pt>
                <c:pt idx="87">
                  <c:v>9.8399276940431892E+18</c:v>
                </c:pt>
                <c:pt idx="88">
                  <c:v>9.7413663215613501E+18</c:v>
                </c:pt>
                <c:pt idx="89">
                  <c:v>9.6430802426356982E+18</c:v>
                </c:pt>
                <c:pt idx="90">
                  <c:v>9.5450935249864233E+18</c:v>
                </c:pt>
                <c:pt idx="91">
                  <c:v>9.4474292332945367E+18</c:v>
                </c:pt>
                <c:pt idx="92">
                  <c:v>9.350109458585172E+18</c:v>
                </c:pt>
                <c:pt idx="93">
                  <c:v>9.2531553468542771E+18</c:v>
                </c:pt>
                <c:pt idx="94">
                  <c:v>9.1565871269568635E+18</c:v>
                </c:pt>
                <c:pt idx="95">
                  <c:v>9.0604241377746821E+18</c:v>
                </c:pt>
                <c:pt idx="96">
                  <c:v>8.9646848546807706E+18</c:v>
                </c:pt>
                <c:pt idx="97">
                  <c:v>8.8693869153178419E+18</c:v>
                </c:pt>
                <c:pt idx="98">
                  <c:v>8.7745471447070269E+18</c:v>
                </c:pt>
                <c:pt idx="99">
                  <c:v>8.6801815797033759E+18</c:v>
                </c:pt>
                <c:pt idx="100">
                  <c:v>8.5863054928138015E+18</c:v>
                </c:pt>
                <c:pt idx="101">
                  <c:v>8.492933415393022E+18</c:v>
                </c:pt>
                <c:pt idx="102">
                  <c:v>8.4000791602326098E+18</c:v>
                </c:pt>
                <c:pt idx="103">
                  <c:v>8.3077558435578593E+18</c:v>
                </c:pt>
                <c:pt idx="104">
                  <c:v>8.2159759064469463E+18</c:v>
                </c:pt>
                <c:pt idx="105">
                  <c:v>8.1247511356864614E+18</c:v>
                </c:pt>
                <c:pt idx="106">
                  <c:v>8.0340926840770028E+18</c:v>
                </c:pt>
                <c:pt idx="107">
                  <c:v>7.9440110902023526E+18</c:v>
                </c:pt>
                <c:pt idx="108">
                  <c:v>7.8545162976752906E+18</c:v>
                </c:pt>
                <c:pt idx="109">
                  <c:v>7.7656176738728622E+18</c:v>
                </c:pt>
                <c:pt idx="110">
                  <c:v>7.6773240281736581E+18</c:v>
                </c:pt>
                <c:pt idx="111">
                  <c:v>7.5896436297092618E+18</c:v>
                </c:pt>
                <c:pt idx="112">
                  <c:v>7.5025842246418391E+18</c:v>
                </c:pt>
                <c:pt idx="113">
                  <c:v>7.4161530529795123E+18</c:v>
                </c:pt>
                <c:pt idx="114">
                  <c:v>7.3303568649408573E+18</c:v>
                </c:pt>
                <c:pt idx="115">
                  <c:v>7.2452019368797338E+18</c:v>
                </c:pt>
                <c:pt idx="116">
                  <c:v>7.1606940867811932E+18</c:v>
                </c:pt>
                <c:pt idx="117">
                  <c:v>7.0768386893391012E+18</c:v>
                </c:pt>
                <c:pt idx="118">
                  <c:v>6.9936406906258309E+18</c:v>
                </c:pt>
                <c:pt idx="119">
                  <c:v>6.9111046223641426E+18</c:v>
                </c:pt>
                <c:pt idx="120">
                  <c:v>6.8292346158110372E+18</c:v>
                </c:pt>
                <c:pt idx="121">
                  <c:v>6.7480344152633344E+18</c:v>
                </c:pt>
                <c:pt idx="122">
                  <c:v>6.6675073911942339E+18</c:v>
                </c:pt>
                <c:pt idx="123">
                  <c:v>6.5876565530302188E+18</c:v>
                </c:pt>
                <c:pt idx="124">
                  <c:v>6.5084845615770634E+18</c:v>
                </c:pt>
                <c:pt idx="125">
                  <c:v>6.4299937411039068E+18</c:v>
                </c:pt>
                <c:pt idx="126">
                  <c:v>6.3521860910937334E+18</c:v>
                </c:pt>
                <c:pt idx="127">
                  <c:v>6.2750632976687892E+18</c:v>
                </c:pt>
                <c:pt idx="128">
                  <c:v>6.1986267446989373E+18</c:v>
                </c:pt>
                <c:pt idx="129">
                  <c:v>6.1228775246009846E+18</c:v>
                </c:pt>
                <c:pt idx="130">
                  <c:v>6.0478164488367288E+18</c:v>
                </c:pt>
                <c:pt idx="131">
                  <c:v>5.9734440581172705E+18</c:v>
                </c:pt>
                <c:pt idx="132">
                  <c:v>5.8997606323210301E+18</c:v>
                </c:pt>
                <c:pt idx="133">
                  <c:v>5.8267662001326664E+18</c:v>
                </c:pt>
                <c:pt idx="134">
                  <c:v>5.7544605484099574E+18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'Pu238'!$M$2</c:f>
              <c:strCache>
                <c:ptCount val="1"/>
                <c:pt idx="0">
                  <c:v>O5 - Pu238</c:v>
                </c:pt>
              </c:strCache>
            </c:strRef>
          </c:tx>
          <c:marker>
            <c:symbol val="none"/>
          </c:marker>
          <c:xVal>
            <c:numRef>
              <c:f>'Pu238'!$L$3:$L$123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'Pu238'!$M$3:$M$116</c:f>
              <c:numCache>
                <c:formatCode>0.0000E+00</c:formatCode>
                <c:ptCount val="114"/>
                <c:pt idx="0">
                  <c:v>1.2032336397210882E+19</c:v>
                </c:pt>
                <c:pt idx="1">
                  <c:v>1.2596543937684191E+19</c:v>
                </c:pt>
                <c:pt idx="2">
                  <c:v>1.314285138892204E+19</c:v>
                </c:pt>
                <c:pt idx="3">
                  <c:v>1.3671672617136284E+19</c:v>
                </c:pt>
                <c:pt idx="4">
                  <c:v>1.418341442422512E+19</c:v>
                </c:pt>
                <c:pt idx="5">
                  <c:v>1.4678476591997563E+19</c:v>
                </c:pt>
                <c:pt idx="6">
                  <c:v>1.5157251926397983E+19</c:v>
                </c:pt>
                <c:pt idx="7">
                  <c:v>1.5620126301730623E+19</c:v>
                </c:pt>
                <c:pt idx="8">
                  <c:v>1.6067478704884113E+19</c:v>
                </c:pt>
                <c:pt idx="9">
                  <c:v>1.6499681279555987E+19</c:v>
                </c:pt>
                <c:pt idx="10">
                  <c:v>1.6917099370477197E+19</c:v>
                </c:pt>
                <c:pt idx="11">
                  <c:v>1.732009156763664E+19</c:v>
                </c:pt>
                <c:pt idx="12">
                  <c:v>1.7709009750505669E+19</c:v>
                </c:pt>
                <c:pt idx="13">
                  <c:v>1.8084206790398081E+19</c:v>
                </c:pt>
                <c:pt idx="14">
                  <c:v>1.8446016719520647E+19</c:v>
                </c:pt>
                <c:pt idx="15">
                  <c:v>1.8794772575702479E+19</c:v>
                </c:pt>
                <c:pt idx="16">
                  <c:v>1.9130801085002007E+19</c:v>
                </c:pt>
                <c:pt idx="17">
                  <c:v>1.9454422730904166E+19</c:v>
                </c:pt>
                <c:pt idx="18">
                  <c:v>1.9765951823517495E+19</c:v>
                </c:pt>
                <c:pt idx="19">
                  <c:v>2.0065696568771265E+19</c:v>
                </c:pt>
                <c:pt idx="20">
                  <c:v>2.0353959137612653E+19</c:v>
                </c:pt>
                <c:pt idx="21">
                  <c:v>2.0631035735203795E+19</c:v>
                </c:pt>
                <c:pt idx="22">
                  <c:v>2.0897216670119018E+19</c:v>
                </c:pt>
                <c:pt idx="23">
                  <c:v>2.1152786423541907E+19</c:v>
                </c:pt>
                <c:pt idx="24">
                  <c:v>2.1398023718462448E+19</c:v>
                </c:pt>
                <c:pt idx="25">
                  <c:v>2.1633204611790545E+19</c:v>
                </c:pt>
                <c:pt idx="26">
                  <c:v>2.1858594623160435E+19</c:v>
                </c:pt>
                <c:pt idx="27">
                  <c:v>2.2074455981244969E+19</c:v>
                </c:pt>
                <c:pt idx="28">
                  <c:v>2.2281045508420997E+19</c:v>
                </c:pt>
                <c:pt idx="29">
                  <c:v>2.2478614697759318E+19</c:v>
                </c:pt>
                <c:pt idx="30">
                  <c:v>2.2667409790014497E+19</c:v>
                </c:pt>
                <c:pt idx="31">
                  <c:v>2.2847671850614768E+19</c:v>
                </c:pt>
                <c:pt idx="32">
                  <c:v>2.3019636846651912E+19</c:v>
                </c:pt>
                <c:pt idx="33">
                  <c:v>2.3183535723871146E+19</c:v>
                </c:pt>
                <c:pt idx="34">
                  <c:v>2.333959448366098E+19</c:v>
                </c:pt>
                <c:pt idx="35">
                  <c:v>2.3488034260043112E+19</c:v>
                </c:pt>
                <c:pt idx="36">
                  <c:v>2.3629071396662321E+19</c:v>
                </c:pt>
                <c:pt idx="37">
                  <c:v>2.3762917868079403E+19</c:v>
                </c:pt>
                <c:pt idx="38">
                  <c:v>2.3889780324963009E+19</c:v>
                </c:pt>
                <c:pt idx="39">
                  <c:v>2.4009861190591513E+19</c:v>
                </c:pt>
                <c:pt idx="40">
                  <c:v>2.4123358397672296E+19</c:v>
                </c:pt>
                <c:pt idx="41">
                  <c:v>2.423046546345096E+19</c:v>
                </c:pt>
                <c:pt idx="42">
                  <c:v>2.4331371564820513E+19</c:v>
                </c:pt>
                <c:pt idx="43">
                  <c:v>2.4426261613430649E+19</c:v>
                </c:pt>
                <c:pt idx="44">
                  <c:v>2.4515316330796904E+19</c:v>
                </c:pt>
                <c:pt idx="45">
                  <c:v>2.4598712323409953E+19</c:v>
                </c:pt>
                <c:pt idx="46">
                  <c:v>2.4676622157844754E+19</c:v>
                </c:pt>
                <c:pt idx="47">
                  <c:v>2.4749214435869831E+19</c:v>
                </c:pt>
                <c:pt idx="48">
                  <c:v>2.481665386955647E+19</c:v>
                </c:pt>
                <c:pt idx="49">
                  <c:v>2.4879100257572585E+19</c:v>
                </c:pt>
                <c:pt idx="50">
                  <c:v>2.4936711261319193E+19</c:v>
                </c:pt>
                <c:pt idx="51">
                  <c:v>2.4989640165015855E+19</c:v>
                </c:pt>
                <c:pt idx="52">
                  <c:v>2.5038036612025692E+19</c:v>
                </c:pt>
                <c:pt idx="53">
                  <c:v>2.5082046673107005E+19</c:v>
                </c:pt>
                <c:pt idx="54">
                  <c:v>2.5121812914664894E+19</c:v>
                </c:pt>
                <c:pt idx="55">
                  <c:v>2.5157474467002839E+19</c:v>
                </c:pt>
                <c:pt idx="56">
                  <c:v>2.5189167092574368E+19</c:v>
                </c:pt>
                <c:pt idx="57">
                  <c:v>2.5217023254234624E+19</c:v>
                </c:pt>
                <c:pt idx="58">
                  <c:v>2.5241172183492002E+19</c:v>
                </c:pt>
                <c:pt idx="59">
                  <c:v>2.5261739948759761E+19</c:v>
                </c:pt>
                <c:pt idx="60">
                  <c:v>2.5278849523607638E+19</c:v>
                </c:pt>
                <c:pt idx="61">
                  <c:v>2.5292619075303313E+19</c:v>
                </c:pt>
                <c:pt idx="62">
                  <c:v>2.5303166505971208E+19</c:v>
                </c:pt>
                <c:pt idx="63">
                  <c:v>2.5310605615625998E+19</c:v>
                </c:pt>
                <c:pt idx="64">
                  <c:v>2.5315047311750672E+19</c:v>
                </c:pt>
                <c:pt idx="65">
                  <c:v>2.5316599668574077E+19</c:v>
                </c:pt>
                <c:pt idx="66">
                  <c:v>2.5315367986348536E+19</c:v>
                </c:pt>
                <c:pt idx="67">
                  <c:v>2.5311454850627351E+19</c:v>
                </c:pt>
                <c:pt idx="68">
                  <c:v>2.5304960191542432E+19</c:v>
                </c:pt>
                <c:pt idx="69">
                  <c:v>2.5295981343081812E+19</c:v>
                </c:pt>
                <c:pt idx="70">
                  <c:v>2.5284613102367257E+19</c:v>
                </c:pt>
                <c:pt idx="71">
                  <c:v>2.5270947788931817E+19</c:v>
                </c:pt>
                <c:pt idx="72">
                  <c:v>2.5255075303997342E+19</c:v>
                </c:pt>
                <c:pt idx="73">
                  <c:v>2.5237081184178864E+19</c:v>
                </c:pt>
                <c:pt idx="74">
                  <c:v>2.5217051733436129E+19</c:v>
                </c:pt>
                <c:pt idx="75">
                  <c:v>2.5195069630603432E+19</c:v>
                </c:pt>
                <c:pt idx="76">
                  <c:v>2.5171215297860641E+19</c:v>
                </c:pt>
                <c:pt idx="77">
                  <c:v>2.5145566950595908E+19</c:v>
                </c:pt>
                <c:pt idx="78">
                  <c:v>2.5118200647268413E+19</c:v>
                </c:pt>
                <c:pt idx="79">
                  <c:v>2.5089190339271029E+19</c:v>
                </c:pt>
                <c:pt idx="80">
                  <c:v>2.5058607920793072E+19</c:v>
                </c:pt>
                <c:pt idx="81">
                  <c:v>2.5026523278682993E+19</c:v>
                </c:pt>
                <c:pt idx="82">
                  <c:v>2.4993004342311072E+19</c:v>
                </c:pt>
                <c:pt idx="83">
                  <c:v>2.4958117133432164E+19</c:v>
                </c:pt>
                <c:pt idx="84">
                  <c:v>2.4921925816048378E+19</c:v>
                </c:pt>
                <c:pt idx="85">
                  <c:v>2.4884490773279646E+19</c:v>
                </c:pt>
                <c:pt idx="86">
                  <c:v>2.4845873662625366E+19</c:v>
                </c:pt>
                <c:pt idx="87">
                  <c:v>2.4806133062407373E+19</c:v>
                </c:pt>
                <c:pt idx="88">
                  <c:v>2.4765325820404527E+19</c:v>
                </c:pt>
                <c:pt idx="89">
                  <c:v>2.4723507094782747E+19</c:v>
                </c:pt>
                <c:pt idx="90">
                  <c:v>2.468073039502506E+19</c:v>
                </c:pt>
                <c:pt idx="91">
                  <c:v>2.4637047622861672E+19</c:v>
                </c:pt>
                <c:pt idx="92">
                  <c:v>2.4592509113199976E+19</c:v>
                </c:pt>
                <c:pt idx="93">
                  <c:v>2.4547163675054653E+19</c:v>
                </c:pt>
                <c:pt idx="94">
                  <c:v>2.4501058632477688E+19</c:v>
                </c:pt>
                <c:pt idx="95">
                  <c:v>2.4454239865488421E+19</c:v>
                </c:pt>
                <c:pt idx="96">
                  <c:v>2.4406751851003613E+19</c:v>
                </c:pt>
                <c:pt idx="97">
                  <c:v>2.4358635898320036E+19</c:v>
                </c:pt>
                <c:pt idx="98">
                  <c:v>2.4309934778589184E+19</c:v>
                </c:pt>
                <c:pt idx="99">
                  <c:v>2.4260688723264397E+19</c:v>
                </c:pt>
                <c:pt idx="100">
                  <c:v>2.421093665938781E+19</c:v>
                </c:pt>
                <c:pt idx="101">
                  <c:v>2.4160716242524951E+19</c:v>
                </c:pt>
                <c:pt idx="102">
                  <c:v>2.4110063889699303E+19</c:v>
                </c:pt>
                <c:pt idx="103">
                  <c:v>2.4059014812326941E+19</c:v>
                </c:pt>
                <c:pt idx="104">
                  <c:v>2.4007603049151082E+19</c:v>
                </c:pt>
                <c:pt idx="105">
                  <c:v>2.3955861499176653E+19</c:v>
                </c:pt>
                <c:pt idx="106">
                  <c:v>2.3903821954604958E+19</c:v>
                </c:pt>
                <c:pt idx="107">
                  <c:v>2.3851515133768159E+19</c:v>
                </c:pt>
                <c:pt idx="108">
                  <c:v>2.379897071406395E+19</c:v>
                </c:pt>
                <c:pt idx="109">
                  <c:v>2.3746215786343199E+19</c:v>
                </c:pt>
                <c:pt idx="110">
                  <c:v>2.3693278904525246E+19</c:v>
                </c:pt>
                <c:pt idx="111">
                  <c:v>2.3640186576478614E+19</c:v>
                </c:pt>
                <c:pt idx="112">
                  <c:v>2.3586964344651661E+19</c:v>
                </c:pt>
                <c:pt idx="113">
                  <c:v>2.3533636812121375E+19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'Pu238'!$Q$2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'Pu238'!$P$3:$P$52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'Pu238'!$Q$3:$Q$52</c:f>
              <c:numCache>
                <c:formatCode>0.0000E+00</c:formatCode>
                <c:ptCount val="50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'Pu238'!$S$2</c:f>
              <c:strCache>
                <c:ptCount val="1"/>
                <c:pt idx="0">
                  <c:v>VESTA - Pu238 </c:v>
                </c:pt>
              </c:strCache>
            </c:strRef>
          </c:tx>
          <c:marker>
            <c:symbol val="none"/>
          </c:marker>
          <c:xVal>
            <c:numRef>
              <c:f>'Pu238'!$R$3:$R$10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'Pu238'!$S$3:$S$9</c:f>
              <c:numCache>
                <c:formatCode>0.0000E+00</c:formatCode>
                <c:ptCount val="7"/>
                <c:pt idx="0">
                  <c:v>1.2032336397210882E+19</c:v>
                </c:pt>
                <c:pt idx="1">
                  <c:v>1.1798109228699929E+19</c:v>
                </c:pt>
                <c:pt idx="2">
                  <c:v>1.1676658104286841E+19</c:v>
                </c:pt>
                <c:pt idx="3">
                  <c:v>1.2301263886982719E+19</c:v>
                </c:pt>
                <c:pt idx="4">
                  <c:v>1.4400633323266089E+19</c:v>
                </c:pt>
                <c:pt idx="5">
                  <c:v>2.0776817354953179E+19</c:v>
                </c:pt>
                <c:pt idx="6">
                  <c:v>2.7387228555151225E+19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'Pu238'!$K$2</c:f>
              <c:strCache>
                <c:ptCount val="1"/>
                <c:pt idx="0">
                  <c:v>RK1 - Pu238</c:v>
                </c:pt>
              </c:strCache>
            </c:strRef>
          </c:tx>
          <c:marker>
            <c:symbol val="none"/>
          </c:marker>
          <c:xVal>
            <c:numRef>
              <c:f>'Pu238'!$J$3:$J$137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'Pu238'!$K$3:$K$137</c:f>
              <c:numCache>
                <c:formatCode>0.0000E+00</c:formatCode>
                <c:ptCount val="135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26336"/>
        <c:axId val="93340416"/>
      </c:scatterChart>
      <c:valAx>
        <c:axId val="93326336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93340416"/>
        <c:crosses val="autoZero"/>
        <c:crossBetween val="midCat"/>
      </c:valAx>
      <c:valAx>
        <c:axId val="93340416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933263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71776"/>
        <c:axId val="93381760"/>
      </c:scatterChart>
      <c:valAx>
        <c:axId val="9337177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93381760"/>
        <c:crosses val="autoZero"/>
        <c:crossBetween val="midCat"/>
      </c:valAx>
      <c:valAx>
        <c:axId val="93381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33717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18176"/>
        <c:axId val="93619712"/>
      </c:scatterChart>
      <c:valAx>
        <c:axId val="9361817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93619712"/>
        <c:crosses val="autoZero"/>
        <c:crossBetween val="midCat"/>
      </c:valAx>
      <c:valAx>
        <c:axId val="9361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36181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59520"/>
        <c:axId val="93661056"/>
      </c:scatterChart>
      <c:valAx>
        <c:axId val="9365952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93661056"/>
        <c:crosses val="autoZero"/>
        <c:crossBetween val="midCat"/>
      </c:valAx>
      <c:valAx>
        <c:axId val="9366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36595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'Pu238'!$B$10</c:f>
          <c:strCache>
            <c:ptCount val="1"/>
            <c:pt idx="0">
              <c:v>Comparaison des modèles pour le Pu238</c:v>
            </c:pt>
          </c:strCache>
        </c:strRef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'Pu238'!$S$2</c:f>
              <c:strCache>
                <c:ptCount val="1"/>
                <c:pt idx="0">
                  <c:v>VESTA - Pu238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'Pu238'!$R$3:$R$10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'Pu238'!$S$3:$S$9</c:f>
              <c:numCache>
                <c:formatCode>0.0000E+00</c:formatCode>
                <c:ptCount val="7"/>
                <c:pt idx="0">
                  <c:v>1.2032336397210882E+19</c:v>
                </c:pt>
                <c:pt idx="1">
                  <c:v>1.1798109228699929E+19</c:v>
                </c:pt>
                <c:pt idx="2">
                  <c:v>1.1676658104286841E+19</c:v>
                </c:pt>
                <c:pt idx="3">
                  <c:v>1.2301263886982719E+19</c:v>
                </c:pt>
                <c:pt idx="4">
                  <c:v>1.4400633323266089E+19</c:v>
                </c:pt>
                <c:pt idx="5">
                  <c:v>2.0776817354953179E+19</c:v>
                </c:pt>
                <c:pt idx="6">
                  <c:v>2.7387228555151225E+19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'Pu238'!$Q$2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'Pu238'!$P$3:$P$511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'Pu238'!$Q$3:$Q$52</c:f>
              <c:numCache>
                <c:formatCode>0.0000E+00</c:formatCode>
                <c:ptCount val="50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'Pu238'!$K$2</c:f>
              <c:strCache>
                <c:ptCount val="1"/>
                <c:pt idx="0">
                  <c:v>RK1 - Pu238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'Pu238'!$K$3:$K$137</c:f>
              <c:numCache>
                <c:formatCode>0.0000E+00</c:formatCode>
                <c:ptCount val="135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'Pu238'!$M$2</c:f>
              <c:strCache>
                <c:ptCount val="1"/>
                <c:pt idx="0">
                  <c:v>O5 - Pu238</c:v>
                </c:pt>
              </c:strCache>
            </c:strRef>
          </c:tx>
          <c:marker>
            <c:symbol val="none"/>
          </c:marker>
          <c:xVal>
            <c:numRef>
              <c:f>'Pu238'!$L$3:$L$123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'Pu238'!$M$3:$M$116</c:f>
              <c:numCache>
                <c:formatCode>0.0000E+00</c:formatCode>
                <c:ptCount val="114"/>
                <c:pt idx="0">
                  <c:v>1.2032336397210882E+19</c:v>
                </c:pt>
                <c:pt idx="1">
                  <c:v>1.2596543937684191E+19</c:v>
                </c:pt>
                <c:pt idx="2">
                  <c:v>1.314285138892204E+19</c:v>
                </c:pt>
                <c:pt idx="3">
                  <c:v>1.3671672617136284E+19</c:v>
                </c:pt>
                <c:pt idx="4">
                  <c:v>1.418341442422512E+19</c:v>
                </c:pt>
                <c:pt idx="5">
                  <c:v>1.4678476591997563E+19</c:v>
                </c:pt>
                <c:pt idx="6">
                  <c:v>1.5157251926397983E+19</c:v>
                </c:pt>
                <c:pt idx="7">
                  <c:v>1.5620126301730623E+19</c:v>
                </c:pt>
                <c:pt idx="8">
                  <c:v>1.6067478704884113E+19</c:v>
                </c:pt>
                <c:pt idx="9">
                  <c:v>1.6499681279555987E+19</c:v>
                </c:pt>
                <c:pt idx="10">
                  <c:v>1.6917099370477197E+19</c:v>
                </c:pt>
                <c:pt idx="11">
                  <c:v>1.732009156763664E+19</c:v>
                </c:pt>
                <c:pt idx="12">
                  <c:v>1.7709009750505669E+19</c:v>
                </c:pt>
                <c:pt idx="13">
                  <c:v>1.8084206790398081E+19</c:v>
                </c:pt>
                <c:pt idx="14">
                  <c:v>1.8446016719520647E+19</c:v>
                </c:pt>
                <c:pt idx="15">
                  <c:v>1.8794772575702479E+19</c:v>
                </c:pt>
                <c:pt idx="16">
                  <c:v>1.9130801085002007E+19</c:v>
                </c:pt>
                <c:pt idx="17">
                  <c:v>1.9454422730904166E+19</c:v>
                </c:pt>
                <c:pt idx="18">
                  <c:v>1.9765951823517495E+19</c:v>
                </c:pt>
                <c:pt idx="19">
                  <c:v>2.0065696568771265E+19</c:v>
                </c:pt>
                <c:pt idx="20">
                  <c:v>2.0353959137612653E+19</c:v>
                </c:pt>
                <c:pt idx="21">
                  <c:v>2.0631035735203795E+19</c:v>
                </c:pt>
                <c:pt idx="22">
                  <c:v>2.0897216670119018E+19</c:v>
                </c:pt>
                <c:pt idx="23">
                  <c:v>2.1152786423541907E+19</c:v>
                </c:pt>
                <c:pt idx="24">
                  <c:v>2.1398023718462448E+19</c:v>
                </c:pt>
                <c:pt idx="25">
                  <c:v>2.1633204611790545E+19</c:v>
                </c:pt>
                <c:pt idx="26">
                  <c:v>2.1858594623160435E+19</c:v>
                </c:pt>
                <c:pt idx="27">
                  <c:v>2.2074455981244969E+19</c:v>
                </c:pt>
                <c:pt idx="28">
                  <c:v>2.2281045508420997E+19</c:v>
                </c:pt>
                <c:pt idx="29">
                  <c:v>2.2478614697759318E+19</c:v>
                </c:pt>
                <c:pt idx="30">
                  <c:v>2.2667409790014497E+19</c:v>
                </c:pt>
                <c:pt idx="31">
                  <c:v>2.2847671850614768E+19</c:v>
                </c:pt>
                <c:pt idx="32">
                  <c:v>2.3019636846651912E+19</c:v>
                </c:pt>
                <c:pt idx="33">
                  <c:v>2.3183535723871146E+19</c:v>
                </c:pt>
                <c:pt idx="34">
                  <c:v>2.333959448366098E+19</c:v>
                </c:pt>
                <c:pt idx="35">
                  <c:v>2.3488034260043112E+19</c:v>
                </c:pt>
                <c:pt idx="36">
                  <c:v>2.3629071396662321E+19</c:v>
                </c:pt>
                <c:pt idx="37">
                  <c:v>2.3762917868079403E+19</c:v>
                </c:pt>
                <c:pt idx="38">
                  <c:v>2.3889780324963009E+19</c:v>
                </c:pt>
                <c:pt idx="39">
                  <c:v>2.4009861190591513E+19</c:v>
                </c:pt>
                <c:pt idx="40">
                  <c:v>2.4123358397672296E+19</c:v>
                </c:pt>
                <c:pt idx="41">
                  <c:v>2.423046546345096E+19</c:v>
                </c:pt>
                <c:pt idx="42">
                  <c:v>2.4331371564820513E+19</c:v>
                </c:pt>
                <c:pt idx="43">
                  <c:v>2.4426261613430649E+19</c:v>
                </c:pt>
                <c:pt idx="44">
                  <c:v>2.4515316330796904E+19</c:v>
                </c:pt>
                <c:pt idx="45">
                  <c:v>2.4598712323409953E+19</c:v>
                </c:pt>
                <c:pt idx="46">
                  <c:v>2.4676622157844754E+19</c:v>
                </c:pt>
                <c:pt idx="47">
                  <c:v>2.4749214435869831E+19</c:v>
                </c:pt>
                <c:pt idx="48">
                  <c:v>2.481665386955647E+19</c:v>
                </c:pt>
                <c:pt idx="49">
                  <c:v>2.4879100257572585E+19</c:v>
                </c:pt>
                <c:pt idx="50">
                  <c:v>2.4936711261319193E+19</c:v>
                </c:pt>
                <c:pt idx="51">
                  <c:v>2.4989640165015855E+19</c:v>
                </c:pt>
                <c:pt idx="52">
                  <c:v>2.5038036612025692E+19</c:v>
                </c:pt>
                <c:pt idx="53">
                  <c:v>2.5082046673107005E+19</c:v>
                </c:pt>
                <c:pt idx="54">
                  <c:v>2.5121812914664894E+19</c:v>
                </c:pt>
                <c:pt idx="55">
                  <c:v>2.5157474467002839E+19</c:v>
                </c:pt>
                <c:pt idx="56">
                  <c:v>2.5189167092574368E+19</c:v>
                </c:pt>
                <c:pt idx="57">
                  <c:v>2.5217023254234624E+19</c:v>
                </c:pt>
                <c:pt idx="58">
                  <c:v>2.5241172183492002E+19</c:v>
                </c:pt>
                <c:pt idx="59">
                  <c:v>2.5261739948759761E+19</c:v>
                </c:pt>
                <c:pt idx="60">
                  <c:v>2.5278849523607638E+19</c:v>
                </c:pt>
                <c:pt idx="61">
                  <c:v>2.5292619075303313E+19</c:v>
                </c:pt>
                <c:pt idx="62">
                  <c:v>2.5303166505971208E+19</c:v>
                </c:pt>
                <c:pt idx="63">
                  <c:v>2.5310605615625998E+19</c:v>
                </c:pt>
                <c:pt idx="64">
                  <c:v>2.5315047311750672E+19</c:v>
                </c:pt>
                <c:pt idx="65">
                  <c:v>2.5316599668574077E+19</c:v>
                </c:pt>
                <c:pt idx="66">
                  <c:v>2.5315367986348536E+19</c:v>
                </c:pt>
                <c:pt idx="67">
                  <c:v>2.5311454850627351E+19</c:v>
                </c:pt>
                <c:pt idx="68">
                  <c:v>2.5304960191542432E+19</c:v>
                </c:pt>
                <c:pt idx="69">
                  <c:v>2.5295981343081812E+19</c:v>
                </c:pt>
                <c:pt idx="70">
                  <c:v>2.5284613102367257E+19</c:v>
                </c:pt>
                <c:pt idx="71">
                  <c:v>2.5270947788931817E+19</c:v>
                </c:pt>
                <c:pt idx="72">
                  <c:v>2.5255075303997342E+19</c:v>
                </c:pt>
                <c:pt idx="73">
                  <c:v>2.5237081184178864E+19</c:v>
                </c:pt>
                <c:pt idx="74">
                  <c:v>2.5217051733436129E+19</c:v>
                </c:pt>
                <c:pt idx="75">
                  <c:v>2.5195069630603432E+19</c:v>
                </c:pt>
                <c:pt idx="76">
                  <c:v>2.5171215297860641E+19</c:v>
                </c:pt>
                <c:pt idx="77">
                  <c:v>2.5145566950595908E+19</c:v>
                </c:pt>
                <c:pt idx="78">
                  <c:v>2.5118200647268413E+19</c:v>
                </c:pt>
                <c:pt idx="79">
                  <c:v>2.5089190339271029E+19</c:v>
                </c:pt>
                <c:pt idx="80">
                  <c:v>2.5058607920793072E+19</c:v>
                </c:pt>
                <c:pt idx="81">
                  <c:v>2.5026523278682993E+19</c:v>
                </c:pt>
                <c:pt idx="82">
                  <c:v>2.4993004342311072E+19</c:v>
                </c:pt>
                <c:pt idx="83">
                  <c:v>2.4958117133432164E+19</c:v>
                </c:pt>
                <c:pt idx="84">
                  <c:v>2.4921925816048378E+19</c:v>
                </c:pt>
                <c:pt idx="85">
                  <c:v>2.4884490773279646E+19</c:v>
                </c:pt>
                <c:pt idx="86">
                  <c:v>2.4845873662625366E+19</c:v>
                </c:pt>
                <c:pt idx="87">
                  <c:v>2.4806133062407373E+19</c:v>
                </c:pt>
                <c:pt idx="88">
                  <c:v>2.4765325820404527E+19</c:v>
                </c:pt>
                <c:pt idx="89">
                  <c:v>2.4723507094782747E+19</c:v>
                </c:pt>
                <c:pt idx="90">
                  <c:v>2.468073039502506E+19</c:v>
                </c:pt>
                <c:pt idx="91">
                  <c:v>2.4637047622861672E+19</c:v>
                </c:pt>
                <c:pt idx="92">
                  <c:v>2.4592509113199976E+19</c:v>
                </c:pt>
                <c:pt idx="93">
                  <c:v>2.4547163675054653E+19</c:v>
                </c:pt>
                <c:pt idx="94">
                  <c:v>2.4501058632477688E+19</c:v>
                </c:pt>
                <c:pt idx="95">
                  <c:v>2.4454239865488421E+19</c:v>
                </c:pt>
                <c:pt idx="96">
                  <c:v>2.4406751851003613E+19</c:v>
                </c:pt>
                <c:pt idx="97">
                  <c:v>2.4358635898320036E+19</c:v>
                </c:pt>
                <c:pt idx="98">
                  <c:v>2.4309934778589184E+19</c:v>
                </c:pt>
                <c:pt idx="99">
                  <c:v>2.4260688723264397E+19</c:v>
                </c:pt>
                <c:pt idx="100">
                  <c:v>2.421093665938781E+19</c:v>
                </c:pt>
                <c:pt idx="101">
                  <c:v>2.4160716242524951E+19</c:v>
                </c:pt>
                <c:pt idx="102">
                  <c:v>2.4110063889699303E+19</c:v>
                </c:pt>
                <c:pt idx="103">
                  <c:v>2.4059014812326941E+19</c:v>
                </c:pt>
                <c:pt idx="104">
                  <c:v>2.4007603049151082E+19</c:v>
                </c:pt>
                <c:pt idx="105">
                  <c:v>2.3955861499176653E+19</c:v>
                </c:pt>
                <c:pt idx="106">
                  <c:v>2.3903821954604958E+19</c:v>
                </c:pt>
                <c:pt idx="107">
                  <c:v>2.3851515133768159E+19</c:v>
                </c:pt>
                <c:pt idx="108">
                  <c:v>2.379897071406395E+19</c:v>
                </c:pt>
                <c:pt idx="109">
                  <c:v>2.3746215786343199E+19</c:v>
                </c:pt>
                <c:pt idx="110">
                  <c:v>2.3693278904525246E+19</c:v>
                </c:pt>
                <c:pt idx="111">
                  <c:v>2.3640186576478614E+19</c:v>
                </c:pt>
                <c:pt idx="112">
                  <c:v>2.3586964344651661E+19</c:v>
                </c:pt>
                <c:pt idx="113">
                  <c:v>2.3533636812121375E+19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'Pu238'!$O$2</c:f>
              <c:strCache>
                <c:ptCount val="1"/>
                <c:pt idx="0">
                  <c:v>Exact Simpl. - Pu238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'Pu238'!$O$3:$O$137</c:f>
              <c:numCache>
                <c:formatCode>0.0000E+00</c:formatCode>
                <c:ptCount val="135"/>
                <c:pt idx="0">
                  <c:v>1.2032336397210911E+19</c:v>
                </c:pt>
                <c:pt idx="1">
                  <c:v>1.2244524625048338E+19</c:v>
                </c:pt>
                <c:pt idx="2">
                  <c:v>1.2444513376394756E+19</c:v>
                </c:pt>
                <c:pt idx="3">
                  <c:v>1.2632688167675199E+19</c:v>
                </c:pt>
                <c:pt idx="4">
                  <c:v>1.2809424252398715E+19</c:v>
                </c:pt>
                <c:pt idx="5">
                  <c:v>1.2975086873141232E+19</c:v>
                </c:pt>
                <c:pt idx="6">
                  <c:v>1.3130031507619987E+19</c:v>
                </c:pt>
                <c:pt idx="7">
                  <c:v>1.3274604108994576E+19</c:v>
                </c:pt>
                <c:pt idx="8">
                  <c:v>1.3409141340525773E+19</c:v>
                </c:pt>
                <c:pt idx="9">
                  <c:v>1.3533970804720689E+19</c:v>
                </c:pt>
                <c:pt idx="10">
                  <c:v>1.3649411267090612E+19</c:v>
                </c:pt>
                <c:pt idx="11">
                  <c:v>1.3755772874643669E+19</c:v>
                </c:pt>
                <c:pt idx="12">
                  <c:v>1.3853357369232957E+19</c:v>
                </c:pt>
                <c:pt idx="13">
                  <c:v>1.3942458295877673E+19</c:v>
                </c:pt>
                <c:pt idx="14">
                  <c:v>1.4023361206171812E+19</c:v>
                </c:pt>
                <c:pt idx="15">
                  <c:v>1.4096343856893092E+19</c:v>
                </c:pt>
                <c:pt idx="16">
                  <c:v>1.4161676403921428E+19</c:v>
                </c:pt>
                <c:pt idx="17">
                  <c:v>1.4219621591574815E+19</c:v>
                </c:pt>
                <c:pt idx="18">
                  <c:v>1.4270434937467093E+19</c:v>
                </c:pt>
                <c:pt idx="19">
                  <c:v>1.4314364912990298E+19</c:v>
                </c:pt>
                <c:pt idx="20">
                  <c:v>1.4351653119522128E+19</c:v>
                </c:pt>
                <c:pt idx="21">
                  <c:v>1.438253446045592E+19</c:v>
                </c:pt>
                <c:pt idx="22">
                  <c:v>1.44072373091497E+19</c:v>
                </c:pt>
                <c:pt idx="23">
                  <c:v>1.4425983672887386E+19</c:v>
                </c:pt>
                <c:pt idx="24">
                  <c:v>1.4438989352943985E+19</c:v>
                </c:pt>
                <c:pt idx="25">
                  <c:v>1.4446464100844282E+19</c:v>
                </c:pt>
                <c:pt idx="26">
                  <c:v>1.4448611770902389E+19</c:v>
                </c:pt>
                <c:pt idx="27">
                  <c:v>1.4445630469127832E+19</c:v>
                </c:pt>
                <c:pt idx="28">
                  <c:v>1.4437712698581574E+19</c:v>
                </c:pt>
                <c:pt idx="29">
                  <c:v>1.4425045501264036E+19</c:v>
                </c:pt>
                <c:pt idx="30">
                  <c:v>1.4407810596614627E+19</c:v>
                </c:pt>
                <c:pt idx="31">
                  <c:v>1.4386184516701127E+19</c:v>
                </c:pt>
                <c:pt idx="32">
                  <c:v>1.4360338738175107E+19</c:v>
                </c:pt>
                <c:pt idx="33">
                  <c:v>1.4330439811068133E+19</c:v>
                </c:pt>
                <c:pt idx="34">
                  <c:v>1.4296649484501541E+19</c:v>
                </c:pt>
                <c:pt idx="35">
                  <c:v>1.4259124829381198E+19</c:v>
                </c:pt>
                <c:pt idx="36">
                  <c:v>1.4218018358146753E+19</c:v>
                </c:pt>
                <c:pt idx="37">
                  <c:v>1.4173478141643727E+19</c:v>
                </c:pt>
                <c:pt idx="38">
                  <c:v>1.4125647923184771E+19</c:v>
                </c:pt>
                <c:pt idx="39">
                  <c:v>1.4074667229865353E+19</c:v>
                </c:pt>
                <c:pt idx="40">
                  <c:v>1.402067148119724E+19</c:v>
                </c:pt>
                <c:pt idx="41">
                  <c:v>1.3963792095122317E+19</c:v>
                </c:pt>
                <c:pt idx="42">
                  <c:v>1.390415659146693E+19</c:v>
                </c:pt>
                <c:pt idx="43">
                  <c:v>1.3841888692896809E+19</c:v>
                </c:pt>
                <c:pt idx="44">
                  <c:v>1.3777108423429964E+19</c:v>
                </c:pt>
                <c:pt idx="45">
                  <c:v>1.3709932204564787E+19</c:v>
                </c:pt>
                <c:pt idx="46">
                  <c:v>1.3640472949078483E+19</c:v>
                </c:pt>
                <c:pt idx="47">
                  <c:v>1.3568840152550085E+19</c:v>
                </c:pt>
                <c:pt idx="48">
                  <c:v>1.3495139982661218E+19</c:v>
                </c:pt>
                <c:pt idx="49">
                  <c:v>1.3419475366326006E+19</c:v>
                </c:pt>
                <c:pt idx="50">
                  <c:v>1.3341946074701005E+19</c:v>
                </c:pt>
                <c:pt idx="51">
                  <c:v>1.3262648806124438E+19</c:v>
                </c:pt>
                <c:pt idx="52">
                  <c:v>1.3181677267033182E+19</c:v>
                </c:pt>
                <c:pt idx="53">
                  <c:v>1.3099122250904539E+19</c:v>
                </c:pt>
                <c:pt idx="54">
                  <c:v>1.3015071715269087E+19</c:v>
                </c:pt>
                <c:pt idx="55">
                  <c:v>1.2929610856839643E+19</c:v>
                </c:pt>
                <c:pt idx="56">
                  <c:v>1.2842822184800502E+19</c:v>
                </c:pt>
                <c:pt idx="57">
                  <c:v>1.2754785592299831E+19</c:v>
                </c:pt>
                <c:pt idx="58">
                  <c:v>1.2665578426187432E+19</c:v>
                </c:pt>
                <c:pt idx="59">
                  <c:v>1.2575275555039142E+19</c:v>
                </c:pt>
                <c:pt idx="60">
                  <c:v>1.2483949435507675E+19</c:v>
                </c:pt>
                <c:pt idx="61">
                  <c:v>1.2391670177039671E+19</c:v>
                </c:pt>
                <c:pt idx="62">
                  <c:v>1.2298505604996911E+19</c:v>
                </c:pt>
                <c:pt idx="63">
                  <c:v>1.2204521322219454E+19</c:v>
                </c:pt>
                <c:pt idx="64">
                  <c:v>1.2109780769067327E+19</c:v>
                </c:pt>
                <c:pt idx="65">
                  <c:v>1.2014345281976381E+19</c:v>
                </c:pt>
                <c:pt idx="66">
                  <c:v>1.1918274150563705E+19</c:v>
                </c:pt>
                <c:pt idx="67">
                  <c:v>1.1821624673316327E+19</c:v>
                </c:pt>
                <c:pt idx="68">
                  <c:v>1.1724452211896988E+19</c:v>
                </c:pt>
                <c:pt idx="69">
                  <c:v>1.1626810244099473E+19</c:v>
                </c:pt>
                <c:pt idx="70">
                  <c:v>1.1528750415485407E+19</c:v>
                </c:pt>
                <c:pt idx="71">
                  <c:v>1.1430322589733753E+19</c:v>
                </c:pt>
                <c:pt idx="72">
                  <c:v>1.1331574897733448E+19</c:v>
                </c:pt>
                <c:pt idx="73">
                  <c:v>1.1232553785448899E+19</c:v>
                </c:pt>
                <c:pt idx="74">
                  <c:v>1.1133304060587461E+19</c:v>
                </c:pt>
                <c:pt idx="75">
                  <c:v>1.1033868938097353E+19</c:v>
                </c:pt>
                <c:pt idx="76">
                  <c:v>1.0934290084523665E+19</c:v>
                </c:pt>
                <c:pt idx="77">
                  <c:v>1.0834607661249677E+19</c:v>
                </c:pt>
                <c:pt idx="78">
                  <c:v>1.0734860366649954E+19</c:v>
                </c:pt>
                <c:pt idx="79">
                  <c:v>1.0635085477181104E+19</c:v>
                </c:pt>
                <c:pt idx="80">
                  <c:v>1.0535318887435528E+19</c:v>
                </c:pt>
                <c:pt idx="81">
                  <c:v>1.0435595149182833E+19</c:v>
                </c:pt>
                <c:pt idx="82">
                  <c:v>1.0335947509423067E+19</c:v>
                </c:pt>
                <c:pt idx="83">
                  <c:v>1.0236407947475427E+19</c:v>
                </c:pt>
                <c:pt idx="84">
                  <c:v>1.0137007211125389E+19</c:v>
                </c:pt>
                <c:pt idx="85">
                  <c:v>1.0037774851852859E+19</c:v>
                </c:pt>
                <c:pt idx="86">
                  <c:v>9.9387392591632712E+18</c:v>
                </c:pt>
                <c:pt idx="87">
                  <c:v>9.8399276940431892E+18</c:v>
                </c:pt>
                <c:pt idx="88">
                  <c:v>9.7413663215613501E+18</c:v>
                </c:pt>
                <c:pt idx="89">
                  <c:v>9.6430802426356982E+18</c:v>
                </c:pt>
                <c:pt idx="90">
                  <c:v>9.5450935249864233E+18</c:v>
                </c:pt>
                <c:pt idx="91">
                  <c:v>9.4474292332945367E+18</c:v>
                </c:pt>
                <c:pt idx="92">
                  <c:v>9.350109458585172E+18</c:v>
                </c:pt>
                <c:pt idx="93">
                  <c:v>9.2531553468542771E+18</c:v>
                </c:pt>
                <c:pt idx="94">
                  <c:v>9.1565871269568635E+18</c:v>
                </c:pt>
                <c:pt idx="95">
                  <c:v>9.0604241377746821E+18</c:v>
                </c:pt>
                <c:pt idx="96">
                  <c:v>8.9646848546807706E+18</c:v>
                </c:pt>
                <c:pt idx="97">
                  <c:v>8.8693869153178419E+18</c:v>
                </c:pt>
                <c:pt idx="98">
                  <c:v>8.7745471447070269E+18</c:v>
                </c:pt>
                <c:pt idx="99">
                  <c:v>8.6801815797033759E+18</c:v>
                </c:pt>
                <c:pt idx="100">
                  <c:v>8.5863054928138015E+18</c:v>
                </c:pt>
                <c:pt idx="101">
                  <c:v>8.492933415393022E+18</c:v>
                </c:pt>
                <c:pt idx="102">
                  <c:v>8.4000791602326098E+18</c:v>
                </c:pt>
                <c:pt idx="103">
                  <c:v>8.3077558435578593E+18</c:v>
                </c:pt>
                <c:pt idx="104">
                  <c:v>8.2159759064469463E+18</c:v>
                </c:pt>
                <c:pt idx="105">
                  <c:v>8.1247511356864614E+18</c:v>
                </c:pt>
                <c:pt idx="106">
                  <c:v>8.0340926840770028E+18</c:v>
                </c:pt>
                <c:pt idx="107">
                  <c:v>7.9440110902023526E+18</c:v>
                </c:pt>
                <c:pt idx="108">
                  <c:v>7.8545162976752906E+18</c:v>
                </c:pt>
                <c:pt idx="109">
                  <c:v>7.7656176738728622E+18</c:v>
                </c:pt>
                <c:pt idx="110">
                  <c:v>7.6773240281736581E+18</c:v>
                </c:pt>
                <c:pt idx="111">
                  <c:v>7.5896436297092618E+18</c:v>
                </c:pt>
                <c:pt idx="112">
                  <c:v>7.5025842246418391E+18</c:v>
                </c:pt>
                <c:pt idx="113">
                  <c:v>7.4161530529795123E+18</c:v>
                </c:pt>
                <c:pt idx="114">
                  <c:v>7.3303568649408573E+18</c:v>
                </c:pt>
                <c:pt idx="115">
                  <c:v>7.2452019368797338E+18</c:v>
                </c:pt>
                <c:pt idx="116">
                  <c:v>7.1606940867811932E+18</c:v>
                </c:pt>
                <c:pt idx="117">
                  <c:v>7.0768386893391012E+18</c:v>
                </c:pt>
                <c:pt idx="118">
                  <c:v>6.9936406906258309E+18</c:v>
                </c:pt>
                <c:pt idx="119">
                  <c:v>6.9111046223641426E+18</c:v>
                </c:pt>
                <c:pt idx="120">
                  <c:v>6.8292346158110372E+18</c:v>
                </c:pt>
                <c:pt idx="121">
                  <c:v>6.7480344152633344E+18</c:v>
                </c:pt>
                <c:pt idx="122">
                  <c:v>6.6675073911942339E+18</c:v>
                </c:pt>
                <c:pt idx="123">
                  <c:v>6.5876565530302188E+18</c:v>
                </c:pt>
                <c:pt idx="124">
                  <c:v>6.5084845615770634E+18</c:v>
                </c:pt>
                <c:pt idx="125">
                  <c:v>6.4299937411039068E+18</c:v>
                </c:pt>
                <c:pt idx="126">
                  <c:v>6.3521860910937334E+18</c:v>
                </c:pt>
                <c:pt idx="127">
                  <c:v>6.2750632976687892E+18</c:v>
                </c:pt>
                <c:pt idx="128">
                  <c:v>6.1986267446989373E+18</c:v>
                </c:pt>
                <c:pt idx="129">
                  <c:v>6.1228775246009846E+18</c:v>
                </c:pt>
                <c:pt idx="130">
                  <c:v>6.0478164488367288E+18</c:v>
                </c:pt>
                <c:pt idx="131">
                  <c:v>5.9734440581172705E+18</c:v>
                </c:pt>
                <c:pt idx="132">
                  <c:v>5.8997606323210301E+18</c:v>
                </c:pt>
                <c:pt idx="133">
                  <c:v>5.8267662001326664E+18</c:v>
                </c:pt>
                <c:pt idx="134">
                  <c:v>5.7544605484099574E+18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704960"/>
        <c:axId val="93706880"/>
      </c:scatterChart>
      <c:valAx>
        <c:axId val="93704960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'Pu238'!$B$11</c:f>
              <c:strCache>
                <c:ptCount val="1"/>
                <c:pt idx="0">
                  <c:v>Temps (années)</c:v>
                </c:pt>
              </c:strCache>
            </c:strRef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93706880"/>
        <c:crosses val="autoZero"/>
        <c:crossBetween val="midCat"/>
      </c:valAx>
      <c:valAx>
        <c:axId val="93706880"/>
        <c:scaling>
          <c:orientation val="minMax"/>
        </c:scaling>
        <c:delete val="0"/>
        <c:axPos val="l"/>
        <c:majorGridlines/>
        <c:title>
          <c:tx>
            <c:strRef>
              <c:f>'Pu238'!$B$12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3.580815342487411E-2"/>
              <c:y val="0.25753425290196391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93704960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'Pu239 '!$O$2</c:f>
              <c:strCache>
                <c:ptCount val="1"/>
                <c:pt idx="0">
                  <c:v>Exact Simpl. - Pu239</c:v>
                </c:pt>
              </c:strCache>
            </c:strRef>
          </c:tx>
          <c:marker>
            <c:symbol val="none"/>
          </c:marker>
          <c:xVal>
            <c:numRef>
              <c:f>'Pu239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'Pu239 '!$O$3:$O$137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2.1746594988127137E+21</c:v>
                </c:pt>
                <c:pt idx="2">
                  <c:v>2.1710769531702089E+21</c:v>
                </c:pt>
                <c:pt idx="3">
                  <c:v>2.1674534724010474E+21</c:v>
                </c:pt>
                <c:pt idx="4">
                  <c:v>2.1637901444719205E+21</c:v>
                </c:pt>
                <c:pt idx="5">
                  <c:v>2.1600880363712251E+21</c:v>
                </c:pt>
                <c:pt idx="6">
                  <c:v>2.1563481944860902E+21</c:v>
                </c:pt>
                <c:pt idx="7">
                  <c:v>2.1525716449729619E+21</c:v>
                </c:pt>
                <c:pt idx="8">
                  <c:v>2.1487593941218519E+21</c:v>
                </c:pt>
                <c:pt idx="9">
                  <c:v>2.1449124287143451E+21</c:v>
                </c:pt>
                <c:pt idx="10">
                  <c:v>2.1410317163754716E+21</c:v>
                </c:pt>
                <c:pt idx="11">
                  <c:v>2.1371182059195403E+21</c:v>
                </c:pt>
                <c:pt idx="12">
                  <c:v>2.1331728276900298E+21</c:v>
                </c:pt>
                <c:pt idx="13">
                  <c:v>2.1291964938936344E+21</c:v>
                </c:pt>
                <c:pt idx="14">
                  <c:v>2.1251900989285576E+21</c:v>
                </c:pt>
                <c:pt idx="15">
                  <c:v>2.1211545197071497E+21</c:v>
                </c:pt>
                <c:pt idx="16">
                  <c:v>2.1170906159729727E+21</c:v>
                </c:pt>
                <c:pt idx="17">
                  <c:v>2.1129992306123987E+21</c:v>
                </c:pt>
                <c:pt idx="18">
                  <c:v>2.1088811899608092E+21</c:v>
                </c:pt>
                <c:pt idx="19">
                  <c:v>2.1047373041035059E+21</c:v>
                </c:pt>
                <c:pt idx="20">
                  <c:v>2.1005683671713983E+21</c:v>
                </c:pt>
                <c:pt idx="21">
                  <c:v>2.0963751576315715E+21</c:v>
                </c:pt>
                <c:pt idx="22">
                  <c:v>2.0921584385728019E+21</c:v>
                </c:pt>
                <c:pt idx="23">
                  <c:v>2.0879189579861181E+21</c:v>
                </c:pt>
                <c:pt idx="24">
                  <c:v>2.0836574490404764E+21</c:v>
                </c:pt>
                <c:pt idx="25">
                  <c:v>2.079374630353639E+21</c:v>
                </c:pt>
                <c:pt idx="26">
                  <c:v>2.0750712062583279E+21</c:v>
                </c:pt>
                <c:pt idx="27">
                  <c:v>2.070747867063739E+21</c:v>
                </c:pt>
                <c:pt idx="28">
                  <c:v>2.0664052893124859E+21</c:v>
                </c:pt>
                <c:pt idx="29">
                  <c:v>2.0620441360330544E+21</c:v>
                </c:pt>
                <c:pt idx="30">
                  <c:v>2.0576650569878379E+21</c:v>
                </c:pt>
                <c:pt idx="31">
                  <c:v>2.0532686889168302E+21</c:v>
                </c:pt>
                <c:pt idx="32">
                  <c:v>2.0488556557770451E+21</c:v>
                </c:pt>
                <c:pt idx="33">
                  <c:v>2.044426568977736E+21</c:v>
                </c:pt>
                <c:pt idx="34">
                  <c:v>2.0399820276114839E+21</c:v>
                </c:pt>
                <c:pt idx="35">
                  <c:v>2.0355226186812212E+21</c:v>
                </c:pt>
                <c:pt idx="36">
                  <c:v>2.031048917323264E+21</c:v>
                </c:pt>
                <c:pt idx="37">
                  <c:v>2.0265614870264134E+21</c:v>
                </c:pt>
                <c:pt idx="38">
                  <c:v>2.0220608798471954E+21</c:v>
                </c:pt>
                <c:pt idx="39">
                  <c:v>2.0175476366213047E+21</c:v>
                </c:pt>
                <c:pt idx="40">
                  <c:v>2.0130222871713106E+21</c:v>
                </c:pt>
                <c:pt idx="41">
                  <c:v>2.0084853505106971E+21</c:v>
                </c:pt>
                <c:pt idx="42">
                  <c:v>2.0039373350442867E+21</c:v>
                </c:pt>
                <c:pt idx="43">
                  <c:v>1.9993787387651194E+21</c:v>
                </c:pt>
                <c:pt idx="44">
                  <c:v>1.9948100494478431E+21</c:v>
                </c:pt>
                <c:pt idx="45">
                  <c:v>1.9902317448386692E+21</c:v>
                </c:pt>
                <c:pt idx="46">
                  <c:v>1.9856442928419606E+21</c:v>
                </c:pt>
                <c:pt idx="47">
                  <c:v>1.9810481517035004E+21</c:v>
                </c:pt>
                <c:pt idx="48">
                  <c:v>1.9764437701905039E+21</c:v>
                </c:pt>
                <c:pt idx="49">
                  <c:v>1.9718315877684242E+21</c:v>
                </c:pt>
                <c:pt idx="50">
                  <c:v>1.9672120347746105E+21</c:v>
                </c:pt>
                <c:pt idx="51">
                  <c:v>1.9625855325888661E+21</c:v>
                </c:pt>
                <c:pt idx="52">
                  <c:v>1.9579524938009687E+21</c:v>
                </c:pt>
                <c:pt idx="53">
                  <c:v>1.953313322375192E+21</c:v>
                </c:pt>
                <c:pt idx="54">
                  <c:v>1.9486684138118911E+21</c:v>
                </c:pt>
                <c:pt idx="55">
                  <c:v>1.9440181553061956E+21</c:v>
                </c:pt>
                <c:pt idx="56">
                  <c:v>1.9393629259038615E+21</c:v>
                </c:pt>
                <c:pt idx="57">
                  <c:v>1.9347030966543298E+21</c:v>
                </c:pt>
                <c:pt idx="58">
                  <c:v>1.9300390307610406E+21</c:v>
                </c:pt>
                <c:pt idx="59">
                  <c:v>1.9253710837290492E+21</c:v>
                </c:pt>
                <c:pt idx="60">
                  <c:v>1.9206996035099896E+21</c:v>
                </c:pt>
                <c:pt idx="61">
                  <c:v>1.9160249306444338E+21</c:v>
                </c:pt>
                <c:pt idx="62">
                  <c:v>1.9113473984016878E+21</c:v>
                </c:pt>
                <c:pt idx="63">
                  <c:v>1.9066673329170709E+21</c:v>
                </c:pt>
                <c:pt idx="64">
                  <c:v>1.9019850533267204E+21</c:v>
                </c:pt>
                <c:pt idx="65">
                  <c:v>1.8973008718999671E+21</c:v>
                </c:pt>
                <c:pt idx="66">
                  <c:v>1.8926150941693198E+21</c:v>
                </c:pt>
                <c:pt idx="67">
                  <c:v>1.8879280190580997E+21</c:v>
                </c:pt>
                <c:pt idx="68">
                  <c:v>1.8832399390057733E+21</c:v>
                </c:pt>
                <c:pt idx="69">
                  <c:v>1.8785511400910102E+21</c:v>
                </c:pt>
                <c:pt idx="70">
                  <c:v>1.8738619021525191E+21</c:v>
                </c:pt>
                <c:pt idx="71">
                  <c:v>1.8691724989076917E+21</c:v>
                </c:pt>
                <c:pt idx="72">
                  <c:v>1.8644831980690926E+21</c:v>
                </c:pt>
                <c:pt idx="73">
                  <c:v>1.8597942614588405E+21</c:v>
                </c:pt>
                <c:pt idx="74">
                  <c:v>1.8551059451209056E+21</c:v>
                </c:pt>
                <c:pt idx="75">
                  <c:v>1.8504184994313722E+21</c:v>
                </c:pt>
                <c:pt idx="76">
                  <c:v>1.8457321692066905E+21</c:v>
                </c:pt>
                <c:pt idx="77">
                  <c:v>1.8410471938099614E+21</c:v>
                </c:pt>
                <c:pt idx="78">
                  <c:v>1.8363638072552818E+21</c:v>
                </c:pt>
                <c:pt idx="79">
                  <c:v>1.8316822383101902E+21</c:v>
                </c:pt>
                <c:pt idx="80">
                  <c:v>1.8270027105962411E+21</c:v>
                </c:pt>
                <c:pt idx="81">
                  <c:v>1.8223254426877467E+21</c:v>
                </c:pt>
                <c:pt idx="82">
                  <c:v>1.8176506482087079E+21</c:v>
                </c:pt>
                <c:pt idx="83">
                  <c:v>1.8129785359279805E+21</c:v>
                </c:pt>
                <c:pt idx="84">
                  <c:v>1.8083093098526923E+21</c:v>
                </c:pt>
                <c:pt idx="85">
                  <c:v>1.8036431693199568E+21</c:v>
                </c:pt>
                <c:pt idx="86">
                  <c:v>1.7989803090868998E+21</c:v>
                </c:pt>
                <c:pt idx="87">
                  <c:v>1.7943209194190398E+21</c:v>
                </c:pt>
                <c:pt idx="88">
                  <c:v>1.7896651861770416E+21</c:v>
                </c:pt>
                <c:pt idx="89">
                  <c:v>1.7850132909018817E+21</c:v>
                </c:pt>
                <c:pt idx="90">
                  <c:v>1.780365410898444E+21</c:v>
                </c:pt>
                <c:pt idx="91">
                  <c:v>1.7757217193175802E+21</c:v>
                </c:pt>
                <c:pt idx="92">
                  <c:v>1.7710823852366595E+21</c:v>
                </c:pt>
                <c:pt idx="93">
                  <c:v>1.7664475737386325E+21</c:v>
                </c:pt>
                <c:pt idx="94">
                  <c:v>1.7618174459896424E+21</c:v>
                </c:pt>
                <c:pt idx="95">
                  <c:v>1.7571921593151974E+21</c:v>
                </c:pt>
                <c:pt idx="96">
                  <c:v>1.7525718672749463E+21</c:v>
                </c:pt>
                <c:pt idx="97">
                  <c:v>1.7479567197360617E+21</c:v>
                </c:pt>
                <c:pt idx="98">
                  <c:v>1.7433468629452768E+21</c:v>
                </c:pt>
                <c:pt idx="99">
                  <c:v>1.7387424395995833E+21</c:v>
                </c:pt>
                <c:pt idx="100">
                  <c:v>1.7341435889156235E+21</c:v>
                </c:pt>
                <c:pt idx="101">
                  <c:v>1.7295504466977937E+21</c:v>
                </c:pt>
                <c:pt idx="102">
                  <c:v>1.7249631454050892E+21</c:v>
                </c:pt>
                <c:pt idx="103">
                  <c:v>1.7203818142167057E+21</c:v>
                </c:pt>
                <c:pt idx="104">
                  <c:v>1.7158065790964256E+21</c:v>
                </c:pt>
                <c:pt idx="105">
                  <c:v>1.7112375628558049E+21</c:v>
                </c:pt>
                <c:pt idx="106">
                  <c:v>1.706674885216188E+21</c:v>
                </c:pt>
                <c:pt idx="107">
                  <c:v>1.7021186628695679E+21</c:v>
                </c:pt>
                <c:pt idx="108">
                  <c:v>1.6975690095383137E+21</c:v>
                </c:pt>
                <c:pt idx="109">
                  <c:v>1.6930260360337841E+21</c:v>
                </c:pt>
                <c:pt idx="110">
                  <c:v>1.6884898503138489E+21</c:v>
                </c:pt>
                <c:pt idx="111">
                  <c:v>1.6839605575393395E+21</c:v>
                </c:pt>
                <c:pt idx="112">
                  <c:v>1.6794382601294402E+21</c:v>
                </c:pt>
                <c:pt idx="113">
                  <c:v>1.6749230578160511E+21</c:v>
                </c:pt>
                <c:pt idx="114">
                  <c:v>1.6704150476971282E+21</c:v>
                </c:pt>
                <c:pt idx="115">
                  <c:v>1.665914324289032E+21</c:v>
                </c:pt>
                <c:pt idx="116">
                  <c:v>1.6614209795778903E+21</c:v>
                </c:pt>
                <c:pt idx="117">
                  <c:v>1.6569351030700025E+21</c:v>
                </c:pt>
                <c:pt idx="118">
                  <c:v>1.6524567818412978E+21</c:v>
                </c:pt>
                <c:pt idx="119">
                  <c:v>1.6479861005858644E+21</c:v>
                </c:pt>
                <c:pt idx="120">
                  <c:v>1.6435231416635695E+21</c:v>
                </c:pt>
                <c:pt idx="121">
                  <c:v>1.6390679851467837E+21</c:v>
                </c:pt>
                <c:pt idx="122">
                  <c:v>1.6346207088662269E+21</c:v>
                </c:pt>
                <c:pt idx="123">
                  <c:v>1.630181388455952E+21</c:v>
                </c:pt>
                <c:pt idx="124">
                  <c:v>1.6257500973974809E+21</c:v>
                </c:pt>
                <c:pt idx="125">
                  <c:v>1.6213269070631107E+21</c:v>
                </c:pt>
                <c:pt idx="126">
                  <c:v>1.6169118867584026E+21</c:v>
                </c:pt>
                <c:pt idx="127">
                  <c:v>1.6125051037638682E+21</c:v>
                </c:pt>
                <c:pt idx="128">
                  <c:v>1.6081066233758703E+21</c:v>
                </c:pt>
                <c:pt idx="129">
                  <c:v>1.6037165089467502E+21</c:v>
                </c:pt>
                <c:pt idx="130">
                  <c:v>1.5993348219241976E+21</c:v>
                </c:pt>
                <c:pt idx="131">
                  <c:v>1.5949616218898739E+21</c:v>
                </c:pt>
                <c:pt idx="132">
                  <c:v>1.5905969665973053E+21</c:v>
                </c:pt>
                <c:pt idx="133">
                  <c:v>1.5862409120090586E+21</c:v>
                </c:pt>
                <c:pt idx="134">
                  <c:v>1.5818935123332109E+21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'Pu239 '!$M$2</c:f>
              <c:strCache>
                <c:ptCount val="1"/>
                <c:pt idx="0">
                  <c:v>O5 - Pu239</c:v>
                </c:pt>
              </c:strCache>
            </c:strRef>
          </c:tx>
          <c:marker>
            <c:symbol val="none"/>
          </c:marker>
          <c:xVal>
            <c:numRef>
              <c:f>'Pu239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'Pu239 '!$M$3:$M$116</c:f>
              <c:numCache>
                <c:formatCode>0.0000E+00</c:formatCode>
                <c:ptCount val="114"/>
                <c:pt idx="0">
                  <c:v>2.1782E+21</c:v>
                </c:pt>
                <c:pt idx="1">
                  <c:v>2.1746598337089951E+21</c:v>
                </c:pt>
                <c:pt idx="2">
                  <c:v>2.1710791878641288E+21</c:v>
                </c:pt>
                <c:pt idx="3">
                  <c:v>2.1674591149753316E+21</c:v>
                </c:pt>
                <c:pt idx="4">
                  <c:v>2.1638006474764777E+21</c:v>
                </c:pt>
                <c:pt idx="5">
                  <c:v>2.160104798116242E+21</c:v>
                </c:pt>
                <c:pt idx="6">
                  <c:v>2.1563725603489603E+21</c:v>
                </c:pt>
                <c:pt idx="7">
                  <c:v>2.1526049087254873E+21</c:v>
                </c:pt>
                <c:pt idx="8">
                  <c:v>2.1488027992840575E+21</c:v>
                </c:pt>
                <c:pt idx="9">
                  <c:v>2.1449671699411454E+21</c:v>
                </c:pt>
                <c:pt idx="10">
                  <c:v>2.1410989408823232E+21</c:v>
                </c:pt>
                <c:pt idx="11">
                  <c:v>2.1371990149531194E+21</c:v>
                </c:pt>
                <c:pt idx="12">
                  <c:v>2.1332682780498812E+21</c:v>
                </c:pt>
                <c:pt idx="13">
                  <c:v>2.129307580049966E+21</c:v>
                </c:pt>
                <c:pt idx="14">
                  <c:v>2.1253177848968239E+21</c:v>
                </c:pt>
                <c:pt idx="15">
                  <c:v>2.1212997270427148E+21</c:v>
                </c:pt>
                <c:pt idx="16">
                  <c:v>2.117254224883242E+21</c:v>
                </c:pt>
                <c:pt idx="17">
                  <c:v>2.113182081066967E+21</c:v>
                </c:pt>
                <c:pt idx="18">
                  <c:v>2.1090840828050284E+21</c:v>
                </c:pt>
                <c:pt idx="19">
                  <c:v>2.1049610021807587E+21</c:v>
                </c:pt>
                <c:pt idx="20">
                  <c:v>2.1008135964593003E+21</c:v>
                </c:pt>
                <c:pt idx="21">
                  <c:v>2.0966426083972235E+21</c:v>
                </c:pt>
                <c:pt idx="22">
                  <c:v>2.0924487665521428E+21</c:v>
                </c:pt>
                <c:pt idx="23">
                  <c:v>2.0882327855923336E+21</c:v>
                </c:pt>
                <c:pt idx="24">
                  <c:v>2.0839953666063511E+21</c:v>
                </c:pt>
                <c:pt idx="25">
                  <c:v>2.0797371823802873E+21</c:v>
                </c:pt>
                <c:pt idx="26">
                  <c:v>2.0754589160807643E+21</c:v>
                </c:pt>
                <c:pt idx="27">
                  <c:v>2.0711612276372283E+21</c:v>
                </c:pt>
                <c:pt idx="28">
                  <c:v>2.0668447641179343E+21</c:v>
                </c:pt>
                <c:pt idx="29">
                  <c:v>2.0625101599765268E+21</c:v>
                </c:pt>
                <c:pt idx="30">
                  <c:v>2.0581580372986212E+21</c:v>
                </c:pt>
                <c:pt idx="31">
                  <c:v>2.053789006048385E+21</c:v>
                </c:pt>
                <c:pt idx="32">
                  <c:v>2.049403664315118E+21</c:v>
                </c:pt>
                <c:pt idx="33">
                  <c:v>2.0450025985598313E+21</c:v>
                </c:pt>
                <c:pt idx="34">
                  <c:v>2.0405863838618322E+21</c:v>
                </c:pt>
                <c:pt idx="35">
                  <c:v>2.0361555841653004E+21</c:v>
                </c:pt>
                <c:pt idx="36">
                  <c:v>2.0317107525258715E+21</c:v>
                </c:pt>
                <c:pt idx="37">
                  <c:v>2.0272524196295853E+21</c:v>
                </c:pt>
                <c:pt idx="38">
                  <c:v>2.0227811239678734E+21</c:v>
                </c:pt>
                <c:pt idx="39">
                  <c:v>2.0182973856295879E+21</c:v>
                </c:pt>
                <c:pt idx="40">
                  <c:v>2.0138017143945513E+21</c:v>
                </c:pt>
                <c:pt idx="41">
                  <c:v>2.0092946099307639E+21</c:v>
                </c:pt>
                <c:pt idx="42">
                  <c:v>2.0047765619916118E+21</c:v>
                </c:pt>
                <c:pt idx="43">
                  <c:v>2.0002480506130745E+21</c:v>
                </c:pt>
                <c:pt idx="44">
                  <c:v>1.9957095463109334E+21</c:v>
                </c:pt>
                <c:pt idx="45">
                  <c:v>1.9911615102779783E+21</c:v>
                </c:pt>
                <c:pt idx="46">
                  <c:v>1.9866043945812149E+21</c:v>
                </c:pt>
                <c:pt idx="47">
                  <c:v>1.9820386423590751E+21</c:v>
                </c:pt>
                <c:pt idx="48">
                  <c:v>1.9774646880186233E+21</c:v>
                </c:pt>
                <c:pt idx="49">
                  <c:v>1.9728829482031815E+21</c:v>
                </c:pt>
                <c:pt idx="50">
                  <c:v>1.9682938455369599E+21</c:v>
                </c:pt>
                <c:pt idx="51">
                  <c:v>1.9636977880123058E+21</c:v>
                </c:pt>
                <c:pt idx="52">
                  <c:v>1.9590951753580806E+21</c:v>
                </c:pt>
                <c:pt idx="53">
                  <c:v>1.9544863991978779E+21</c:v>
                </c:pt>
                <c:pt idx="54">
                  <c:v>1.9498718432082445E+21</c:v>
                </c:pt>
                <c:pt idx="55">
                  <c:v>1.9452518832768984E+21</c:v>
                </c:pt>
                <c:pt idx="56">
                  <c:v>1.94062688766095E+21</c:v>
                </c:pt>
                <c:pt idx="57">
                  <c:v>1.9359972171451227E+21</c:v>
                </c:pt>
                <c:pt idx="58">
                  <c:v>1.9313632251999717E+21</c:v>
                </c:pt>
                <c:pt idx="59">
                  <c:v>1.9267252581401022E+21</c:v>
                </c:pt>
                <c:pt idx="60">
                  <c:v>1.9220836552823928E+21</c:v>
                </c:pt>
                <c:pt idx="61">
                  <c:v>1.9174387417865084E+21</c:v>
                </c:pt>
                <c:pt idx="62">
                  <c:v>1.9127908474787529E+21</c:v>
                </c:pt>
                <c:pt idx="63">
                  <c:v>1.9081402905174257E+21</c:v>
                </c:pt>
                <c:pt idx="64">
                  <c:v>1.9034873824409876E+21</c:v>
                </c:pt>
                <c:pt idx="65">
                  <c:v>1.8988324282952791E+21</c:v>
                </c:pt>
                <c:pt idx="66">
                  <c:v>1.8941757267607455E+21</c:v>
                </c:pt>
                <c:pt idx="67">
                  <c:v>1.8895175702796535E+21</c:v>
                </c:pt>
                <c:pt idx="68">
                  <c:v>1.8848582451833162E+21</c:v>
                </c:pt>
                <c:pt idx="69">
                  <c:v>1.8801980318193138E+21</c:v>
                </c:pt>
                <c:pt idx="70">
                  <c:v>1.8755372046787137E+21</c:v>
                </c:pt>
                <c:pt idx="71">
                  <c:v>1.8708760325232929E+21</c:v>
                </c:pt>
                <c:pt idx="72">
                  <c:v>1.8662147785127588E+21</c:v>
                </c:pt>
                <c:pt idx="73">
                  <c:v>1.8615536944946078E+21</c:v>
                </c:pt>
                <c:pt idx="74">
                  <c:v>1.8568930360184115E+21</c:v>
                </c:pt>
                <c:pt idx="75">
                  <c:v>1.8522330493107257E+21</c:v>
                </c:pt>
                <c:pt idx="76">
                  <c:v>1.8475739753011814E+21</c:v>
                </c:pt>
                <c:pt idx="77">
                  <c:v>1.8429160497249182E+21</c:v>
                </c:pt>
                <c:pt idx="78">
                  <c:v>1.8382595032250277E+21</c:v>
                </c:pt>
                <c:pt idx="79">
                  <c:v>1.8336045614549875E+21</c:v>
                </c:pt>
                <c:pt idx="80">
                  <c:v>1.828951445181102E+21</c:v>
                </c:pt>
                <c:pt idx="81">
                  <c:v>1.8243003703849407E+21</c:v>
                </c:pt>
                <c:pt idx="82">
                  <c:v>1.8196515483657754E+21</c:v>
                </c:pt>
                <c:pt idx="83">
                  <c:v>1.815005185843017E+21</c:v>
                </c:pt>
                <c:pt idx="84">
                  <c:v>1.8103614850586591E+21</c:v>
                </c:pt>
                <c:pt idx="85">
                  <c:v>1.8057206392006391E+21</c:v>
                </c:pt>
                <c:pt idx="86">
                  <c:v>1.8010828444367357E+21</c:v>
                </c:pt>
                <c:pt idx="87">
                  <c:v>1.7964482894770356E+21</c:v>
                </c:pt>
                <c:pt idx="88">
                  <c:v>1.7918171588004356E+21</c:v>
                </c:pt>
                <c:pt idx="89">
                  <c:v>1.7871896327371817E+21</c:v>
                </c:pt>
                <c:pt idx="90">
                  <c:v>1.7825658875514066E+21</c:v>
                </c:pt>
                <c:pt idx="91">
                  <c:v>1.7779460955236705E+21</c:v>
                </c:pt>
                <c:pt idx="92">
                  <c:v>1.773330425033498E+21</c:v>
                </c:pt>
                <c:pt idx="93">
                  <c:v>1.7687190406419175E+21</c:v>
                </c:pt>
                <c:pt idx="94">
                  <c:v>1.7641121031739998E+21</c:v>
                </c:pt>
                <c:pt idx="95">
                  <c:v>1.7595097698013972E+21</c:v>
                </c:pt>
                <c:pt idx="96">
                  <c:v>1.7549121941248811E+21</c:v>
                </c:pt>
                <c:pt idx="97">
                  <c:v>1.7503195224924543E+21</c:v>
                </c:pt>
                <c:pt idx="98">
                  <c:v>1.7457319036800826E+21</c:v>
                </c:pt>
                <c:pt idx="99">
                  <c:v>1.7411494804960929E+21</c:v>
                </c:pt>
                <c:pt idx="100">
                  <c:v>1.7365723923764079E+21</c:v>
                </c:pt>
                <c:pt idx="101">
                  <c:v>1.7320007754510544E+21</c:v>
                </c:pt>
                <c:pt idx="102">
                  <c:v>1.7274347626106729E+21</c:v>
                </c:pt>
                <c:pt idx="103">
                  <c:v>1.7228744835730251E+21</c:v>
                </c:pt>
                <c:pt idx="104">
                  <c:v>1.718320064949505E+21</c:v>
                </c:pt>
                <c:pt idx="105">
                  <c:v>1.7137716303116449E+21</c:v>
                </c:pt>
                <c:pt idx="106">
                  <c:v>1.7092293002576281E+21</c:v>
                </c:pt>
                <c:pt idx="107">
                  <c:v>1.7046931924787939E+21</c:v>
                </c:pt>
                <c:pt idx="108">
                  <c:v>1.7001634218261514E+21</c:v>
                </c:pt>
                <c:pt idx="109">
                  <c:v>1.6956400973403041E+21</c:v>
                </c:pt>
                <c:pt idx="110">
                  <c:v>1.691123330059823E+21</c:v>
                </c:pt>
                <c:pt idx="111">
                  <c:v>1.6866132262497058E+21</c:v>
                </c:pt>
                <c:pt idx="112">
                  <c:v>1.6821098894943686E+21</c:v>
                </c:pt>
                <c:pt idx="113">
                  <c:v>1.677613420751212E+21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'Pu239 '!$Q$2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'Pu239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'Pu239 '!$Q$3:$Q$52</c:f>
              <c:numCache>
                <c:formatCode>0.0000E+00</c:formatCode>
                <c:ptCount val="50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'Pu239 '!$S$2</c:f>
              <c:strCache>
                <c:ptCount val="1"/>
                <c:pt idx="0">
                  <c:v>VESTA - Pu239 </c:v>
                </c:pt>
              </c:strCache>
            </c:strRef>
          </c:tx>
          <c:marker>
            <c:symbol val="none"/>
          </c:marker>
          <c:xVal>
            <c:numRef>
              <c:f>'Pu239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'Pu239 '!$S$3:$S$9</c:f>
              <c:numCache>
                <c:formatCode>0.0000E+00</c:formatCode>
                <c:ptCount val="7"/>
                <c:pt idx="0">
                  <c:v>2.1782E+21</c:v>
                </c:pt>
                <c:pt idx="1">
                  <c:v>2.1686844320889595E+21</c:v>
                </c:pt>
                <c:pt idx="2">
                  <c:v>2.1574387609213665E+21</c:v>
                </c:pt>
                <c:pt idx="3">
                  <c:v>2.1323522637013506E+21</c:v>
                </c:pt>
                <c:pt idx="4">
                  <c:v>2.0882346306592535E+21</c:v>
                </c:pt>
                <c:pt idx="5">
                  <c:v>1.9446360603653696E+21</c:v>
                </c:pt>
                <c:pt idx="6">
                  <c:v>1.705016759332804E+21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'Pu239 '!$K$2</c:f>
              <c:strCache>
                <c:ptCount val="1"/>
                <c:pt idx="0">
                  <c:v>RK1 - Pu239</c:v>
                </c:pt>
              </c:strCache>
            </c:strRef>
          </c:tx>
          <c:marker>
            <c:symbol val="none"/>
          </c:marker>
          <c:xVal>
            <c:numRef>
              <c:f>'Pu239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'Pu239 '!$K$3:$K$137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051328"/>
        <c:axId val="94102272"/>
      </c:scatterChart>
      <c:valAx>
        <c:axId val="94051328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94102272"/>
        <c:crosses val="autoZero"/>
        <c:crossBetween val="midCat"/>
      </c:valAx>
      <c:valAx>
        <c:axId val="94102272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940513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33632"/>
        <c:axId val="94151808"/>
      </c:scatterChart>
      <c:valAx>
        <c:axId val="94133632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94151808"/>
        <c:crosses val="autoZero"/>
        <c:crossBetween val="midCat"/>
      </c:valAx>
      <c:valAx>
        <c:axId val="94151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1336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71136"/>
        <c:axId val="94172672"/>
      </c:scatterChart>
      <c:valAx>
        <c:axId val="9417113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94172672"/>
        <c:crosses val="autoZero"/>
        <c:crossBetween val="midCat"/>
      </c:valAx>
      <c:valAx>
        <c:axId val="94172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1711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355840"/>
        <c:axId val="94357376"/>
      </c:scatterChart>
      <c:valAx>
        <c:axId val="9435584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94357376"/>
        <c:crosses val="autoZero"/>
        <c:crossBetween val="midCat"/>
      </c:valAx>
      <c:valAx>
        <c:axId val="94357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3558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'Pu239 '!$B$10</c:f>
          <c:strCache>
            <c:ptCount val="1"/>
            <c:pt idx="0">
              <c:v>Comparaison des modèles pour le Pu239</c:v>
            </c:pt>
          </c:strCache>
        </c:strRef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'Pu239 '!$S$2</c:f>
              <c:strCache>
                <c:ptCount val="1"/>
                <c:pt idx="0">
                  <c:v>VESTA - Pu239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'Pu239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'Pu239 '!$S$3:$S$9</c:f>
              <c:numCache>
                <c:formatCode>0.0000E+00</c:formatCode>
                <c:ptCount val="7"/>
                <c:pt idx="0">
                  <c:v>2.1782E+21</c:v>
                </c:pt>
                <c:pt idx="1">
                  <c:v>2.1686844320889595E+21</c:v>
                </c:pt>
                <c:pt idx="2">
                  <c:v>2.1574387609213665E+21</c:v>
                </c:pt>
                <c:pt idx="3">
                  <c:v>2.1323522637013506E+21</c:v>
                </c:pt>
                <c:pt idx="4">
                  <c:v>2.0882346306592535E+21</c:v>
                </c:pt>
                <c:pt idx="5">
                  <c:v>1.9446360603653696E+21</c:v>
                </c:pt>
                <c:pt idx="6">
                  <c:v>1.705016759332804E+21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'Pu239 '!$Q$2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'Pu239 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'Pu239 '!$Q$3:$Q$52</c:f>
              <c:numCache>
                <c:formatCode>0.0000E+00</c:formatCode>
                <c:ptCount val="50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'Pu239 '!$K$2</c:f>
              <c:strCache>
                <c:ptCount val="1"/>
                <c:pt idx="0">
                  <c:v>RK1 - Pu239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'Pu239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'Pu239 '!$K$3:$K$137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'Pu239 '!$M$2</c:f>
              <c:strCache>
                <c:ptCount val="1"/>
                <c:pt idx="0">
                  <c:v>O5 - Pu239</c:v>
                </c:pt>
              </c:strCache>
            </c:strRef>
          </c:tx>
          <c:marker>
            <c:symbol val="none"/>
          </c:marker>
          <c:xVal>
            <c:numRef>
              <c:f>'Pu239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'Pu239 '!$M$3:$M$116</c:f>
              <c:numCache>
                <c:formatCode>0.0000E+00</c:formatCode>
                <c:ptCount val="114"/>
                <c:pt idx="0">
                  <c:v>2.1782E+21</c:v>
                </c:pt>
                <c:pt idx="1">
                  <c:v>2.1746598337089951E+21</c:v>
                </c:pt>
                <c:pt idx="2">
                  <c:v>2.1710791878641288E+21</c:v>
                </c:pt>
                <c:pt idx="3">
                  <c:v>2.1674591149753316E+21</c:v>
                </c:pt>
                <c:pt idx="4">
                  <c:v>2.1638006474764777E+21</c:v>
                </c:pt>
                <c:pt idx="5">
                  <c:v>2.160104798116242E+21</c:v>
                </c:pt>
                <c:pt idx="6">
                  <c:v>2.1563725603489603E+21</c:v>
                </c:pt>
                <c:pt idx="7">
                  <c:v>2.1526049087254873E+21</c:v>
                </c:pt>
                <c:pt idx="8">
                  <c:v>2.1488027992840575E+21</c:v>
                </c:pt>
                <c:pt idx="9">
                  <c:v>2.1449671699411454E+21</c:v>
                </c:pt>
                <c:pt idx="10">
                  <c:v>2.1410989408823232E+21</c:v>
                </c:pt>
                <c:pt idx="11">
                  <c:v>2.1371990149531194E+21</c:v>
                </c:pt>
                <c:pt idx="12">
                  <c:v>2.1332682780498812E+21</c:v>
                </c:pt>
                <c:pt idx="13">
                  <c:v>2.129307580049966E+21</c:v>
                </c:pt>
                <c:pt idx="14">
                  <c:v>2.1253177848968239E+21</c:v>
                </c:pt>
                <c:pt idx="15">
                  <c:v>2.1212997270427148E+21</c:v>
                </c:pt>
                <c:pt idx="16">
                  <c:v>2.117254224883242E+21</c:v>
                </c:pt>
                <c:pt idx="17">
                  <c:v>2.113182081066967E+21</c:v>
                </c:pt>
                <c:pt idx="18">
                  <c:v>2.1090840828050284E+21</c:v>
                </c:pt>
                <c:pt idx="19">
                  <c:v>2.1049610021807587E+21</c:v>
                </c:pt>
                <c:pt idx="20">
                  <c:v>2.1008135964593003E+21</c:v>
                </c:pt>
                <c:pt idx="21">
                  <c:v>2.0966426083972235E+21</c:v>
                </c:pt>
                <c:pt idx="22">
                  <c:v>2.0924487665521428E+21</c:v>
                </c:pt>
                <c:pt idx="23">
                  <c:v>2.0882327855923336E+21</c:v>
                </c:pt>
                <c:pt idx="24">
                  <c:v>2.0839953666063511E+21</c:v>
                </c:pt>
                <c:pt idx="25">
                  <c:v>2.0797371823802873E+21</c:v>
                </c:pt>
                <c:pt idx="26">
                  <c:v>2.0754589160807643E+21</c:v>
                </c:pt>
                <c:pt idx="27">
                  <c:v>2.0711612276372283E+21</c:v>
                </c:pt>
                <c:pt idx="28">
                  <c:v>2.0668447641179343E+21</c:v>
                </c:pt>
                <c:pt idx="29">
                  <c:v>2.0625101599765268E+21</c:v>
                </c:pt>
                <c:pt idx="30">
                  <c:v>2.0581580372986212E+21</c:v>
                </c:pt>
                <c:pt idx="31">
                  <c:v>2.053789006048385E+21</c:v>
                </c:pt>
                <c:pt idx="32">
                  <c:v>2.049403664315118E+21</c:v>
                </c:pt>
                <c:pt idx="33">
                  <c:v>2.0450025985598313E+21</c:v>
                </c:pt>
                <c:pt idx="34">
                  <c:v>2.0405863838618322E+21</c:v>
                </c:pt>
                <c:pt idx="35">
                  <c:v>2.0361555841653004E+21</c:v>
                </c:pt>
                <c:pt idx="36">
                  <c:v>2.0317107525258715E+21</c:v>
                </c:pt>
                <c:pt idx="37">
                  <c:v>2.0272524196295853E+21</c:v>
                </c:pt>
                <c:pt idx="38">
                  <c:v>2.0227811239678734E+21</c:v>
                </c:pt>
                <c:pt idx="39">
                  <c:v>2.0182973856295879E+21</c:v>
                </c:pt>
                <c:pt idx="40">
                  <c:v>2.0138017143945513E+21</c:v>
                </c:pt>
                <c:pt idx="41">
                  <c:v>2.0092946099307639E+21</c:v>
                </c:pt>
                <c:pt idx="42">
                  <c:v>2.0047765619916118E+21</c:v>
                </c:pt>
                <c:pt idx="43">
                  <c:v>2.0002480506130745E+21</c:v>
                </c:pt>
                <c:pt idx="44">
                  <c:v>1.9957095463109334E+21</c:v>
                </c:pt>
                <c:pt idx="45">
                  <c:v>1.9911615102779783E+21</c:v>
                </c:pt>
                <c:pt idx="46">
                  <c:v>1.9866043945812149E+21</c:v>
                </c:pt>
                <c:pt idx="47">
                  <c:v>1.9820386423590751E+21</c:v>
                </c:pt>
                <c:pt idx="48">
                  <c:v>1.9774646880186233E+21</c:v>
                </c:pt>
                <c:pt idx="49">
                  <c:v>1.9728829482031815E+21</c:v>
                </c:pt>
                <c:pt idx="50">
                  <c:v>1.9682938455369599E+21</c:v>
                </c:pt>
                <c:pt idx="51">
                  <c:v>1.9636977880123058E+21</c:v>
                </c:pt>
                <c:pt idx="52">
                  <c:v>1.9590951753580806E+21</c:v>
                </c:pt>
                <c:pt idx="53">
                  <c:v>1.9544863991978779E+21</c:v>
                </c:pt>
                <c:pt idx="54">
                  <c:v>1.9498718432082445E+21</c:v>
                </c:pt>
                <c:pt idx="55">
                  <c:v>1.9452518832768984E+21</c:v>
                </c:pt>
                <c:pt idx="56">
                  <c:v>1.94062688766095E+21</c:v>
                </c:pt>
                <c:pt idx="57">
                  <c:v>1.9359972171451227E+21</c:v>
                </c:pt>
                <c:pt idx="58">
                  <c:v>1.9313632251999717E+21</c:v>
                </c:pt>
                <c:pt idx="59">
                  <c:v>1.9267252581401022E+21</c:v>
                </c:pt>
                <c:pt idx="60">
                  <c:v>1.9220836552823928E+21</c:v>
                </c:pt>
                <c:pt idx="61">
                  <c:v>1.9174387417865084E+21</c:v>
                </c:pt>
                <c:pt idx="62">
                  <c:v>1.9127908474787529E+21</c:v>
                </c:pt>
                <c:pt idx="63">
                  <c:v>1.9081402905174257E+21</c:v>
                </c:pt>
                <c:pt idx="64">
                  <c:v>1.9034873824409876E+21</c:v>
                </c:pt>
                <c:pt idx="65">
                  <c:v>1.8988324282952791E+21</c:v>
                </c:pt>
                <c:pt idx="66">
                  <c:v>1.8941757267607455E+21</c:v>
                </c:pt>
                <c:pt idx="67">
                  <c:v>1.8895175702796535E+21</c:v>
                </c:pt>
                <c:pt idx="68">
                  <c:v>1.8848582451833162E+21</c:v>
                </c:pt>
                <c:pt idx="69">
                  <c:v>1.8801980318193138E+21</c:v>
                </c:pt>
                <c:pt idx="70">
                  <c:v>1.8755372046787137E+21</c:v>
                </c:pt>
                <c:pt idx="71">
                  <c:v>1.8708760325232929E+21</c:v>
                </c:pt>
                <c:pt idx="72">
                  <c:v>1.8662147785127588E+21</c:v>
                </c:pt>
                <c:pt idx="73">
                  <c:v>1.8615536944946078E+21</c:v>
                </c:pt>
                <c:pt idx="74">
                  <c:v>1.8568930360184115E+21</c:v>
                </c:pt>
                <c:pt idx="75">
                  <c:v>1.8522330493107257E+21</c:v>
                </c:pt>
                <c:pt idx="76">
                  <c:v>1.8475739753011814E+21</c:v>
                </c:pt>
                <c:pt idx="77">
                  <c:v>1.8429160497249182E+21</c:v>
                </c:pt>
                <c:pt idx="78">
                  <c:v>1.8382595032250277E+21</c:v>
                </c:pt>
                <c:pt idx="79">
                  <c:v>1.8336045614549875E+21</c:v>
                </c:pt>
                <c:pt idx="80">
                  <c:v>1.828951445181102E+21</c:v>
                </c:pt>
                <c:pt idx="81">
                  <c:v>1.8243003703849407E+21</c:v>
                </c:pt>
                <c:pt idx="82">
                  <c:v>1.8196515483657754E+21</c:v>
                </c:pt>
                <c:pt idx="83">
                  <c:v>1.815005185843017E+21</c:v>
                </c:pt>
                <c:pt idx="84">
                  <c:v>1.8103614850586591E+21</c:v>
                </c:pt>
                <c:pt idx="85">
                  <c:v>1.8057206392006391E+21</c:v>
                </c:pt>
                <c:pt idx="86">
                  <c:v>1.8010828444367357E+21</c:v>
                </c:pt>
                <c:pt idx="87">
                  <c:v>1.7964482894770356E+21</c:v>
                </c:pt>
                <c:pt idx="88">
                  <c:v>1.7918171588004356E+21</c:v>
                </c:pt>
                <c:pt idx="89">
                  <c:v>1.7871896327371817E+21</c:v>
                </c:pt>
                <c:pt idx="90">
                  <c:v>1.7825658875514066E+21</c:v>
                </c:pt>
                <c:pt idx="91">
                  <c:v>1.7779460955236705E+21</c:v>
                </c:pt>
                <c:pt idx="92">
                  <c:v>1.773330425033498E+21</c:v>
                </c:pt>
                <c:pt idx="93">
                  <c:v>1.7687190406419175E+21</c:v>
                </c:pt>
                <c:pt idx="94">
                  <c:v>1.7641121031739998E+21</c:v>
                </c:pt>
                <c:pt idx="95">
                  <c:v>1.7595097698013972E+21</c:v>
                </c:pt>
                <c:pt idx="96">
                  <c:v>1.7549121941248811E+21</c:v>
                </c:pt>
                <c:pt idx="97">
                  <c:v>1.7503195224924543E+21</c:v>
                </c:pt>
                <c:pt idx="98">
                  <c:v>1.7457319036800826E+21</c:v>
                </c:pt>
                <c:pt idx="99">
                  <c:v>1.7411494804960929E+21</c:v>
                </c:pt>
                <c:pt idx="100">
                  <c:v>1.7365723923764079E+21</c:v>
                </c:pt>
                <c:pt idx="101">
                  <c:v>1.7320007754510544E+21</c:v>
                </c:pt>
                <c:pt idx="102">
                  <c:v>1.7274347626106729E+21</c:v>
                </c:pt>
                <c:pt idx="103">
                  <c:v>1.7228744835730251E+21</c:v>
                </c:pt>
                <c:pt idx="104">
                  <c:v>1.718320064949505E+21</c:v>
                </c:pt>
                <c:pt idx="105">
                  <c:v>1.7137716303116449E+21</c:v>
                </c:pt>
                <c:pt idx="106">
                  <c:v>1.7092293002576281E+21</c:v>
                </c:pt>
                <c:pt idx="107">
                  <c:v>1.7046931924787939E+21</c:v>
                </c:pt>
                <c:pt idx="108">
                  <c:v>1.7001634218261514E+21</c:v>
                </c:pt>
                <c:pt idx="109">
                  <c:v>1.6956400973403041E+21</c:v>
                </c:pt>
                <c:pt idx="110">
                  <c:v>1.691123330059823E+21</c:v>
                </c:pt>
                <c:pt idx="111">
                  <c:v>1.6866132262497058E+21</c:v>
                </c:pt>
                <c:pt idx="112">
                  <c:v>1.6821098894943686E+21</c:v>
                </c:pt>
                <c:pt idx="113">
                  <c:v>1.677613420751212E+21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'Pu239 '!$O$2</c:f>
              <c:strCache>
                <c:ptCount val="1"/>
                <c:pt idx="0">
                  <c:v>Exact Simpl. - Pu239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'Pu239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'Pu239 '!$O$3:$O$137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2.1746594988127137E+21</c:v>
                </c:pt>
                <c:pt idx="2">
                  <c:v>2.1710769531702089E+21</c:v>
                </c:pt>
                <c:pt idx="3">
                  <c:v>2.1674534724010474E+21</c:v>
                </c:pt>
                <c:pt idx="4">
                  <c:v>2.1637901444719205E+21</c:v>
                </c:pt>
                <c:pt idx="5">
                  <c:v>2.1600880363712251E+21</c:v>
                </c:pt>
                <c:pt idx="6">
                  <c:v>2.1563481944860902E+21</c:v>
                </c:pt>
                <c:pt idx="7">
                  <c:v>2.1525716449729619E+21</c:v>
                </c:pt>
                <c:pt idx="8">
                  <c:v>2.1487593941218519E+21</c:v>
                </c:pt>
                <c:pt idx="9">
                  <c:v>2.1449124287143451E+21</c:v>
                </c:pt>
                <c:pt idx="10">
                  <c:v>2.1410317163754716E+21</c:v>
                </c:pt>
                <c:pt idx="11">
                  <c:v>2.1371182059195403E+21</c:v>
                </c:pt>
                <c:pt idx="12">
                  <c:v>2.1331728276900298E+21</c:v>
                </c:pt>
                <c:pt idx="13">
                  <c:v>2.1291964938936344E+21</c:v>
                </c:pt>
                <c:pt idx="14">
                  <c:v>2.1251900989285576E+21</c:v>
                </c:pt>
                <c:pt idx="15">
                  <c:v>2.1211545197071497E+21</c:v>
                </c:pt>
                <c:pt idx="16">
                  <c:v>2.1170906159729727E+21</c:v>
                </c:pt>
                <c:pt idx="17">
                  <c:v>2.1129992306123987E+21</c:v>
                </c:pt>
                <c:pt idx="18">
                  <c:v>2.1088811899608092E+21</c:v>
                </c:pt>
                <c:pt idx="19">
                  <c:v>2.1047373041035059E+21</c:v>
                </c:pt>
                <c:pt idx="20">
                  <c:v>2.1005683671713983E+21</c:v>
                </c:pt>
                <c:pt idx="21">
                  <c:v>2.0963751576315715E+21</c:v>
                </c:pt>
                <c:pt idx="22">
                  <c:v>2.0921584385728019E+21</c:v>
                </c:pt>
                <c:pt idx="23">
                  <c:v>2.0879189579861181E+21</c:v>
                </c:pt>
                <c:pt idx="24">
                  <c:v>2.0836574490404764E+21</c:v>
                </c:pt>
                <c:pt idx="25">
                  <c:v>2.079374630353639E+21</c:v>
                </c:pt>
                <c:pt idx="26">
                  <c:v>2.0750712062583279E+21</c:v>
                </c:pt>
                <c:pt idx="27">
                  <c:v>2.070747867063739E+21</c:v>
                </c:pt>
                <c:pt idx="28">
                  <c:v>2.0664052893124859E+21</c:v>
                </c:pt>
                <c:pt idx="29">
                  <c:v>2.0620441360330544E+21</c:v>
                </c:pt>
                <c:pt idx="30">
                  <c:v>2.0576650569878379E+21</c:v>
                </c:pt>
                <c:pt idx="31">
                  <c:v>2.0532686889168302E+21</c:v>
                </c:pt>
                <c:pt idx="32">
                  <c:v>2.0488556557770451E+21</c:v>
                </c:pt>
                <c:pt idx="33">
                  <c:v>2.044426568977736E+21</c:v>
                </c:pt>
                <c:pt idx="34">
                  <c:v>2.0399820276114839E+21</c:v>
                </c:pt>
                <c:pt idx="35">
                  <c:v>2.0355226186812212E+21</c:v>
                </c:pt>
                <c:pt idx="36">
                  <c:v>2.031048917323264E+21</c:v>
                </c:pt>
                <c:pt idx="37">
                  <c:v>2.0265614870264134E+21</c:v>
                </c:pt>
                <c:pt idx="38">
                  <c:v>2.0220608798471954E+21</c:v>
                </c:pt>
                <c:pt idx="39">
                  <c:v>2.0175476366213047E+21</c:v>
                </c:pt>
                <c:pt idx="40">
                  <c:v>2.0130222871713106E+21</c:v>
                </c:pt>
                <c:pt idx="41">
                  <c:v>2.0084853505106971E+21</c:v>
                </c:pt>
                <c:pt idx="42">
                  <c:v>2.0039373350442867E+21</c:v>
                </c:pt>
                <c:pt idx="43">
                  <c:v>1.9993787387651194E+21</c:v>
                </c:pt>
                <c:pt idx="44">
                  <c:v>1.9948100494478431E+21</c:v>
                </c:pt>
                <c:pt idx="45">
                  <c:v>1.9902317448386692E+21</c:v>
                </c:pt>
                <c:pt idx="46">
                  <c:v>1.9856442928419606E+21</c:v>
                </c:pt>
                <c:pt idx="47">
                  <c:v>1.9810481517035004E+21</c:v>
                </c:pt>
                <c:pt idx="48">
                  <c:v>1.9764437701905039E+21</c:v>
                </c:pt>
                <c:pt idx="49">
                  <c:v>1.9718315877684242E+21</c:v>
                </c:pt>
                <c:pt idx="50">
                  <c:v>1.9672120347746105E+21</c:v>
                </c:pt>
                <c:pt idx="51">
                  <c:v>1.9625855325888661E+21</c:v>
                </c:pt>
                <c:pt idx="52">
                  <c:v>1.9579524938009687E+21</c:v>
                </c:pt>
                <c:pt idx="53">
                  <c:v>1.953313322375192E+21</c:v>
                </c:pt>
                <c:pt idx="54">
                  <c:v>1.9486684138118911E+21</c:v>
                </c:pt>
                <c:pt idx="55">
                  <c:v>1.9440181553061956E+21</c:v>
                </c:pt>
                <c:pt idx="56">
                  <c:v>1.9393629259038615E+21</c:v>
                </c:pt>
                <c:pt idx="57">
                  <c:v>1.9347030966543298E+21</c:v>
                </c:pt>
                <c:pt idx="58">
                  <c:v>1.9300390307610406E+21</c:v>
                </c:pt>
                <c:pt idx="59">
                  <c:v>1.9253710837290492E+21</c:v>
                </c:pt>
                <c:pt idx="60">
                  <c:v>1.9206996035099896E+21</c:v>
                </c:pt>
                <c:pt idx="61">
                  <c:v>1.9160249306444338E+21</c:v>
                </c:pt>
                <c:pt idx="62">
                  <c:v>1.9113473984016878E+21</c:v>
                </c:pt>
                <c:pt idx="63">
                  <c:v>1.9066673329170709E+21</c:v>
                </c:pt>
                <c:pt idx="64">
                  <c:v>1.9019850533267204E+21</c:v>
                </c:pt>
                <c:pt idx="65">
                  <c:v>1.8973008718999671E+21</c:v>
                </c:pt>
                <c:pt idx="66">
                  <c:v>1.8926150941693198E+21</c:v>
                </c:pt>
                <c:pt idx="67">
                  <c:v>1.8879280190580997E+21</c:v>
                </c:pt>
                <c:pt idx="68">
                  <c:v>1.8832399390057733E+21</c:v>
                </c:pt>
                <c:pt idx="69">
                  <c:v>1.8785511400910102E+21</c:v>
                </c:pt>
                <c:pt idx="70">
                  <c:v>1.8738619021525191E+21</c:v>
                </c:pt>
                <c:pt idx="71">
                  <c:v>1.8691724989076917E+21</c:v>
                </c:pt>
                <c:pt idx="72">
                  <c:v>1.8644831980690926E+21</c:v>
                </c:pt>
                <c:pt idx="73">
                  <c:v>1.8597942614588405E+21</c:v>
                </c:pt>
                <c:pt idx="74">
                  <c:v>1.8551059451209056E+21</c:v>
                </c:pt>
                <c:pt idx="75">
                  <c:v>1.8504184994313722E+21</c:v>
                </c:pt>
                <c:pt idx="76">
                  <c:v>1.8457321692066905E+21</c:v>
                </c:pt>
                <c:pt idx="77">
                  <c:v>1.8410471938099614E+21</c:v>
                </c:pt>
                <c:pt idx="78">
                  <c:v>1.8363638072552818E+21</c:v>
                </c:pt>
                <c:pt idx="79">
                  <c:v>1.8316822383101902E+21</c:v>
                </c:pt>
                <c:pt idx="80">
                  <c:v>1.8270027105962411E+21</c:v>
                </c:pt>
                <c:pt idx="81">
                  <c:v>1.8223254426877467E+21</c:v>
                </c:pt>
                <c:pt idx="82">
                  <c:v>1.8176506482087079E+21</c:v>
                </c:pt>
                <c:pt idx="83">
                  <c:v>1.8129785359279805E+21</c:v>
                </c:pt>
                <c:pt idx="84">
                  <c:v>1.8083093098526923E+21</c:v>
                </c:pt>
                <c:pt idx="85">
                  <c:v>1.8036431693199568E+21</c:v>
                </c:pt>
                <c:pt idx="86">
                  <c:v>1.7989803090868998E+21</c:v>
                </c:pt>
                <c:pt idx="87">
                  <c:v>1.7943209194190398E+21</c:v>
                </c:pt>
                <c:pt idx="88">
                  <c:v>1.7896651861770416E+21</c:v>
                </c:pt>
                <c:pt idx="89">
                  <c:v>1.7850132909018817E+21</c:v>
                </c:pt>
                <c:pt idx="90">
                  <c:v>1.780365410898444E+21</c:v>
                </c:pt>
                <c:pt idx="91">
                  <c:v>1.7757217193175802E+21</c:v>
                </c:pt>
                <c:pt idx="92">
                  <c:v>1.7710823852366595E+21</c:v>
                </c:pt>
                <c:pt idx="93">
                  <c:v>1.7664475737386325E+21</c:v>
                </c:pt>
                <c:pt idx="94">
                  <c:v>1.7618174459896424E+21</c:v>
                </c:pt>
                <c:pt idx="95">
                  <c:v>1.7571921593151974E+21</c:v>
                </c:pt>
                <c:pt idx="96">
                  <c:v>1.7525718672749463E+21</c:v>
                </c:pt>
                <c:pt idx="97">
                  <c:v>1.7479567197360617E+21</c:v>
                </c:pt>
                <c:pt idx="98">
                  <c:v>1.7433468629452768E+21</c:v>
                </c:pt>
                <c:pt idx="99">
                  <c:v>1.7387424395995833E+21</c:v>
                </c:pt>
                <c:pt idx="100">
                  <c:v>1.7341435889156235E+21</c:v>
                </c:pt>
                <c:pt idx="101">
                  <c:v>1.7295504466977937E+21</c:v>
                </c:pt>
                <c:pt idx="102">
                  <c:v>1.7249631454050892E+21</c:v>
                </c:pt>
                <c:pt idx="103">
                  <c:v>1.7203818142167057E+21</c:v>
                </c:pt>
                <c:pt idx="104">
                  <c:v>1.7158065790964256E+21</c:v>
                </c:pt>
                <c:pt idx="105">
                  <c:v>1.7112375628558049E+21</c:v>
                </c:pt>
                <c:pt idx="106">
                  <c:v>1.706674885216188E+21</c:v>
                </c:pt>
                <c:pt idx="107">
                  <c:v>1.7021186628695679E+21</c:v>
                </c:pt>
                <c:pt idx="108">
                  <c:v>1.6975690095383137E+21</c:v>
                </c:pt>
                <c:pt idx="109">
                  <c:v>1.6930260360337841E+21</c:v>
                </c:pt>
                <c:pt idx="110">
                  <c:v>1.6884898503138489E+21</c:v>
                </c:pt>
                <c:pt idx="111">
                  <c:v>1.6839605575393395E+21</c:v>
                </c:pt>
                <c:pt idx="112">
                  <c:v>1.6794382601294402E+21</c:v>
                </c:pt>
                <c:pt idx="113">
                  <c:v>1.6749230578160511E+21</c:v>
                </c:pt>
                <c:pt idx="114">
                  <c:v>1.6704150476971282E+21</c:v>
                </c:pt>
                <c:pt idx="115">
                  <c:v>1.665914324289032E+21</c:v>
                </c:pt>
                <c:pt idx="116">
                  <c:v>1.6614209795778903E+21</c:v>
                </c:pt>
                <c:pt idx="117">
                  <c:v>1.6569351030700025E+21</c:v>
                </c:pt>
                <c:pt idx="118">
                  <c:v>1.6524567818412978E+21</c:v>
                </c:pt>
                <c:pt idx="119">
                  <c:v>1.6479861005858644E+21</c:v>
                </c:pt>
                <c:pt idx="120">
                  <c:v>1.6435231416635695E+21</c:v>
                </c:pt>
                <c:pt idx="121">
                  <c:v>1.6390679851467837E+21</c:v>
                </c:pt>
                <c:pt idx="122">
                  <c:v>1.6346207088662269E+21</c:v>
                </c:pt>
                <c:pt idx="123">
                  <c:v>1.630181388455952E+21</c:v>
                </c:pt>
                <c:pt idx="124">
                  <c:v>1.6257500973974809E+21</c:v>
                </c:pt>
                <c:pt idx="125">
                  <c:v>1.6213269070631107E+21</c:v>
                </c:pt>
                <c:pt idx="126">
                  <c:v>1.6169118867584026E+21</c:v>
                </c:pt>
                <c:pt idx="127">
                  <c:v>1.6125051037638682E+21</c:v>
                </c:pt>
                <c:pt idx="128">
                  <c:v>1.6081066233758703E+21</c:v>
                </c:pt>
                <c:pt idx="129">
                  <c:v>1.6037165089467502E+21</c:v>
                </c:pt>
                <c:pt idx="130">
                  <c:v>1.5993348219241976E+21</c:v>
                </c:pt>
                <c:pt idx="131">
                  <c:v>1.5949616218898739E+21</c:v>
                </c:pt>
                <c:pt idx="132">
                  <c:v>1.5905969665973053E+21</c:v>
                </c:pt>
                <c:pt idx="133">
                  <c:v>1.5862409120090586E+21</c:v>
                </c:pt>
                <c:pt idx="134">
                  <c:v>1.5818935123332109E+21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17664"/>
        <c:axId val="94419584"/>
      </c:scatterChart>
      <c:valAx>
        <c:axId val="94417664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'Pu239 '!$B$11</c:f>
              <c:strCache>
                <c:ptCount val="1"/>
                <c:pt idx="0">
                  <c:v>Temps (années)</c:v>
                </c:pt>
              </c:strCache>
            </c:strRef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94419584"/>
        <c:crosses val="autoZero"/>
        <c:crossBetween val="midCat"/>
      </c:valAx>
      <c:valAx>
        <c:axId val="94419584"/>
        <c:scaling>
          <c:orientation val="minMax"/>
          <c:min val="1.4E+21"/>
        </c:scaling>
        <c:delete val="0"/>
        <c:axPos val="l"/>
        <c:majorGridlines/>
        <c:title>
          <c:tx>
            <c:strRef>
              <c:f>'Pu239 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2.6442978102155332E-2"/>
              <c:y val="0.21720955392281097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94417664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'Pu2340 '!$O$2</c:f>
              <c:strCache>
                <c:ptCount val="1"/>
                <c:pt idx="0">
                  <c:v>Exact Simpl. - Pu240</c:v>
                </c:pt>
              </c:strCache>
            </c:strRef>
          </c:tx>
          <c:marker>
            <c:symbol val="none"/>
          </c:marker>
          <c:xVal>
            <c:numRef>
              <c:f>'Pu2340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'Pu2340 '!$O$3:$O$137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7.2682807598096056E+20</c:v>
                </c:pt>
                <c:pt idx="2">
                  <c:v>7.3015472627317447E+20</c:v>
                </c:pt>
                <c:pt idx="3">
                  <c:v>7.3344016180784988E+20</c:v>
                </c:pt>
                <c:pt idx="4">
                  <c:v>7.3668453898356916E+20</c:v>
                </c:pt>
                <c:pt idx="5">
                  <c:v>7.3988801745542329E+20</c:v>
                </c:pt>
                <c:pt idx="6">
                  <c:v>7.4305076002275328E+20</c:v>
                </c:pt>
                <c:pt idx="7">
                  <c:v>7.4617293251933753E+20</c:v>
                </c:pt>
                <c:pt idx="8">
                  <c:v>7.4925470370597044E+20</c:v>
                </c:pt>
                <c:pt idx="9">
                  <c:v>7.52296245165392E+20</c:v>
                </c:pt>
                <c:pt idx="10">
                  <c:v>7.5529773119952742E+20</c:v>
                </c:pt>
                <c:pt idx="11">
                  <c:v>7.5825933872898428E+20</c:v>
                </c:pt>
                <c:pt idx="12">
                  <c:v>7.6118124719477306E+20</c:v>
                </c:pt>
                <c:pt idx="13">
                  <c:v>7.6406363846220487E+20</c:v>
                </c:pt>
                <c:pt idx="14">
                  <c:v>7.6690669672692554E+20</c:v>
                </c:pt>
                <c:pt idx="15">
                  <c:v>7.6971060842304478E+20</c:v>
                </c:pt>
                <c:pt idx="16">
                  <c:v>7.7247556213332273E+20</c:v>
                </c:pt>
                <c:pt idx="17">
                  <c:v>7.7520174850137365E+20</c:v>
                </c:pt>
                <c:pt idx="18">
                  <c:v>7.7788936014584676E+20</c:v>
                </c:pt>
                <c:pt idx="19">
                  <c:v>7.8053859157654805E+20</c:v>
                </c:pt>
                <c:pt idx="20">
                  <c:v>7.8314963911246597E+20</c:v>
                </c:pt>
                <c:pt idx="21">
                  <c:v>7.8572270080166343E+20</c:v>
                </c:pt>
                <c:pt idx="22">
                  <c:v>7.8825797634300078E+20</c:v>
                </c:pt>
                <c:pt idx="23">
                  <c:v>7.9075566700965488E+20</c:v>
                </c:pt>
                <c:pt idx="24">
                  <c:v>7.9321597557439883E+20</c:v>
                </c:pt>
                <c:pt idx="25">
                  <c:v>7.9563910623660763E+20</c:v>
                </c:pt>
                <c:pt idx="26">
                  <c:v>7.9802526455096082E+20</c:v>
                </c:pt>
                <c:pt idx="27">
                  <c:v>8.0037465735780106E+20</c:v>
                </c:pt>
                <c:pt idx="28">
                  <c:v>8.0268749271512488E+20</c:v>
                </c:pt>
                <c:pt idx="29">
                  <c:v>8.0496397983216907E+20</c:v>
                </c:pt>
                <c:pt idx="30">
                  <c:v>8.0720432900456173E+20</c:v>
                </c:pt>
                <c:pt idx="31">
                  <c:v>8.0940875155100874E+20</c:v>
                </c:pt>
                <c:pt idx="32">
                  <c:v>8.1157745975148741E+20</c:v>
                </c:pt>
                <c:pt idx="33">
                  <c:v>8.1371066678691155E+20</c:v>
                </c:pt>
                <c:pt idx="34">
                  <c:v>8.1580858668024778E+20</c:v>
                </c:pt>
                <c:pt idx="35">
                  <c:v>8.1787143423904422E+20</c:v>
                </c:pt>
                <c:pt idx="36">
                  <c:v>8.1989942499935571E+20</c:v>
                </c:pt>
                <c:pt idx="37">
                  <c:v>8.218927751710258E+20</c:v>
                </c:pt>
                <c:pt idx="38">
                  <c:v>8.2385170158430899E+20</c:v>
                </c:pt>
                <c:pt idx="39">
                  <c:v>8.2577642163779863E+20</c:v>
                </c:pt>
                <c:pt idx="40">
                  <c:v>8.2766715324764075E+20</c:v>
                </c:pt>
                <c:pt idx="41">
                  <c:v>8.2952411479800414E+20</c:v>
                </c:pt>
                <c:pt idx="42">
                  <c:v>8.3134752509278251E+20</c:v>
                </c:pt>
                <c:pt idx="43">
                  <c:v>8.3313760330850697E+20</c:v>
                </c:pt>
                <c:pt idx="44">
                  <c:v>8.3489456894843945E+20</c:v>
                </c:pt>
                <c:pt idx="45">
                  <c:v>8.3661864179782818E+20</c:v>
                </c:pt>
                <c:pt idx="46">
                  <c:v>8.3831004188029839E+20</c:v>
                </c:pt>
                <c:pt idx="47">
                  <c:v>8.3996898941535951E+20</c:v>
                </c:pt>
                <c:pt idx="48">
                  <c:v>8.4159570477699983E+20</c:v>
                </c:pt>
                <c:pt idx="49">
                  <c:v>8.4319040845335482E+20</c:v>
                </c:pt>
                <c:pt idx="50">
                  <c:v>8.447533210074191E+20</c:v>
                </c:pt>
                <c:pt idx="51">
                  <c:v>8.4628466303878798E+20</c:v>
                </c:pt>
                <c:pt idx="52">
                  <c:v>8.4778465514640245E+20</c:v>
                </c:pt>
                <c:pt idx="53">
                  <c:v>8.4925351789228196E+20</c:v>
                </c:pt>
                <c:pt idx="54">
                  <c:v>8.506914717662169E+20</c:v>
                </c:pt>
                <c:pt idx="55">
                  <c:v>8.5209873715141332E+20</c:v>
                </c:pt>
                <c:pt idx="56">
                  <c:v>8.5347553429105659E+20</c:v>
                </c:pt>
                <c:pt idx="57">
                  <c:v>8.5482208325578811E+20</c:v>
                </c:pt>
                <c:pt idx="58">
                  <c:v>8.5613860391206401E+20</c:v>
                </c:pt>
                <c:pt idx="59">
                  <c:v>8.5742531589138874E+20</c:v>
                </c:pt>
                <c:pt idx="60">
                  <c:v>8.5868243856039752E+20</c:v>
                </c:pt>
                <c:pt idx="61">
                  <c:v>8.5991019099177379E+20</c:v>
                </c:pt>
                <c:pt idx="62">
                  <c:v>8.6110879193598381E+20</c:v>
                </c:pt>
                <c:pt idx="63">
                  <c:v>8.6227845979380947E+20</c:v>
                </c:pt>
                <c:pt idx="64">
                  <c:v>8.6341941258966702E+20</c:v>
                </c:pt>
                <c:pt idx="65">
                  <c:v>8.6453186794568889E+20</c:v>
                </c:pt>
                <c:pt idx="66">
                  <c:v>8.6561604305655955E+20</c:v>
                </c:pt>
                <c:pt idx="67">
                  <c:v>8.666721546650836E+20</c:v>
                </c:pt>
                <c:pt idx="68">
                  <c:v>8.6770041903847453E+20</c:v>
                </c:pt>
                <c:pt idx="69">
                  <c:v>8.6870105194534771E+20</c:v>
                </c:pt>
                <c:pt idx="70">
                  <c:v>8.6967426863340139E+20</c:v>
                </c:pt>
                <c:pt idx="71">
                  <c:v>8.7062028380777467E+20</c:v>
                </c:pt>
                <c:pt idx="72">
                  <c:v>8.7153931161006152E+20</c:v>
                </c:pt>
                <c:pt idx="73">
                  <c:v>8.7243156559797761E+20</c:v>
                </c:pt>
                <c:pt idx="74">
                  <c:v>8.7329725872565112E+20</c:v>
                </c:pt>
                <c:pt idx="75">
                  <c:v>8.7413660332453986E+20</c:v>
                </c:pt>
                <c:pt idx="76">
                  <c:v>8.7494981108494919E+20</c:v>
                </c:pt>
                <c:pt idx="77">
                  <c:v>8.7573709303814475E+20</c:v>
                </c:pt>
                <c:pt idx="78">
                  <c:v>8.7649865953904309E+20</c:v>
                </c:pt>
                <c:pt idx="79">
                  <c:v>8.772347202494717E+20</c:v>
                </c:pt>
                <c:pt idx="80">
                  <c:v>8.7794548412198014E+20</c:v>
                </c:pt>
                <c:pt idx="81">
                  <c:v>8.7863115938419809E+20</c:v>
                </c:pt>
                <c:pt idx="82">
                  <c:v>8.7929195352372072E+20</c:v>
                </c:pt>
                <c:pt idx="83">
                  <c:v>8.7992807327351518E+20</c:v>
                </c:pt>
                <c:pt idx="84">
                  <c:v>8.8053972459783455E+20</c:v>
                </c:pt>
                <c:pt idx="85">
                  <c:v>8.8112711267862761E+20</c:v>
                </c:pt>
                <c:pt idx="86">
                  <c:v>8.8169044190243363E+20</c:v>
                </c:pt>
                <c:pt idx="87">
                  <c:v>8.8222991584775569E+20</c:v>
                </c:pt>
                <c:pt idx="88">
                  <c:v>8.8274573727289403E+20</c:v>
                </c:pt>
                <c:pt idx="89">
                  <c:v>8.8323810810423306E+20</c:v>
                </c:pt>
                <c:pt idx="90">
                  <c:v>8.8370722942497744E+20</c:v>
                </c:pt>
                <c:pt idx="91">
                  <c:v>8.8415330146431599E+20</c:v>
                </c:pt>
                <c:pt idx="92">
                  <c:v>8.8457652358701371E+20</c:v>
                </c:pt>
                <c:pt idx="93">
                  <c:v>8.8497709428341434E+20</c:v>
                </c:pt>
                <c:pt idx="94">
                  <c:v>8.8535521115985281E+20</c:v>
                </c:pt>
                <c:pt idx="95">
                  <c:v>8.8571107092945961E+20</c:v>
                </c:pt>
                <c:pt idx="96">
                  <c:v>8.8604486940335355E+20</c:v>
                </c:pt>
                <c:pt idx="97">
                  <c:v>8.8635680148221329E+20</c:v>
                </c:pt>
                <c:pt idx="98">
                  <c:v>8.8664706114821476E+20</c:v>
                </c:pt>
                <c:pt idx="99">
                  <c:v>8.8691584145733491E+20</c:v>
                </c:pt>
                <c:pt idx="100">
                  <c:v>8.8716333453200314E+20</c:v>
                </c:pt>
                <c:pt idx="101">
                  <c:v>8.8738973155409841E+20</c:v>
                </c:pt>
                <c:pt idx="102">
                  <c:v>8.8759522275828328E+20</c:v>
                </c:pt>
                <c:pt idx="103">
                  <c:v>8.8777999742566649E+20</c:v>
                </c:pt>
                <c:pt idx="104">
                  <c:v>8.8794424387778458E+20</c:v>
                </c:pt>
                <c:pt idx="105">
                  <c:v>8.8808814947089803E+20</c:v>
                </c:pt>
                <c:pt idx="106">
                  <c:v>8.8821190059059302E+20</c:v>
                </c:pt>
                <c:pt idx="107">
                  <c:v>8.883156826466804E+20</c:v>
                </c:pt>
                <c:pt idx="108">
                  <c:v>8.8839968006838918E+20</c:v>
                </c:pt>
                <c:pt idx="109">
                  <c:v>8.8846407629983895E+20</c:v>
                </c:pt>
                <c:pt idx="110">
                  <c:v>8.8850905379579599E+20</c:v>
                </c:pt>
                <c:pt idx="111">
                  <c:v>8.8853479401769547E+20</c:v>
                </c:pt>
                <c:pt idx="112">
                  <c:v>8.8854147742993102E+20</c:v>
                </c:pt>
                <c:pt idx="113">
                  <c:v>8.8852928349639882E+20</c:v>
                </c:pt>
                <c:pt idx="114">
                  <c:v>8.8849839067729848E+20</c:v>
                </c:pt>
                <c:pt idx="115">
                  <c:v>8.8844897642617281E+20</c:v>
                </c:pt>
                <c:pt idx="116">
                  <c:v>8.8838121718719159E+20</c:v>
                </c:pt>
                <c:pt idx="117">
                  <c:v>8.8829528839266815E+20</c:v>
                </c:pt>
                <c:pt idx="118">
                  <c:v>8.8819136446080116E+20</c:v>
                </c:pt>
                <c:pt idx="119">
                  <c:v>8.880696187936401E+20</c:v>
                </c:pt>
                <c:pt idx="120">
                  <c:v>8.8793022377526795E+20</c:v>
                </c:pt>
                <c:pt idx="121">
                  <c:v>8.8777335077019084E+20</c:v>
                </c:pt>
                <c:pt idx="122">
                  <c:v>8.8759917012193955E+20</c:v>
                </c:pt>
                <c:pt idx="123">
                  <c:v>8.8740785115186358E+20</c:v>
                </c:pt>
                <c:pt idx="124">
                  <c:v>8.8719956215812692E+20</c:v>
                </c:pt>
                <c:pt idx="125">
                  <c:v>8.8697447041489017E+20</c:v>
                </c:pt>
                <c:pt idx="126">
                  <c:v>8.8673274217167874E+20</c:v>
                </c:pt>
                <c:pt idx="127">
                  <c:v>8.864745426529321E+20</c:v>
                </c:pt>
                <c:pt idx="128">
                  <c:v>8.8620003605772698E+20</c:v>
                </c:pt>
                <c:pt idx="129">
                  <c:v>8.8590938555967367E+20</c:v>
                </c:pt>
                <c:pt idx="130">
                  <c:v>8.8560275330697554E+20</c:v>
                </c:pt>
                <c:pt idx="131">
                  <c:v>8.8528030042265485E+20</c:v>
                </c:pt>
                <c:pt idx="132">
                  <c:v>8.8494218700493252E+20</c:v>
                </c:pt>
                <c:pt idx="133">
                  <c:v>8.8458857212776271E+20</c:v>
                </c:pt>
                <c:pt idx="134">
                  <c:v>8.8421961384151613E+20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'Pu2340 '!$M$2</c:f>
              <c:strCache>
                <c:ptCount val="1"/>
                <c:pt idx="0">
                  <c:v>O5 - N(Pu240)</c:v>
                </c:pt>
              </c:strCache>
            </c:strRef>
          </c:tx>
          <c:marker>
            <c:symbol val="none"/>
          </c:marker>
          <c:xVal>
            <c:numRef>
              <c:f>'Pu2340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'Pu2340 '!$M$3:$M$116</c:f>
              <c:numCache>
                <c:formatCode>0.0000E+00</c:formatCode>
                <c:ptCount val="114"/>
                <c:pt idx="0">
                  <c:v>7.2346005790387942E+20</c:v>
                </c:pt>
                <c:pt idx="1">
                  <c:v>7.2682807612617982E+20</c:v>
                </c:pt>
                <c:pt idx="2">
                  <c:v>7.3015473124125757E+20</c:v>
                </c:pt>
                <c:pt idx="3">
                  <c:v>7.3344018263798107E+20</c:v>
                </c:pt>
                <c:pt idx="4">
                  <c:v>7.3668459278687352E+20</c:v>
                </c:pt>
                <c:pt idx="5">
                  <c:v>7.3988812712671406E+20</c:v>
                </c:pt>
                <c:pt idx="6">
                  <c:v>7.4305095395113737E+20</c:v>
                </c:pt>
                <c:pt idx="7">
                  <c:v>7.4617324429523367E+20</c:v>
                </c:pt>
                <c:pt idx="8">
                  <c:v>7.492551718221493E+20</c:v>
                </c:pt>
                <c:pt idx="9">
                  <c:v>7.5229691270968653E+20</c:v>
                </c:pt>
                <c:pt idx="10">
                  <c:v>7.5529864553690431E+20</c:v>
                </c:pt>
                <c:pt idx="11">
                  <c:v>7.582605511707166E+20</c:v>
                </c:pt>
                <c:pt idx="12">
                  <c:v>7.6118281265249518E+20</c:v>
                </c:pt>
                <c:pt idx="13">
                  <c:v>7.640656214951896E+20</c:v>
                </c:pt>
                <c:pt idx="14">
                  <c:v>7.6690916120853873E+20</c:v>
                </c:pt>
                <c:pt idx="15">
                  <c:v>7.6971362164908543E+20</c:v>
                </c:pt>
                <c:pt idx="16">
                  <c:v>7.7247919461622691E+20</c:v>
                </c:pt>
                <c:pt idx="17">
                  <c:v>7.7520607376573871E+20</c:v>
                </c:pt>
                <c:pt idx="18">
                  <c:v>7.7789445452329412E+20</c:v>
                </c:pt>
                <c:pt idx="19">
                  <c:v>7.8054453399798966E+20</c:v>
                </c:pt>
                <c:pt idx="20">
                  <c:v>7.8315651089586507E+20</c:v>
                </c:pt>
                <c:pt idx="21">
                  <c:v>7.8573058543342636E+20</c:v>
                </c:pt>
                <c:pt idx="22">
                  <c:v>7.882669592511679E+20</c:v>
                </c:pt>
                <c:pt idx="23">
                  <c:v>7.9076583532709544E+20</c:v>
                </c:pt>
                <c:pt idx="24">
                  <c:v>7.9322741789024675E+20</c:v>
                </c:pt>
                <c:pt idx="25">
                  <c:v>7.9565191734551446E+20</c:v>
                </c:pt>
                <c:pt idx="26">
                  <c:v>7.9803953739769446E+20</c:v>
                </c:pt>
                <c:pt idx="27">
                  <c:v>8.0039048627031874E+20</c:v>
                </c:pt>
                <c:pt idx="28">
                  <c:v>8.0270497326566631E+20</c:v>
                </c:pt>
                <c:pt idx="29">
                  <c:v>8.0498320869934144E+20</c:v>
                </c:pt>
                <c:pt idx="30">
                  <c:v>8.0722540383485729E+20</c:v>
                </c:pt>
                <c:pt idx="31">
                  <c:v>8.0943177081821633E+20</c:v>
                </c:pt>
                <c:pt idx="32">
                  <c:v>8.1160252261248899E+20</c:v>
                </c:pt>
                <c:pt idx="33">
                  <c:v>8.1373787293239843E+20</c:v>
                </c:pt>
                <c:pt idx="34">
                  <c:v>8.1583803617889826E+20</c:v>
                </c:pt>
                <c:pt idx="35">
                  <c:v>8.179032273737557E+20</c:v>
                </c:pt>
                <c:pt idx="36">
                  <c:v>8.1993366209413133E+20</c:v>
                </c:pt>
                <c:pt idx="37">
                  <c:v>8.2192956032911986E+20</c:v>
                </c:pt>
                <c:pt idx="38">
                  <c:v>8.2389113640512612E+20</c:v>
                </c:pt>
                <c:pt idx="39">
                  <c:v>8.2581860776799909E+20</c:v>
                </c:pt>
                <c:pt idx="40">
                  <c:v>8.2771219229319365E+20</c:v>
                </c:pt>
                <c:pt idx="41">
                  <c:v>8.2957210823683159E+20</c:v>
                </c:pt>
                <c:pt idx="42">
                  <c:v>8.3139857418676575E+20</c:v>
                </c:pt>
                <c:pt idx="43">
                  <c:v>8.3319180901364086E+20</c:v>
                </c:pt>
                <c:pt idx="44">
                  <c:v>8.3495203182195717E+20</c:v>
                </c:pt>
                <c:pt idx="45">
                  <c:v>8.3667946190113263E+20</c:v>
                </c:pt>
                <c:pt idx="46">
                  <c:v>8.3837431867656477E+20</c:v>
                </c:pt>
                <c:pt idx="47">
                  <c:v>8.4003682166069304E+20</c:v>
                </c:pt>
                <c:pt idx="48">
                  <c:v>8.4166719040406251E+20</c:v>
                </c:pt>
                <c:pt idx="49">
                  <c:v>8.4326564751520236E+20</c:v>
                </c:pt>
                <c:pt idx="50">
                  <c:v>8.448324107795493E+20</c:v>
                </c:pt>
                <c:pt idx="51">
                  <c:v>8.463677000337971E+20</c:v>
                </c:pt>
                <c:pt idx="52">
                  <c:v>8.4787173506328114E+20</c:v>
                </c:pt>
                <c:pt idx="53">
                  <c:v>8.4934473556592833E+20</c:v>
                </c:pt>
                <c:pt idx="54">
                  <c:v>8.5078692111621004E+20</c:v>
                </c:pt>
                <c:pt idx="55">
                  <c:v>8.5219851112909216E+20</c:v>
                </c:pt>
                <c:pt idx="56">
                  <c:v>8.5357972482398736E+20</c:v>
                </c:pt>
                <c:pt idx="57">
                  <c:v>8.5493078118870483E+20</c:v>
                </c:pt>
                <c:pt idx="58">
                  <c:v>8.5625189894340438E+20</c:v>
                </c:pt>
                <c:pt idx="59">
                  <c:v>8.5754329650454449E+20</c:v>
                </c:pt>
                <c:pt idx="60">
                  <c:v>8.5880519194883575E+20</c:v>
                </c:pt>
                <c:pt idx="61">
                  <c:v>8.600378053747325E+20</c:v>
                </c:pt>
                <c:pt idx="62">
                  <c:v>8.6124135274700394E+20</c:v>
                </c:pt>
                <c:pt idx="63">
                  <c:v>8.6241605127025407E+20</c:v>
                </c:pt>
                <c:pt idx="64">
                  <c:v>8.6356211774811144E+20</c:v>
                </c:pt>
                <c:pt idx="65">
                  <c:v>8.6467976855723875E+20</c:v>
                </c:pt>
                <c:pt idx="66">
                  <c:v>8.6576921962134084E+20</c:v>
                </c:pt>
                <c:pt idx="67">
                  <c:v>8.66830686385175E+20</c:v>
                </c:pt>
                <c:pt idx="68">
                  <c:v>8.6786438378855858E+20</c:v>
                </c:pt>
                <c:pt idx="69">
                  <c:v>8.6887052624037911E+20</c:v>
                </c:pt>
                <c:pt idx="70">
                  <c:v>8.6984932759260208E+20</c:v>
                </c:pt>
                <c:pt idx="71">
                  <c:v>8.7080100111428026E+20</c:v>
                </c:pt>
                <c:pt idx="72">
                  <c:v>8.7172575946556414E+20</c:v>
                </c:pt>
                <c:pt idx="73">
                  <c:v>8.726238165392809E+20</c:v>
                </c:pt>
                <c:pt idx="74">
                  <c:v>8.7349538266765958E+20</c:v>
                </c:pt>
                <c:pt idx="75">
                  <c:v>8.7434066881102637E+20</c:v>
                </c:pt>
                <c:pt idx="76">
                  <c:v>8.7515988528138342E+20</c:v>
                </c:pt>
                <c:pt idx="77">
                  <c:v>8.7595324172423804E+20</c:v>
                </c:pt>
                <c:pt idx="78">
                  <c:v>8.7672094710043155E+20</c:v>
                </c:pt>
                <c:pt idx="79">
                  <c:v>8.7746320966796863E+20</c:v>
                </c:pt>
                <c:pt idx="80">
                  <c:v>8.7818023696384616E+20</c:v>
                </c:pt>
                <c:pt idx="81">
                  <c:v>8.7887223578588191E+20</c:v>
                </c:pt>
                <c:pt idx="82">
                  <c:v>8.7953941217454431E+20</c:v>
                </c:pt>
                <c:pt idx="83">
                  <c:v>8.8018197139478059E+20</c:v>
                </c:pt>
                <c:pt idx="84">
                  <c:v>8.8080011791784647E+20</c:v>
                </c:pt>
                <c:pt idx="85">
                  <c:v>8.8139405685140305E+20</c:v>
                </c:pt>
                <c:pt idx="86">
                  <c:v>8.8196399022376957E+20</c:v>
                </c:pt>
                <c:pt idx="87">
                  <c:v>8.8251012023514694E+20</c:v>
                </c:pt>
                <c:pt idx="88">
                  <c:v>8.8303264826932134E+20</c:v>
                </c:pt>
                <c:pt idx="89">
                  <c:v>8.8353177488154244E+20</c:v>
                </c:pt>
                <c:pt idx="90">
                  <c:v>8.840076997864004E+20</c:v>
                </c:pt>
                <c:pt idx="91">
                  <c:v>8.8446062184570461E+20</c:v>
                </c:pt>
                <c:pt idx="92">
                  <c:v>8.8489073905636042E+20</c:v>
                </c:pt>
                <c:pt idx="93">
                  <c:v>8.8529824853824753E+20</c:v>
                </c:pt>
                <c:pt idx="94">
                  <c:v>8.8568334652209837E+20</c:v>
                </c:pt>
                <c:pt idx="95">
                  <c:v>8.8604622833737413E+20</c:v>
                </c:pt>
                <c:pt idx="96">
                  <c:v>8.8638708840014453E+20</c:v>
                </c:pt>
                <c:pt idx="97">
                  <c:v>8.8670612131716216E+20</c:v>
                </c:pt>
                <c:pt idx="98">
                  <c:v>8.8700351902331686E+20</c:v>
                </c:pt>
                <c:pt idx="99">
                  <c:v>8.8727947329029656E+20</c:v>
                </c:pt>
                <c:pt idx="100">
                  <c:v>8.8753417496631955E+20</c:v>
                </c:pt>
                <c:pt idx="101">
                  <c:v>8.8776781396865883E+20</c:v>
                </c:pt>
                <c:pt idx="102">
                  <c:v>8.8798057927616496E+20</c:v>
                </c:pt>
                <c:pt idx="103">
                  <c:v>8.881726589217909E+20</c:v>
                </c:pt>
                <c:pt idx="104">
                  <c:v>8.8834423998511487E+20</c:v>
                </c:pt>
                <c:pt idx="105">
                  <c:v>8.8849550858486442E+20</c:v>
                </c:pt>
                <c:pt idx="106">
                  <c:v>8.8862664987144002E+20</c:v>
                </c:pt>
                <c:pt idx="107">
                  <c:v>8.8873784801943958E+20</c:v>
                </c:pt>
                <c:pt idx="108">
                  <c:v>8.8882928622018088E+20</c:v>
                </c:pt>
                <c:pt idx="109">
                  <c:v>8.8890114752747681E+20</c:v>
                </c:pt>
                <c:pt idx="110">
                  <c:v>8.8895361267056181E+20</c:v>
                </c:pt>
                <c:pt idx="111">
                  <c:v>8.8898686197459386E+20</c:v>
                </c:pt>
                <c:pt idx="112">
                  <c:v>8.8900107478081575E+20</c:v>
                </c:pt>
                <c:pt idx="113">
                  <c:v>8.8899642944261469E+20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'Pu2340 '!$Q$2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'Pu2340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'Pu2340 '!$Q$3:$Q$52</c:f>
              <c:numCache>
                <c:formatCode>0.0000E+00</c:formatCode>
                <c:ptCount val="50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'Pu2340 '!$S$2</c:f>
              <c:strCache>
                <c:ptCount val="1"/>
                <c:pt idx="0">
                  <c:v>VESTA - Pu240 </c:v>
                </c:pt>
              </c:strCache>
            </c:strRef>
          </c:tx>
          <c:marker>
            <c:symbol val="none"/>
          </c:marker>
          <c:xVal>
            <c:numRef>
              <c:f>'Pu2340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'Pu2340 '!$S$3:$S$9</c:f>
              <c:numCache>
                <c:formatCode>0.0000E+00</c:formatCode>
                <c:ptCount val="7"/>
                <c:pt idx="0">
                  <c:v>7.2346005790387942E+20</c:v>
                </c:pt>
                <c:pt idx="1">
                  <c:v>7.3064015892098122E+20</c:v>
                </c:pt>
                <c:pt idx="2">
                  <c:v>7.4439481026699539E+20</c:v>
                </c:pt>
                <c:pt idx="3">
                  <c:v>7.7207712744136363E+20</c:v>
                </c:pt>
                <c:pt idx="4">
                  <c:v>8.1351409596174592E+20</c:v>
                </c:pt>
                <c:pt idx="5">
                  <c:v>9.0573081504886017E+20</c:v>
                </c:pt>
                <c:pt idx="6">
                  <c:v>9.7320646316138273E+20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'Pu2340 '!$K$2</c:f>
              <c:strCache>
                <c:ptCount val="1"/>
                <c:pt idx="0">
                  <c:v>RK1 - Pu240</c:v>
                </c:pt>
              </c:strCache>
            </c:strRef>
          </c:tx>
          <c:marker>
            <c:symbol val="none"/>
          </c:marker>
          <c:xVal>
            <c:numRef>
              <c:f>'Pu2340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'Pu2340 '!$K$3:$K$137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874624"/>
        <c:axId val="94888704"/>
      </c:scatterChart>
      <c:valAx>
        <c:axId val="94874624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94888704"/>
        <c:crosses val="autoZero"/>
        <c:crossBetween val="midCat"/>
      </c:valAx>
      <c:valAx>
        <c:axId val="94888704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948746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24800"/>
        <c:axId val="94926336"/>
      </c:scatterChart>
      <c:valAx>
        <c:axId val="9492480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94926336"/>
        <c:crosses val="autoZero"/>
        <c:crossBetween val="midCat"/>
      </c:valAx>
      <c:valAx>
        <c:axId val="94926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9248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109504"/>
        <c:axId val="95111040"/>
      </c:scatterChart>
      <c:valAx>
        <c:axId val="9510950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95111040"/>
        <c:crosses val="autoZero"/>
        <c:crossBetween val="midCat"/>
      </c:valAx>
      <c:valAx>
        <c:axId val="95111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1095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167232"/>
        <c:axId val="95168768"/>
      </c:scatterChart>
      <c:valAx>
        <c:axId val="95167232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95168768"/>
        <c:crosses val="autoZero"/>
        <c:crossBetween val="midCat"/>
      </c:valAx>
      <c:valAx>
        <c:axId val="95168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1672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'Pu2340 '!$B$10</c:f>
          <c:strCache>
            <c:ptCount val="1"/>
            <c:pt idx="0">
              <c:v>Comparaison des modèles pour le Pu240</c:v>
            </c:pt>
          </c:strCache>
        </c:strRef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'Pu2340 '!$S$2</c:f>
              <c:strCache>
                <c:ptCount val="1"/>
                <c:pt idx="0">
                  <c:v>VESTA - Pu240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'Pu2340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'Pu2340 '!$S$3:$S$9</c:f>
              <c:numCache>
                <c:formatCode>0.0000E+00</c:formatCode>
                <c:ptCount val="7"/>
                <c:pt idx="0">
                  <c:v>7.2346005790387942E+20</c:v>
                </c:pt>
                <c:pt idx="1">
                  <c:v>7.3064015892098122E+20</c:v>
                </c:pt>
                <c:pt idx="2">
                  <c:v>7.4439481026699539E+20</c:v>
                </c:pt>
                <c:pt idx="3">
                  <c:v>7.7207712744136363E+20</c:v>
                </c:pt>
                <c:pt idx="4">
                  <c:v>8.1351409596174592E+20</c:v>
                </c:pt>
                <c:pt idx="5">
                  <c:v>9.0573081504886017E+20</c:v>
                </c:pt>
                <c:pt idx="6">
                  <c:v>9.7320646316138273E+20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'Pu2340 '!$Q$2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'Pu2340 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'Pu2340 '!$Q$3:$Q$52</c:f>
              <c:numCache>
                <c:formatCode>0.0000E+00</c:formatCode>
                <c:ptCount val="50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'Pu2340 '!$K$2</c:f>
              <c:strCache>
                <c:ptCount val="1"/>
                <c:pt idx="0">
                  <c:v>RK1 - Pu240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'Pu2340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'Pu2340 '!$K$3:$K$137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'Pu2340 '!$M$2</c:f>
              <c:strCache>
                <c:ptCount val="1"/>
                <c:pt idx="0">
                  <c:v>O5 - N(Pu240)</c:v>
                </c:pt>
              </c:strCache>
            </c:strRef>
          </c:tx>
          <c:marker>
            <c:symbol val="none"/>
          </c:marker>
          <c:xVal>
            <c:numRef>
              <c:f>'Pu2340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'Pu2340 '!$M$3:$M$116</c:f>
              <c:numCache>
                <c:formatCode>0.0000E+00</c:formatCode>
                <c:ptCount val="114"/>
                <c:pt idx="0">
                  <c:v>7.2346005790387942E+20</c:v>
                </c:pt>
                <c:pt idx="1">
                  <c:v>7.2682807612617982E+20</c:v>
                </c:pt>
                <c:pt idx="2">
                  <c:v>7.3015473124125757E+20</c:v>
                </c:pt>
                <c:pt idx="3">
                  <c:v>7.3344018263798107E+20</c:v>
                </c:pt>
                <c:pt idx="4">
                  <c:v>7.3668459278687352E+20</c:v>
                </c:pt>
                <c:pt idx="5">
                  <c:v>7.3988812712671406E+20</c:v>
                </c:pt>
                <c:pt idx="6">
                  <c:v>7.4305095395113737E+20</c:v>
                </c:pt>
                <c:pt idx="7">
                  <c:v>7.4617324429523367E+20</c:v>
                </c:pt>
                <c:pt idx="8">
                  <c:v>7.492551718221493E+20</c:v>
                </c:pt>
                <c:pt idx="9">
                  <c:v>7.5229691270968653E+20</c:v>
                </c:pt>
                <c:pt idx="10">
                  <c:v>7.5529864553690431E+20</c:v>
                </c:pt>
                <c:pt idx="11">
                  <c:v>7.582605511707166E+20</c:v>
                </c:pt>
                <c:pt idx="12">
                  <c:v>7.6118281265249518E+20</c:v>
                </c:pt>
                <c:pt idx="13">
                  <c:v>7.640656214951896E+20</c:v>
                </c:pt>
                <c:pt idx="14">
                  <c:v>7.6690916120853873E+20</c:v>
                </c:pt>
                <c:pt idx="15">
                  <c:v>7.6971362164908543E+20</c:v>
                </c:pt>
                <c:pt idx="16">
                  <c:v>7.7247919461622691E+20</c:v>
                </c:pt>
                <c:pt idx="17">
                  <c:v>7.7520607376573871E+20</c:v>
                </c:pt>
                <c:pt idx="18">
                  <c:v>7.7789445452329412E+20</c:v>
                </c:pt>
                <c:pt idx="19">
                  <c:v>7.8054453399798966E+20</c:v>
                </c:pt>
                <c:pt idx="20">
                  <c:v>7.8315651089586507E+20</c:v>
                </c:pt>
                <c:pt idx="21">
                  <c:v>7.8573058543342636E+20</c:v>
                </c:pt>
                <c:pt idx="22">
                  <c:v>7.882669592511679E+20</c:v>
                </c:pt>
                <c:pt idx="23">
                  <c:v>7.9076583532709544E+20</c:v>
                </c:pt>
                <c:pt idx="24">
                  <c:v>7.9322741789024675E+20</c:v>
                </c:pt>
                <c:pt idx="25">
                  <c:v>7.9565191734551446E+20</c:v>
                </c:pt>
                <c:pt idx="26">
                  <c:v>7.9803953739769446E+20</c:v>
                </c:pt>
                <c:pt idx="27">
                  <c:v>8.0039048627031874E+20</c:v>
                </c:pt>
                <c:pt idx="28">
                  <c:v>8.0270497326566631E+20</c:v>
                </c:pt>
                <c:pt idx="29">
                  <c:v>8.0498320869934144E+20</c:v>
                </c:pt>
                <c:pt idx="30">
                  <c:v>8.0722540383485729E+20</c:v>
                </c:pt>
                <c:pt idx="31">
                  <c:v>8.0943177081821633E+20</c:v>
                </c:pt>
                <c:pt idx="32">
                  <c:v>8.1160252261248899E+20</c:v>
                </c:pt>
                <c:pt idx="33">
                  <c:v>8.1373787293239843E+20</c:v>
                </c:pt>
                <c:pt idx="34">
                  <c:v>8.1583803617889826E+20</c:v>
                </c:pt>
                <c:pt idx="35">
                  <c:v>8.179032273737557E+20</c:v>
                </c:pt>
                <c:pt idx="36">
                  <c:v>8.1993366209413133E+20</c:v>
                </c:pt>
                <c:pt idx="37">
                  <c:v>8.2192956032911986E+20</c:v>
                </c:pt>
                <c:pt idx="38">
                  <c:v>8.2389113640512612E+20</c:v>
                </c:pt>
                <c:pt idx="39">
                  <c:v>8.2581860776799909E+20</c:v>
                </c:pt>
                <c:pt idx="40">
                  <c:v>8.2771219229319365E+20</c:v>
                </c:pt>
                <c:pt idx="41">
                  <c:v>8.2957210823683159E+20</c:v>
                </c:pt>
                <c:pt idx="42">
                  <c:v>8.3139857418676575E+20</c:v>
                </c:pt>
                <c:pt idx="43">
                  <c:v>8.3319180901364086E+20</c:v>
                </c:pt>
                <c:pt idx="44">
                  <c:v>8.3495203182195717E+20</c:v>
                </c:pt>
                <c:pt idx="45">
                  <c:v>8.3667946190113263E+20</c:v>
                </c:pt>
                <c:pt idx="46">
                  <c:v>8.3837431867656477E+20</c:v>
                </c:pt>
                <c:pt idx="47">
                  <c:v>8.4003682166069304E+20</c:v>
                </c:pt>
                <c:pt idx="48">
                  <c:v>8.4166719040406251E+20</c:v>
                </c:pt>
                <c:pt idx="49">
                  <c:v>8.4326564751520236E+20</c:v>
                </c:pt>
                <c:pt idx="50">
                  <c:v>8.448324107795493E+20</c:v>
                </c:pt>
                <c:pt idx="51">
                  <c:v>8.463677000337971E+20</c:v>
                </c:pt>
                <c:pt idx="52">
                  <c:v>8.4787173506328114E+20</c:v>
                </c:pt>
                <c:pt idx="53">
                  <c:v>8.4934473556592833E+20</c:v>
                </c:pt>
                <c:pt idx="54">
                  <c:v>8.5078692111621004E+20</c:v>
                </c:pt>
                <c:pt idx="55">
                  <c:v>8.5219851112909216E+20</c:v>
                </c:pt>
                <c:pt idx="56">
                  <c:v>8.5357972482398736E+20</c:v>
                </c:pt>
                <c:pt idx="57">
                  <c:v>8.5493078118870483E+20</c:v>
                </c:pt>
                <c:pt idx="58">
                  <c:v>8.5625189894340438E+20</c:v>
                </c:pt>
                <c:pt idx="59">
                  <c:v>8.5754329650454449E+20</c:v>
                </c:pt>
                <c:pt idx="60">
                  <c:v>8.5880519194883575E+20</c:v>
                </c:pt>
                <c:pt idx="61">
                  <c:v>8.600378053747325E+20</c:v>
                </c:pt>
                <c:pt idx="62">
                  <c:v>8.6124135274700394E+20</c:v>
                </c:pt>
                <c:pt idx="63">
                  <c:v>8.6241605127025407E+20</c:v>
                </c:pt>
                <c:pt idx="64">
                  <c:v>8.6356211774811144E+20</c:v>
                </c:pt>
                <c:pt idx="65">
                  <c:v>8.6467976855723875E+20</c:v>
                </c:pt>
                <c:pt idx="66">
                  <c:v>8.6576921962134084E+20</c:v>
                </c:pt>
                <c:pt idx="67">
                  <c:v>8.66830686385175E+20</c:v>
                </c:pt>
                <c:pt idx="68">
                  <c:v>8.6786438378855858E+20</c:v>
                </c:pt>
                <c:pt idx="69">
                  <c:v>8.6887052624037911E+20</c:v>
                </c:pt>
                <c:pt idx="70">
                  <c:v>8.6984932759260208E+20</c:v>
                </c:pt>
                <c:pt idx="71">
                  <c:v>8.7080100111428026E+20</c:v>
                </c:pt>
                <c:pt idx="72">
                  <c:v>8.7172575946556414E+20</c:v>
                </c:pt>
                <c:pt idx="73">
                  <c:v>8.726238165392809E+20</c:v>
                </c:pt>
                <c:pt idx="74">
                  <c:v>8.7349538266765958E+20</c:v>
                </c:pt>
                <c:pt idx="75">
                  <c:v>8.7434066881102637E+20</c:v>
                </c:pt>
                <c:pt idx="76">
                  <c:v>8.7515988528138342E+20</c:v>
                </c:pt>
                <c:pt idx="77">
                  <c:v>8.7595324172423804E+20</c:v>
                </c:pt>
                <c:pt idx="78">
                  <c:v>8.7672094710043155E+20</c:v>
                </c:pt>
                <c:pt idx="79">
                  <c:v>8.7746320966796863E+20</c:v>
                </c:pt>
                <c:pt idx="80">
                  <c:v>8.7818023696384616E+20</c:v>
                </c:pt>
                <c:pt idx="81">
                  <c:v>8.7887223578588191E+20</c:v>
                </c:pt>
                <c:pt idx="82">
                  <c:v>8.7953941217454431E+20</c:v>
                </c:pt>
                <c:pt idx="83">
                  <c:v>8.8018197139478059E+20</c:v>
                </c:pt>
                <c:pt idx="84">
                  <c:v>8.8080011791784647E+20</c:v>
                </c:pt>
                <c:pt idx="85">
                  <c:v>8.8139405685140305E+20</c:v>
                </c:pt>
                <c:pt idx="86">
                  <c:v>8.8196399022376957E+20</c:v>
                </c:pt>
                <c:pt idx="87">
                  <c:v>8.8251012023514694E+20</c:v>
                </c:pt>
                <c:pt idx="88">
                  <c:v>8.8303264826932134E+20</c:v>
                </c:pt>
                <c:pt idx="89">
                  <c:v>8.8353177488154244E+20</c:v>
                </c:pt>
                <c:pt idx="90">
                  <c:v>8.840076997864004E+20</c:v>
                </c:pt>
                <c:pt idx="91">
                  <c:v>8.8446062184570461E+20</c:v>
                </c:pt>
                <c:pt idx="92">
                  <c:v>8.8489073905636042E+20</c:v>
                </c:pt>
                <c:pt idx="93">
                  <c:v>8.8529824853824753E+20</c:v>
                </c:pt>
                <c:pt idx="94">
                  <c:v>8.8568334652209837E+20</c:v>
                </c:pt>
                <c:pt idx="95">
                  <c:v>8.8604622833737413E+20</c:v>
                </c:pt>
                <c:pt idx="96">
                  <c:v>8.8638708840014453E+20</c:v>
                </c:pt>
                <c:pt idx="97">
                  <c:v>8.8670612131716216E+20</c:v>
                </c:pt>
                <c:pt idx="98">
                  <c:v>8.8700351902331686E+20</c:v>
                </c:pt>
                <c:pt idx="99">
                  <c:v>8.8727947329029656E+20</c:v>
                </c:pt>
                <c:pt idx="100">
                  <c:v>8.8753417496631955E+20</c:v>
                </c:pt>
                <c:pt idx="101">
                  <c:v>8.8776781396865883E+20</c:v>
                </c:pt>
                <c:pt idx="102">
                  <c:v>8.8798057927616496E+20</c:v>
                </c:pt>
                <c:pt idx="103">
                  <c:v>8.881726589217909E+20</c:v>
                </c:pt>
                <c:pt idx="104">
                  <c:v>8.8834423998511487E+20</c:v>
                </c:pt>
                <c:pt idx="105">
                  <c:v>8.8849550858486442E+20</c:v>
                </c:pt>
                <c:pt idx="106">
                  <c:v>8.8862664987144002E+20</c:v>
                </c:pt>
                <c:pt idx="107">
                  <c:v>8.8873784801943958E+20</c:v>
                </c:pt>
                <c:pt idx="108">
                  <c:v>8.8882928622018088E+20</c:v>
                </c:pt>
                <c:pt idx="109">
                  <c:v>8.8890114752747681E+20</c:v>
                </c:pt>
                <c:pt idx="110">
                  <c:v>8.8895361267056181E+20</c:v>
                </c:pt>
                <c:pt idx="111">
                  <c:v>8.8898686197459386E+20</c:v>
                </c:pt>
                <c:pt idx="112">
                  <c:v>8.8900107478081575E+20</c:v>
                </c:pt>
                <c:pt idx="113">
                  <c:v>8.8899642944261469E+20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'Pu2340 '!$O$2</c:f>
              <c:strCache>
                <c:ptCount val="1"/>
                <c:pt idx="0">
                  <c:v>Exact Simpl. - Pu240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'Pu2340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'Pu2340 '!$O$3:$O$137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7.2682807598096056E+20</c:v>
                </c:pt>
                <c:pt idx="2">
                  <c:v>7.3015472627317447E+20</c:v>
                </c:pt>
                <c:pt idx="3">
                  <c:v>7.3344016180784988E+20</c:v>
                </c:pt>
                <c:pt idx="4">
                  <c:v>7.3668453898356916E+20</c:v>
                </c:pt>
                <c:pt idx="5">
                  <c:v>7.3988801745542329E+20</c:v>
                </c:pt>
                <c:pt idx="6">
                  <c:v>7.4305076002275328E+20</c:v>
                </c:pt>
                <c:pt idx="7">
                  <c:v>7.4617293251933753E+20</c:v>
                </c:pt>
                <c:pt idx="8">
                  <c:v>7.4925470370597044E+20</c:v>
                </c:pt>
                <c:pt idx="9">
                  <c:v>7.52296245165392E+20</c:v>
                </c:pt>
                <c:pt idx="10">
                  <c:v>7.5529773119952742E+20</c:v>
                </c:pt>
                <c:pt idx="11">
                  <c:v>7.5825933872898428E+20</c:v>
                </c:pt>
                <c:pt idx="12">
                  <c:v>7.6118124719477306E+20</c:v>
                </c:pt>
                <c:pt idx="13">
                  <c:v>7.6406363846220487E+20</c:v>
                </c:pt>
                <c:pt idx="14">
                  <c:v>7.6690669672692554E+20</c:v>
                </c:pt>
                <c:pt idx="15">
                  <c:v>7.6971060842304478E+20</c:v>
                </c:pt>
                <c:pt idx="16">
                  <c:v>7.7247556213332273E+20</c:v>
                </c:pt>
                <c:pt idx="17">
                  <c:v>7.7520174850137365E+20</c:v>
                </c:pt>
                <c:pt idx="18">
                  <c:v>7.7788936014584676E+20</c:v>
                </c:pt>
                <c:pt idx="19">
                  <c:v>7.8053859157654805E+20</c:v>
                </c:pt>
                <c:pt idx="20">
                  <c:v>7.8314963911246597E+20</c:v>
                </c:pt>
                <c:pt idx="21">
                  <c:v>7.8572270080166343E+20</c:v>
                </c:pt>
                <c:pt idx="22">
                  <c:v>7.8825797634300078E+20</c:v>
                </c:pt>
                <c:pt idx="23">
                  <c:v>7.9075566700965488E+20</c:v>
                </c:pt>
                <c:pt idx="24">
                  <c:v>7.9321597557439883E+20</c:v>
                </c:pt>
                <c:pt idx="25">
                  <c:v>7.9563910623660763E+20</c:v>
                </c:pt>
                <c:pt idx="26">
                  <c:v>7.9802526455096082E+20</c:v>
                </c:pt>
                <c:pt idx="27">
                  <c:v>8.0037465735780106E+20</c:v>
                </c:pt>
                <c:pt idx="28">
                  <c:v>8.0268749271512488E+20</c:v>
                </c:pt>
                <c:pt idx="29">
                  <c:v>8.0496397983216907E+20</c:v>
                </c:pt>
                <c:pt idx="30">
                  <c:v>8.0720432900456173E+20</c:v>
                </c:pt>
                <c:pt idx="31">
                  <c:v>8.0940875155100874E+20</c:v>
                </c:pt>
                <c:pt idx="32">
                  <c:v>8.1157745975148741E+20</c:v>
                </c:pt>
                <c:pt idx="33">
                  <c:v>8.1371066678691155E+20</c:v>
                </c:pt>
                <c:pt idx="34">
                  <c:v>8.1580858668024778E+20</c:v>
                </c:pt>
                <c:pt idx="35">
                  <c:v>8.1787143423904422E+20</c:v>
                </c:pt>
                <c:pt idx="36">
                  <c:v>8.1989942499935571E+20</c:v>
                </c:pt>
                <c:pt idx="37">
                  <c:v>8.218927751710258E+20</c:v>
                </c:pt>
                <c:pt idx="38">
                  <c:v>8.2385170158430899E+20</c:v>
                </c:pt>
                <c:pt idx="39">
                  <c:v>8.2577642163779863E+20</c:v>
                </c:pt>
                <c:pt idx="40">
                  <c:v>8.2766715324764075E+20</c:v>
                </c:pt>
                <c:pt idx="41">
                  <c:v>8.2952411479800414E+20</c:v>
                </c:pt>
                <c:pt idx="42">
                  <c:v>8.3134752509278251E+20</c:v>
                </c:pt>
                <c:pt idx="43">
                  <c:v>8.3313760330850697E+20</c:v>
                </c:pt>
                <c:pt idx="44">
                  <c:v>8.3489456894843945E+20</c:v>
                </c:pt>
                <c:pt idx="45">
                  <c:v>8.3661864179782818E+20</c:v>
                </c:pt>
                <c:pt idx="46">
                  <c:v>8.3831004188029839E+20</c:v>
                </c:pt>
                <c:pt idx="47">
                  <c:v>8.3996898941535951E+20</c:v>
                </c:pt>
                <c:pt idx="48">
                  <c:v>8.4159570477699983E+20</c:v>
                </c:pt>
                <c:pt idx="49">
                  <c:v>8.4319040845335482E+20</c:v>
                </c:pt>
                <c:pt idx="50">
                  <c:v>8.447533210074191E+20</c:v>
                </c:pt>
                <c:pt idx="51">
                  <c:v>8.4628466303878798E+20</c:v>
                </c:pt>
                <c:pt idx="52">
                  <c:v>8.4778465514640245E+20</c:v>
                </c:pt>
                <c:pt idx="53">
                  <c:v>8.4925351789228196E+20</c:v>
                </c:pt>
                <c:pt idx="54">
                  <c:v>8.506914717662169E+20</c:v>
                </c:pt>
                <c:pt idx="55">
                  <c:v>8.5209873715141332E+20</c:v>
                </c:pt>
                <c:pt idx="56">
                  <c:v>8.5347553429105659E+20</c:v>
                </c:pt>
                <c:pt idx="57">
                  <c:v>8.5482208325578811E+20</c:v>
                </c:pt>
                <c:pt idx="58">
                  <c:v>8.5613860391206401E+20</c:v>
                </c:pt>
                <c:pt idx="59">
                  <c:v>8.5742531589138874E+20</c:v>
                </c:pt>
                <c:pt idx="60">
                  <c:v>8.5868243856039752E+20</c:v>
                </c:pt>
                <c:pt idx="61">
                  <c:v>8.5991019099177379E+20</c:v>
                </c:pt>
                <c:pt idx="62">
                  <c:v>8.6110879193598381E+20</c:v>
                </c:pt>
                <c:pt idx="63">
                  <c:v>8.6227845979380947E+20</c:v>
                </c:pt>
                <c:pt idx="64">
                  <c:v>8.6341941258966702E+20</c:v>
                </c:pt>
                <c:pt idx="65">
                  <c:v>8.6453186794568889E+20</c:v>
                </c:pt>
                <c:pt idx="66">
                  <c:v>8.6561604305655955E+20</c:v>
                </c:pt>
                <c:pt idx="67">
                  <c:v>8.666721546650836E+20</c:v>
                </c:pt>
                <c:pt idx="68">
                  <c:v>8.6770041903847453E+20</c:v>
                </c:pt>
                <c:pt idx="69">
                  <c:v>8.6870105194534771E+20</c:v>
                </c:pt>
                <c:pt idx="70">
                  <c:v>8.6967426863340139E+20</c:v>
                </c:pt>
                <c:pt idx="71">
                  <c:v>8.7062028380777467E+20</c:v>
                </c:pt>
                <c:pt idx="72">
                  <c:v>8.7153931161006152E+20</c:v>
                </c:pt>
                <c:pt idx="73">
                  <c:v>8.7243156559797761E+20</c:v>
                </c:pt>
                <c:pt idx="74">
                  <c:v>8.7329725872565112E+20</c:v>
                </c:pt>
                <c:pt idx="75">
                  <c:v>8.7413660332453986E+20</c:v>
                </c:pt>
                <c:pt idx="76">
                  <c:v>8.7494981108494919E+20</c:v>
                </c:pt>
                <c:pt idx="77">
                  <c:v>8.7573709303814475E+20</c:v>
                </c:pt>
                <c:pt idx="78">
                  <c:v>8.7649865953904309E+20</c:v>
                </c:pt>
                <c:pt idx="79">
                  <c:v>8.772347202494717E+20</c:v>
                </c:pt>
                <c:pt idx="80">
                  <c:v>8.7794548412198014E+20</c:v>
                </c:pt>
                <c:pt idx="81">
                  <c:v>8.7863115938419809E+20</c:v>
                </c:pt>
                <c:pt idx="82">
                  <c:v>8.7929195352372072E+20</c:v>
                </c:pt>
                <c:pt idx="83">
                  <c:v>8.7992807327351518E+20</c:v>
                </c:pt>
                <c:pt idx="84">
                  <c:v>8.8053972459783455E+20</c:v>
                </c:pt>
                <c:pt idx="85">
                  <c:v>8.8112711267862761E+20</c:v>
                </c:pt>
                <c:pt idx="86">
                  <c:v>8.8169044190243363E+20</c:v>
                </c:pt>
                <c:pt idx="87">
                  <c:v>8.8222991584775569E+20</c:v>
                </c:pt>
                <c:pt idx="88">
                  <c:v>8.8274573727289403E+20</c:v>
                </c:pt>
                <c:pt idx="89">
                  <c:v>8.8323810810423306E+20</c:v>
                </c:pt>
                <c:pt idx="90">
                  <c:v>8.8370722942497744E+20</c:v>
                </c:pt>
                <c:pt idx="91">
                  <c:v>8.8415330146431599E+20</c:v>
                </c:pt>
                <c:pt idx="92">
                  <c:v>8.8457652358701371E+20</c:v>
                </c:pt>
                <c:pt idx="93">
                  <c:v>8.8497709428341434E+20</c:v>
                </c:pt>
                <c:pt idx="94">
                  <c:v>8.8535521115985281E+20</c:v>
                </c:pt>
                <c:pt idx="95">
                  <c:v>8.8571107092945961E+20</c:v>
                </c:pt>
                <c:pt idx="96">
                  <c:v>8.8604486940335355E+20</c:v>
                </c:pt>
                <c:pt idx="97">
                  <c:v>8.8635680148221329E+20</c:v>
                </c:pt>
                <c:pt idx="98">
                  <c:v>8.8664706114821476E+20</c:v>
                </c:pt>
                <c:pt idx="99">
                  <c:v>8.8691584145733491E+20</c:v>
                </c:pt>
                <c:pt idx="100">
                  <c:v>8.8716333453200314E+20</c:v>
                </c:pt>
                <c:pt idx="101">
                  <c:v>8.8738973155409841E+20</c:v>
                </c:pt>
                <c:pt idx="102">
                  <c:v>8.8759522275828328E+20</c:v>
                </c:pt>
                <c:pt idx="103">
                  <c:v>8.8777999742566649E+20</c:v>
                </c:pt>
                <c:pt idx="104">
                  <c:v>8.8794424387778458E+20</c:v>
                </c:pt>
                <c:pt idx="105">
                  <c:v>8.8808814947089803E+20</c:v>
                </c:pt>
                <c:pt idx="106">
                  <c:v>8.8821190059059302E+20</c:v>
                </c:pt>
                <c:pt idx="107">
                  <c:v>8.883156826466804E+20</c:v>
                </c:pt>
                <c:pt idx="108">
                  <c:v>8.8839968006838918E+20</c:v>
                </c:pt>
                <c:pt idx="109">
                  <c:v>8.8846407629983895E+20</c:v>
                </c:pt>
                <c:pt idx="110">
                  <c:v>8.8850905379579599E+20</c:v>
                </c:pt>
                <c:pt idx="111">
                  <c:v>8.8853479401769547E+20</c:v>
                </c:pt>
                <c:pt idx="112">
                  <c:v>8.8854147742993102E+20</c:v>
                </c:pt>
                <c:pt idx="113">
                  <c:v>8.8852928349639882E+20</c:v>
                </c:pt>
                <c:pt idx="114">
                  <c:v>8.8849839067729848E+20</c:v>
                </c:pt>
                <c:pt idx="115">
                  <c:v>8.8844897642617281E+20</c:v>
                </c:pt>
                <c:pt idx="116">
                  <c:v>8.8838121718719159E+20</c:v>
                </c:pt>
                <c:pt idx="117">
                  <c:v>8.8829528839266815E+20</c:v>
                </c:pt>
                <c:pt idx="118">
                  <c:v>8.8819136446080116E+20</c:v>
                </c:pt>
                <c:pt idx="119">
                  <c:v>8.880696187936401E+20</c:v>
                </c:pt>
                <c:pt idx="120">
                  <c:v>8.8793022377526795E+20</c:v>
                </c:pt>
                <c:pt idx="121">
                  <c:v>8.8777335077019084E+20</c:v>
                </c:pt>
                <c:pt idx="122">
                  <c:v>8.8759917012193955E+20</c:v>
                </c:pt>
                <c:pt idx="123">
                  <c:v>8.8740785115186358E+20</c:v>
                </c:pt>
                <c:pt idx="124">
                  <c:v>8.8719956215812692E+20</c:v>
                </c:pt>
                <c:pt idx="125">
                  <c:v>8.8697447041489017E+20</c:v>
                </c:pt>
                <c:pt idx="126">
                  <c:v>8.8673274217167874E+20</c:v>
                </c:pt>
                <c:pt idx="127">
                  <c:v>8.864745426529321E+20</c:v>
                </c:pt>
                <c:pt idx="128">
                  <c:v>8.8620003605772698E+20</c:v>
                </c:pt>
                <c:pt idx="129">
                  <c:v>8.8590938555967367E+20</c:v>
                </c:pt>
                <c:pt idx="130">
                  <c:v>8.8560275330697554E+20</c:v>
                </c:pt>
                <c:pt idx="131">
                  <c:v>8.8528030042265485E+20</c:v>
                </c:pt>
                <c:pt idx="132">
                  <c:v>8.8494218700493252E+20</c:v>
                </c:pt>
                <c:pt idx="133">
                  <c:v>8.8458857212776271E+20</c:v>
                </c:pt>
                <c:pt idx="134">
                  <c:v>8.8421961384151613E+20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16768"/>
        <c:axId val="95218688"/>
      </c:scatterChart>
      <c:valAx>
        <c:axId val="95216768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'Pu2340 '!$B$11</c:f>
              <c:strCache>
                <c:ptCount val="1"/>
                <c:pt idx="0">
                  <c:v>Temps (années)</c:v>
                </c:pt>
              </c:strCache>
            </c:strRef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95218688"/>
        <c:crosses val="autoZero"/>
        <c:crossBetween val="midCat"/>
      </c:valAx>
      <c:valAx>
        <c:axId val="95218688"/>
        <c:scaling>
          <c:orientation val="minMax"/>
          <c:min val="6E+20"/>
        </c:scaling>
        <c:delete val="0"/>
        <c:axPos val="l"/>
        <c:majorGridlines/>
        <c:title>
          <c:tx>
            <c:strRef>
              <c:f>'Pu2340 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3.2062083295786595E-2"/>
              <c:y val="0.23187308082432112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95216768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'Pu241'!$O$2</c:f>
              <c:strCache>
                <c:ptCount val="1"/>
                <c:pt idx="0">
                  <c:v>Exact Simpl. - Pu241</c:v>
                </c:pt>
              </c:strCache>
            </c:strRef>
          </c:tx>
          <c:marker>
            <c:symbol val="none"/>
          </c:marker>
          <c:xVal>
            <c:numRef>
              <c:f>'Pu241'!$N$3:$N$137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'Pu241'!$O$3:$O$137</c:f>
              <c:numCache>
                <c:formatCode>0.0000E+00</c:formatCode>
                <c:ptCount val="135"/>
                <c:pt idx="0">
                  <c:v>1.5072084539664164E+20</c:v>
                </c:pt>
                <c:pt idx="1">
                  <c:v>1.4918954580386575E+20</c:v>
                </c:pt>
                <c:pt idx="2">
                  <c:v>1.4771760758840413E+20</c:v>
                </c:pt>
                <c:pt idx="3">
                  <c:v>1.4630309124609373E+20</c:v>
                </c:pt>
                <c:pt idx="4">
                  <c:v>1.4494411575906207E+20</c:v>
                </c:pt>
                <c:pt idx="5">
                  <c:v>1.4363885686467772E+20</c:v>
                </c:pt>
                <c:pt idx="6">
                  <c:v>1.423855453756725E+20</c:v>
                </c:pt>
                <c:pt idx="7">
                  <c:v>1.4118246554991917E+20</c:v>
                </c:pt>
                <c:pt idx="8">
                  <c:v>1.4002795350839352E+20</c:v>
                </c:pt>
                <c:pt idx="9">
                  <c:v>1.3892039569989236E+20</c:v>
                </c:pt>
                <c:pt idx="10">
                  <c:v>1.3785822741112339E+20</c:v>
                </c:pt>
                <c:pt idx="11">
                  <c:v>1.3683993132082201E+20</c:v>
                </c:pt>
                <c:pt idx="12">
                  <c:v>1.3586403609659148E+20</c:v>
                </c:pt>
                <c:pt idx="13">
                  <c:v>1.3492911503320053E+20</c:v>
                </c:pt>
                <c:pt idx="14">
                  <c:v>1.3403378473111129E+20</c:v>
                </c:pt>
                <c:pt idx="15">
                  <c:v>1.3317670381404568E+20</c:v>
                </c:pt>
                <c:pt idx="16">
                  <c:v>1.3235657168443367E+20</c:v>
                </c:pt>
                <c:pt idx="17">
                  <c:v>1.3157212731562353E+20</c:v>
                </c:pt>
                <c:pt idx="18">
                  <c:v>1.3082214807976354E+20</c:v>
                </c:pt>
                <c:pt idx="19">
                  <c:v>1.3010544861030072E+20</c:v>
                </c:pt>
                <c:pt idx="20">
                  <c:v>1.2942087969807119E+20</c:v>
                </c:pt>
                <c:pt idx="21">
                  <c:v>1.2876732721998756E+20</c:v>
                </c:pt>
                <c:pt idx="22">
                  <c:v>1.281437110993592E+20</c:v>
                </c:pt>
                <c:pt idx="23">
                  <c:v>1.2754898429690908E+20</c:v>
                </c:pt>
                <c:pt idx="24">
                  <c:v>1.2698213183157833E+20</c:v>
                </c:pt>
                <c:pt idx="25">
                  <c:v>1.264421698302375E+20</c:v>
                </c:pt>
                <c:pt idx="26">
                  <c:v>1.2592814460544947E+20</c:v>
                </c:pt>
                <c:pt idx="27">
                  <c:v>1.2543913176045348E+20</c:v>
                </c:pt>
                <c:pt idx="28">
                  <c:v>1.2497423532056551E+20</c:v>
                </c:pt>
                <c:pt idx="29">
                  <c:v>1.2453258689021374E+20</c:v>
                </c:pt>
                <c:pt idx="30">
                  <c:v>1.2411334483484996E+20</c:v>
                </c:pt>
                <c:pt idx="31">
                  <c:v>1.237156934870025E+20</c:v>
                </c:pt>
                <c:pt idx="32">
                  <c:v>1.2333884237575623E+20</c:v>
                </c:pt>
                <c:pt idx="33">
                  <c:v>1.2298202547896612E+20</c:v>
                </c:pt>
                <c:pt idx="34">
                  <c:v>1.2264450049753385E+20</c:v>
                </c:pt>
                <c:pt idx="35">
                  <c:v>1.2232554815109372E+20</c:v>
                </c:pt>
                <c:pt idx="36">
                  <c:v>1.2202447149447591E+20</c:v>
                </c:pt>
                <c:pt idx="37">
                  <c:v>1.2174059525433211E+20</c:v>
                </c:pt>
                <c:pt idx="38">
                  <c:v>1.2147326518532859E+20</c:v>
                </c:pt>
                <c:pt idx="39">
                  <c:v>1.2122184744532797E+20</c:v>
                </c:pt>
                <c:pt idx="40">
                  <c:v>1.2098572798899788E+20</c:v>
                </c:pt>
                <c:pt idx="41">
                  <c:v>1.2076431197930367E+20</c:v>
                </c:pt>
                <c:pt idx="42">
                  <c:v>1.2055702321635487E+20</c:v>
                </c:pt>
                <c:pt idx="43">
                  <c:v>1.203633035830946E+20</c:v>
                </c:pt>
                <c:pt idx="44">
                  <c:v>1.2018261250733274E+20</c:v>
                </c:pt>
                <c:pt idx="45">
                  <c:v>1.2001442643964145E+20</c:v>
                </c:pt>
                <c:pt idx="46">
                  <c:v>1.198582383466437E+20</c:v>
                </c:pt>
                <c:pt idx="47">
                  <c:v>1.1971355721924079E+20</c:v>
                </c:pt>
                <c:pt idx="48">
                  <c:v>1.1957990759533756E+20</c:v>
                </c:pt>
                <c:pt idx="49">
                  <c:v>1.1945682909663679E+20</c:v>
                </c:pt>
                <c:pt idx="50">
                  <c:v>1.1934387597908858E+20</c:v>
                </c:pt>
                <c:pt idx="51">
                  <c:v>1.1924061669659034E+20</c:v>
                </c:pt>
                <c:pt idx="52">
                  <c:v>1.1914663347754736E+20</c:v>
                </c:pt>
                <c:pt idx="53">
                  <c:v>1.1906152191391354E+20</c:v>
                </c:pt>
                <c:pt idx="54">
                  <c:v>1.1898489056234448E+20</c:v>
                </c:pt>
                <c:pt idx="55">
                  <c:v>1.1891636055710592E+20</c:v>
                </c:pt>
                <c:pt idx="56">
                  <c:v>1.188555652343893E+20</c:v>
                </c:pt>
                <c:pt idx="57">
                  <c:v>1.1880214976769994E+20</c:v>
                </c:pt>
                <c:pt idx="58">
                  <c:v>1.1875577081398911E+20</c:v>
                </c:pt>
                <c:pt idx="59">
                  <c:v>1.1871609617021479E+20</c:v>
                </c:pt>
                <c:pt idx="60">
                  <c:v>1.1868280444002273E+20</c:v>
                </c:pt>
                <c:pt idx="61">
                  <c:v>1.1865558471024946E+20</c:v>
                </c:pt>
                <c:pt idx="62">
                  <c:v>1.1863413623695776E+20</c:v>
                </c:pt>
                <c:pt idx="63">
                  <c:v>1.1861816814072344E+20</c:v>
                </c:pt>
                <c:pt idx="64">
                  <c:v>1.1860739911090088E+20</c:v>
                </c:pt>
                <c:pt idx="65">
                  <c:v>1.1860155711860258E+20</c:v>
                </c:pt>
                <c:pt idx="66">
                  <c:v>1.1860037913813595E+20</c:v>
                </c:pt>
                <c:pt idx="67">
                  <c:v>1.1860361087664765E+20</c:v>
                </c:pt>
                <c:pt idx="68">
                  <c:v>1.1861100651173439E+20</c:v>
                </c:pt>
                <c:pt idx="69">
                  <c:v>1.1862232843678505E+20</c:v>
                </c:pt>
                <c:pt idx="70">
                  <c:v>1.186373470138262E+20</c:v>
                </c:pt>
                <c:pt idx="71">
                  <c:v>1.186558403336504E+20</c:v>
                </c:pt>
                <c:pt idx="72">
                  <c:v>1.1867759398301221E+20</c:v>
                </c:pt>
                <c:pt idx="73">
                  <c:v>1.1870240081868459E+20</c:v>
                </c:pt>
                <c:pt idx="74">
                  <c:v>1.1873006074817259E+20</c:v>
                </c:pt>
                <c:pt idx="75">
                  <c:v>1.1876038051688931E+20</c:v>
                </c:pt>
                <c:pt idx="76">
                  <c:v>1.1879317350160332E+20</c:v>
                </c:pt>
                <c:pt idx="77">
                  <c:v>1.1882825950997286E+20</c:v>
                </c:pt>
                <c:pt idx="78">
                  <c:v>1.1886546458598811E+20</c:v>
                </c:pt>
                <c:pt idx="79">
                  <c:v>1.1890462082114712E+20</c:v>
                </c:pt>
                <c:pt idx="80">
                  <c:v>1.189455661711971E+20</c:v>
                </c:pt>
                <c:pt idx="81">
                  <c:v>1.1898814427827687E+20</c:v>
                </c:pt>
                <c:pt idx="82">
                  <c:v>1.190322042983019E+20</c:v>
                </c:pt>
                <c:pt idx="83">
                  <c:v>1.1907760073343774E+20</c:v>
                </c:pt>
                <c:pt idx="84">
                  <c:v>1.191241932695118E+20</c:v>
                </c:pt>
                <c:pt idx="85">
                  <c:v>1.1917184661821848E+20</c:v>
                </c:pt>
                <c:pt idx="86">
                  <c:v>1.1922043036397658E+20</c:v>
                </c:pt>
                <c:pt idx="87">
                  <c:v>1.1926981881530237E+20</c:v>
                </c:pt>
                <c:pt idx="88">
                  <c:v>1.1931989086056546E+20</c:v>
                </c:pt>
                <c:pt idx="89">
                  <c:v>1.1937052982799806E+20</c:v>
                </c:pt>
                <c:pt idx="90">
                  <c:v>1.1942162334983358E+20</c:v>
                </c:pt>
                <c:pt idx="91">
                  <c:v>1.1947306323045278E+20</c:v>
                </c:pt>
                <c:pt idx="92">
                  <c:v>1.1952474531841909E+20</c:v>
                </c:pt>
                <c:pt idx="93">
                  <c:v>1.1957656938228944E+20</c:v>
                </c:pt>
                <c:pt idx="94">
                  <c:v>1.1962843899009004E+20</c:v>
                </c:pt>
                <c:pt idx="95">
                  <c:v>1.1968026139234807E+20</c:v>
                </c:pt>
                <c:pt idx="96">
                  <c:v>1.1973194740857641E+20</c:v>
                </c:pt>
                <c:pt idx="97">
                  <c:v>1.197834113171087E+20</c:v>
                </c:pt>
                <c:pt idx="98">
                  <c:v>1.1983457074818694E+20</c:v>
                </c:pt>
                <c:pt idx="99">
                  <c:v>1.1988534658020621E+20</c:v>
                </c:pt>
                <c:pt idx="100">
                  <c:v>1.1993566283902329E+20</c:v>
                </c:pt>
                <c:pt idx="101">
                  <c:v>1.1998544660023974E+20</c:v>
                </c:pt>
                <c:pt idx="102">
                  <c:v>1.2003462789437132E+20</c:v>
                </c:pt>
                <c:pt idx="103">
                  <c:v>1.2008313961482045E+20</c:v>
                </c:pt>
                <c:pt idx="104">
                  <c:v>1.2013091742856779E+20</c:v>
                </c:pt>
                <c:pt idx="105">
                  <c:v>1.20177899689504E+20</c:v>
                </c:pt>
                <c:pt idx="106">
                  <c:v>1.2022402735432429E+20</c:v>
                </c:pt>
                <c:pt idx="107">
                  <c:v>1.2026924390090988E+20</c:v>
                </c:pt>
                <c:pt idx="108">
                  <c:v>1.2031349524912466E+20</c:v>
                </c:pt>
                <c:pt idx="109">
                  <c:v>1.2035672968395402E+20</c:v>
                </c:pt>
                <c:pt idx="110">
                  <c:v>1.2039889778091986E+20</c:v>
                </c:pt>
                <c:pt idx="111">
                  <c:v>1.2043995233370256E+20</c:v>
                </c:pt>
                <c:pt idx="112">
                  <c:v>1.204798482839069E+20</c:v>
                </c:pt>
                <c:pt idx="113">
                  <c:v>1.2051854265290763E+20</c:v>
                </c:pt>
                <c:pt idx="114">
                  <c:v>1.2055599447571553E+20</c:v>
                </c:pt>
                <c:pt idx="115">
                  <c:v>1.2059216473680221E+20</c:v>
                </c:pt>
                <c:pt idx="116">
                  <c:v>1.2062701630782888E+20</c:v>
                </c:pt>
                <c:pt idx="117">
                  <c:v>1.2066051388722124E+20</c:v>
                </c:pt>
                <c:pt idx="118">
                  <c:v>1.2069262394153712E+20</c:v>
                </c:pt>
                <c:pt idx="119">
                  <c:v>1.2072331464857502E+20</c:v>
                </c:pt>
                <c:pt idx="120">
                  <c:v>1.2075255584217059E+20</c:v>
                </c:pt>
                <c:pt idx="121">
                  <c:v>1.2078031895863412E+20</c:v>
                </c:pt>
                <c:pt idx="122">
                  <c:v>1.2080657698477851E+20</c:v>
                </c:pt>
                <c:pt idx="123">
                  <c:v>1.2083130440749282E+20</c:v>
                </c:pt>
                <c:pt idx="124">
                  <c:v>1.208544771648153E+20</c:v>
                </c:pt>
                <c:pt idx="125">
                  <c:v>1.2087607259846215E+20</c:v>
                </c:pt>
                <c:pt idx="126">
                  <c:v>1.2089606940776926E+20</c:v>
                </c:pt>
                <c:pt idx="127">
                  <c:v>1.2091444760500602E+20</c:v>
                </c:pt>
                <c:pt idx="128">
                  <c:v>1.2093118847201983E+20</c:v>
                </c:pt>
                <c:pt idx="129">
                  <c:v>1.2094627451817388E+20</c:v>
                </c:pt>
                <c:pt idx="130">
                  <c:v>1.2095968943953904E+20</c:v>
                </c:pt>
                <c:pt idx="131">
                  <c:v>1.2097141807930397E+20</c:v>
                </c:pt>
                <c:pt idx="132">
                  <c:v>1.2098144638936692E+20</c:v>
                </c:pt>
                <c:pt idx="133">
                  <c:v>1.2098976139307545E+20</c:v>
                </c:pt>
                <c:pt idx="134">
                  <c:v>1.2099635114908013E+20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'Pu241'!$M$2</c:f>
              <c:strCache>
                <c:ptCount val="1"/>
                <c:pt idx="0">
                  <c:v>O5 - Pu241</c:v>
                </c:pt>
              </c:strCache>
            </c:strRef>
          </c:tx>
          <c:marker>
            <c:symbol val="none"/>
          </c:marker>
          <c:xVal>
            <c:numRef>
              <c:f>'Pu241'!$L$3:$L$123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'Pu241'!$M$3:$M$116</c:f>
              <c:numCache>
                <c:formatCode>0.0000E+00</c:formatCode>
                <c:ptCount val="114"/>
                <c:pt idx="0">
                  <c:v>1.5072084539664158E+20</c:v>
                </c:pt>
                <c:pt idx="1">
                  <c:v>1.4918954580360685E+20</c:v>
                </c:pt>
                <c:pt idx="2">
                  <c:v>1.4771760759109075E+20</c:v>
                </c:pt>
                <c:pt idx="3">
                  <c:v>1.4630309124551837E+20</c:v>
                </c:pt>
                <c:pt idx="4">
                  <c:v>1.4494411564531561E+20</c:v>
                </c:pt>
                <c:pt idx="5">
                  <c:v>1.4363885619323345E+20</c:v>
                </c:pt>
                <c:pt idx="6">
                  <c:v>1.423855429486727E+20</c:v>
                </c:pt>
                <c:pt idx="7">
                  <c:v>1.411824587600086E+20</c:v>
                </c:pt>
                <c:pt idx="8">
                  <c:v>1.400279373969154E+20</c:v>
                </c:pt>
                <c:pt idx="9">
                  <c:v>1.3892036168269103E+20</c:v>
                </c:pt>
                <c:pt idx="10">
                  <c:v>1.3785816162658163E+20</c:v>
                </c:pt>
                <c:pt idx="11">
                  <c:v>1.368398125561062E+20</c:v>
                </c:pt>
                <c:pt idx="12">
                  <c:v>1.3586383324938127E+20</c:v>
                </c:pt>
                <c:pt idx="13">
                  <c:v>1.34928925473288E+20</c:v>
                </c:pt>
                <c:pt idx="14">
                  <c:v>1.3403360989595522E+20</c:v>
                </c:pt>
                <c:pt idx="15">
                  <c:v>1.3317654533745525E+20</c:v>
                </c:pt>
                <c:pt idx="16">
                  <c:v>1.3235643132065641E+20</c:v>
                </c:pt>
                <c:pt idx="17">
                  <c:v>1.315720067684982E+20</c:v>
                </c:pt>
                <c:pt idx="18">
                  <c:v>1.308220487012659E+20</c:v>
                </c:pt>
                <c:pt idx="19">
                  <c:v>1.3010537093386576E+20</c:v>
                </c:pt>
                <c:pt idx="20">
                  <c:v>1.2942082277309968E+20</c:v>
                </c:pt>
                <c:pt idx="21">
                  <c:v>1.2876728771494011E+20</c:v>
                </c:pt>
                <c:pt idx="22">
                  <c:v>1.281436821418051E+20</c:v>
                </c:pt>
                <c:pt idx="23">
                  <c:v>1.2754895401983307E+20</c:v>
                </c:pt>
                <c:pt idx="24">
                  <c:v>1.2698208159615767E+20</c:v>
                </c:pt>
                <c:pt idx="25">
                  <c:v>1.2644217065221063E+20</c:v>
                </c:pt>
                <c:pt idx="26">
                  <c:v>1.2592820074582219E+20</c:v>
                </c:pt>
                <c:pt idx="27">
                  <c:v>1.2543924771577691E+20</c:v>
                </c:pt>
                <c:pt idx="28">
                  <c:v>1.2497441576297939E+20</c:v>
                </c:pt>
                <c:pt idx="29">
                  <c:v>1.2453283654153259E+20</c:v>
                </c:pt>
                <c:pt idx="30">
                  <c:v>1.2411366824981606E+20</c:v>
                </c:pt>
                <c:pt idx="31">
                  <c:v>1.2371609472156461E+20</c:v>
                </c:pt>
                <c:pt idx="32">
                  <c:v>1.2333932451694648E+20</c:v>
                </c:pt>
                <c:pt idx="33">
                  <c:v>1.2298259001364175E+20</c:v>
                </c:pt>
                <c:pt idx="34">
                  <c:v>1.2264514649792084E+20</c:v>
                </c:pt>
                <c:pt idx="35">
                  <c:v>1.223262712557227E+20</c:v>
                </c:pt>
                <c:pt idx="36">
                  <c:v>1.2202526266373336E+20</c:v>
                </c:pt>
                <c:pt idx="37">
                  <c:v>1.2174150799142347E+20</c:v>
                </c:pt>
                <c:pt idx="38">
                  <c:v>1.2147430648801806E+20</c:v>
                </c:pt>
                <c:pt idx="39">
                  <c:v>1.2122302450402745E+20</c:v>
                </c:pt>
                <c:pt idx="40">
                  <c:v>1.2098704814037488E+20</c:v>
                </c:pt>
                <c:pt idx="41">
                  <c:v>1.2076578261406381E+20</c:v>
                </c:pt>
                <c:pt idx="42">
                  <c:v>1.2055865162384469E+20</c:v>
                </c:pt>
                <c:pt idx="43">
                  <c:v>1.2036509671588217E+20</c:v>
                </c:pt>
                <c:pt idx="44">
                  <c:v>1.2018457664942232E+20</c:v>
                </c:pt>
                <c:pt idx="45">
                  <c:v>1.2001656676245935E+20</c:v>
                </c:pt>
                <c:pt idx="46">
                  <c:v>1.1986055833740298E+20</c:v>
                </c:pt>
                <c:pt idx="47">
                  <c:v>1.1971605796674534E+20</c:v>
                </c:pt>
                <c:pt idx="48">
                  <c:v>1.1958258691872797E+20</c:v>
                </c:pt>
                <c:pt idx="49">
                  <c:v>1.1945972842242671E+20</c:v>
                </c:pt>
                <c:pt idx="50">
                  <c:v>1.1934700428849652E+20</c:v>
                </c:pt>
                <c:pt idx="51">
                  <c:v>1.1924398308922679E+20</c:v>
                </c:pt>
                <c:pt idx="52">
                  <c:v>1.1915024713629491E+20</c:v>
                </c:pt>
                <c:pt idx="53">
                  <c:v>1.1906539203796266E+20</c:v>
                </c:pt>
                <c:pt idx="54">
                  <c:v>1.1898902625627251E+20</c:v>
                </c:pt>
                <c:pt idx="55">
                  <c:v>1.1892077066424389E+20</c:v>
                </c:pt>
                <c:pt idx="56">
                  <c:v>1.188602581030697E+20</c:v>
                </c:pt>
                <c:pt idx="57">
                  <c:v>1.1880713293931263E+20</c:v>
                </c:pt>
                <c:pt idx="58">
                  <c:v>1.1876105062210131E+20</c:v>
                </c:pt>
                <c:pt idx="59">
                  <c:v>1.1872167724032691E+20</c:v>
                </c:pt>
                <c:pt idx="60">
                  <c:v>1.1868868907983936E+20</c:v>
                </c:pt>
                <c:pt idx="61">
                  <c:v>1.1866180561210876E+20</c:v>
                </c:pt>
                <c:pt idx="62">
                  <c:v>1.1864070341822936E+20</c:v>
                </c:pt>
                <c:pt idx="63">
                  <c:v>1.186250916599216E+20</c:v>
                </c:pt>
                <c:pt idx="64">
                  <c:v>1.1861468904171969E+20</c:v>
                </c:pt>
                <c:pt idx="65">
                  <c:v>1.1860922350181283E+20</c:v>
                </c:pt>
                <c:pt idx="66">
                  <c:v>1.1860843190288674E+20</c:v>
                </c:pt>
                <c:pt idx="67">
                  <c:v>1.1861205972296478E+20</c:v>
                </c:pt>
                <c:pt idx="68">
                  <c:v>1.1861986074624945E+20</c:v>
                </c:pt>
                <c:pt idx="69">
                  <c:v>1.1863159675396347E+20</c:v>
                </c:pt>
                <c:pt idx="70">
                  <c:v>1.186470372151913E+20</c:v>
                </c:pt>
                <c:pt idx="71">
                  <c:v>1.1866595897772043E+20</c:v>
                </c:pt>
                <c:pt idx="72">
                  <c:v>1.1868814595888251E+20</c:v>
                </c:pt>
                <c:pt idx="73">
                  <c:v>1.1871341216949654E+20</c:v>
                </c:pt>
                <c:pt idx="74">
                  <c:v>1.1874154163880831E+20</c:v>
                </c:pt>
                <c:pt idx="75">
                  <c:v>1.1877234108723852E+20</c:v>
                </c:pt>
                <c:pt idx="76">
                  <c:v>1.188056238478662E+20</c:v>
                </c:pt>
                <c:pt idx="77">
                  <c:v>1.1884120965056289E+20</c:v>
                </c:pt>
                <c:pt idx="78">
                  <c:v>1.1887892440612676E+20</c:v>
                </c:pt>
                <c:pt idx="79">
                  <c:v>1.1891859999041726E+20</c:v>
                </c:pt>
                <c:pt idx="80">
                  <c:v>1.1896007402848926E+20</c:v>
                </c:pt>
                <c:pt idx="81">
                  <c:v>1.1900318967872725E+20</c:v>
                </c:pt>
                <c:pt idx="82">
                  <c:v>1.190477954169798E+20</c:v>
                </c:pt>
                <c:pt idx="83">
                  <c:v>1.1909374482069384E+20</c:v>
                </c:pt>
                <c:pt idx="84">
                  <c:v>1.1914089635304884E+20</c:v>
                </c:pt>
                <c:pt idx="85">
                  <c:v>1.1918912943913681E+20</c:v>
                </c:pt>
                <c:pt idx="86">
                  <c:v>1.1923830251988946E+20</c:v>
                </c:pt>
                <c:pt idx="87">
                  <c:v>1.1928828982923649E+20</c:v>
                </c:pt>
                <c:pt idx="88">
                  <c:v>1.1933897016790301E+20</c:v>
                </c:pt>
                <c:pt idx="89">
                  <c:v>1.1939022675269732E+20</c:v>
                </c:pt>
                <c:pt idx="90">
                  <c:v>1.1944194706579823E+20</c:v>
                </c:pt>
                <c:pt idx="91">
                  <c:v>1.194940227040427E+20</c:v>
                </c:pt>
                <c:pt idx="92">
                  <c:v>1.195463492282134E+20</c:v>
                </c:pt>
                <c:pt idx="93">
                  <c:v>1.1959882601232615E+20</c:v>
                </c:pt>
                <c:pt idx="94">
                  <c:v>1.1965135609291743E+20</c:v>
                </c:pt>
                <c:pt idx="95">
                  <c:v>1.1970384601833198E+20</c:v>
                </c:pt>
                <c:pt idx="96">
                  <c:v>1.1975620569801028E+20</c:v>
                </c:pt>
                <c:pt idx="97">
                  <c:v>1.1980835963261544E+20</c:v>
                </c:pt>
                <c:pt idx="98">
                  <c:v>1.1986021761302816E+20</c:v>
                </c:pt>
                <c:pt idx="99">
                  <c:v>1.1991170041050869E+20</c:v>
                </c:pt>
                <c:pt idx="100">
                  <c:v>1.1996273193499722E+20</c:v>
                </c:pt>
                <c:pt idx="101">
                  <c:v>1.2001323912992332E+20</c:v>
                </c:pt>
                <c:pt idx="102">
                  <c:v>1.2006315186701541E+20</c:v>
                </c:pt>
                <c:pt idx="103">
                  <c:v>1.2011240284111032E+20</c:v>
                </c:pt>
                <c:pt idx="104">
                  <c:v>1.2016092746496247E+20</c:v>
                </c:pt>
                <c:pt idx="105">
                  <c:v>1.2020866376405359E+20</c:v>
                </c:pt>
                <c:pt idx="106">
                  <c:v>1.2025555227140201E+20</c:v>
                </c:pt>
                <c:pt idx="107">
                  <c:v>1.2030153592237213E+20</c:v>
                </c:pt>
                <c:pt idx="108">
                  <c:v>1.2034655994948403E+20</c:v>
                </c:pt>
                <c:pt idx="109">
                  <c:v>1.2039057973098211E+20</c:v>
                </c:pt>
                <c:pt idx="110">
                  <c:v>1.2043354031359261E+20</c:v>
                </c:pt>
                <c:pt idx="111">
                  <c:v>1.2047539436634703E+20</c:v>
                </c:pt>
                <c:pt idx="112">
                  <c:v>1.2051609670058315E+20</c:v>
                </c:pt>
                <c:pt idx="113">
                  <c:v>1.2055560419657472E+20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'Pu241'!$Q$2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'Pu241'!$P$3:$P$52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'Pu241'!$Q$3:$Q$52</c:f>
              <c:numCache>
                <c:formatCode>0.0000E+00</c:formatCode>
                <c:ptCount val="50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'Pu241'!$S$2</c:f>
              <c:strCache>
                <c:ptCount val="1"/>
                <c:pt idx="0">
                  <c:v>VESTA - Pu241 </c:v>
                </c:pt>
              </c:strCache>
            </c:strRef>
          </c:tx>
          <c:marker>
            <c:symbol val="none"/>
          </c:marker>
          <c:xVal>
            <c:numRef>
              <c:f>'Pu241'!$R$3:$R$10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'Pu241'!$S$3:$S$9</c:f>
              <c:numCache>
                <c:formatCode>0.0000E+00</c:formatCode>
                <c:ptCount val="7"/>
                <c:pt idx="0">
                  <c:v>1.5072084539664158E+20</c:v>
                </c:pt>
                <c:pt idx="1">
                  <c:v>1.4846998842920177E+20</c:v>
                </c:pt>
                <c:pt idx="2">
                  <c:v>1.4440113160344522E+20</c:v>
                </c:pt>
                <c:pt idx="3">
                  <c:v>1.3738884643565204E+20</c:v>
                </c:pt>
                <c:pt idx="4">
                  <c:v>1.2994370415873578E+20</c:v>
                </c:pt>
                <c:pt idx="5">
                  <c:v>1.2596141875480386E+20</c:v>
                </c:pt>
                <c:pt idx="6">
                  <c:v>1.3280056107894782E+20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'Pu241'!$K$2</c:f>
              <c:strCache>
                <c:ptCount val="1"/>
                <c:pt idx="0">
                  <c:v>RK1 - Pu241</c:v>
                </c:pt>
              </c:strCache>
            </c:strRef>
          </c:tx>
          <c:marker>
            <c:symbol val="none"/>
          </c:marker>
          <c:xVal>
            <c:numRef>
              <c:f>'Pu241'!$J$3:$J$137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'Pu241'!$K$3:$K$137</c:f>
              <c:numCache>
                <c:formatCode>0.0000E+00</c:formatCode>
                <c:ptCount val="135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23872"/>
        <c:axId val="95437952"/>
      </c:scatterChart>
      <c:valAx>
        <c:axId val="95423872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95437952"/>
        <c:crosses val="autoZero"/>
        <c:crossBetween val="midCat"/>
      </c:valAx>
      <c:valAx>
        <c:axId val="95437952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954238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94144"/>
        <c:axId val="95495680"/>
      </c:scatterChart>
      <c:valAx>
        <c:axId val="9549414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95495680"/>
        <c:crosses val="autoZero"/>
        <c:crossBetween val="midCat"/>
      </c:valAx>
      <c:valAx>
        <c:axId val="95495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4941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527296"/>
        <c:axId val="95528832"/>
      </c:scatterChart>
      <c:valAx>
        <c:axId val="9552729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95528832"/>
        <c:crosses val="autoZero"/>
        <c:crossBetween val="midCat"/>
      </c:valAx>
      <c:valAx>
        <c:axId val="95528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5272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580928"/>
        <c:axId val="95582464"/>
      </c:scatterChart>
      <c:valAx>
        <c:axId val="9558092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95582464"/>
        <c:crosses val="autoZero"/>
        <c:crossBetween val="midCat"/>
      </c:valAx>
      <c:valAx>
        <c:axId val="95582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5809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'Pu241'!$B$10</c:f>
          <c:strCache>
            <c:ptCount val="1"/>
            <c:pt idx="0">
              <c:v>Comparaison des modèles pour le Pu241</c:v>
            </c:pt>
          </c:strCache>
        </c:strRef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'Pu241'!$S$2</c:f>
              <c:strCache>
                <c:ptCount val="1"/>
                <c:pt idx="0">
                  <c:v>VESTA - Pu241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'Pu241'!$R$3:$R$10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'Pu241'!$S$3:$S$9</c:f>
              <c:numCache>
                <c:formatCode>0.0000E+00</c:formatCode>
                <c:ptCount val="7"/>
                <c:pt idx="0">
                  <c:v>1.5072084539664158E+20</c:v>
                </c:pt>
                <c:pt idx="1">
                  <c:v>1.4846998842920177E+20</c:v>
                </c:pt>
                <c:pt idx="2">
                  <c:v>1.4440113160344522E+20</c:v>
                </c:pt>
                <c:pt idx="3">
                  <c:v>1.3738884643565204E+20</c:v>
                </c:pt>
                <c:pt idx="4">
                  <c:v>1.2994370415873578E+20</c:v>
                </c:pt>
                <c:pt idx="5">
                  <c:v>1.2596141875480386E+20</c:v>
                </c:pt>
                <c:pt idx="6">
                  <c:v>1.3280056107894782E+20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'Pu241'!$Q$2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'Pu241'!$P$3:$P$511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'Pu241'!$Q$3:$Q$52</c:f>
              <c:numCache>
                <c:formatCode>0.0000E+00</c:formatCode>
                <c:ptCount val="50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'Pu241'!$K$2</c:f>
              <c:strCache>
                <c:ptCount val="1"/>
                <c:pt idx="0">
                  <c:v>RK1 - Pu241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'Pu241'!$J$3:$J$137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'Pu241'!$K$3:$K$137</c:f>
              <c:numCache>
                <c:formatCode>0.0000E+00</c:formatCode>
                <c:ptCount val="135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'Pu241'!$M$2</c:f>
              <c:strCache>
                <c:ptCount val="1"/>
                <c:pt idx="0">
                  <c:v>O5 - Pu241</c:v>
                </c:pt>
              </c:strCache>
            </c:strRef>
          </c:tx>
          <c:marker>
            <c:symbol val="none"/>
          </c:marker>
          <c:xVal>
            <c:numRef>
              <c:f>'Pu241'!$L$3:$L$123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'Pu241'!$M$3:$M$116</c:f>
              <c:numCache>
                <c:formatCode>0.0000E+00</c:formatCode>
                <c:ptCount val="114"/>
                <c:pt idx="0">
                  <c:v>1.5072084539664158E+20</c:v>
                </c:pt>
                <c:pt idx="1">
                  <c:v>1.4918954580360685E+20</c:v>
                </c:pt>
                <c:pt idx="2">
                  <c:v>1.4771760759109075E+20</c:v>
                </c:pt>
                <c:pt idx="3">
                  <c:v>1.4630309124551837E+20</c:v>
                </c:pt>
                <c:pt idx="4">
                  <c:v>1.4494411564531561E+20</c:v>
                </c:pt>
                <c:pt idx="5">
                  <c:v>1.4363885619323345E+20</c:v>
                </c:pt>
                <c:pt idx="6">
                  <c:v>1.423855429486727E+20</c:v>
                </c:pt>
                <c:pt idx="7">
                  <c:v>1.411824587600086E+20</c:v>
                </c:pt>
                <c:pt idx="8">
                  <c:v>1.400279373969154E+20</c:v>
                </c:pt>
                <c:pt idx="9">
                  <c:v>1.3892036168269103E+20</c:v>
                </c:pt>
                <c:pt idx="10">
                  <c:v>1.3785816162658163E+20</c:v>
                </c:pt>
                <c:pt idx="11">
                  <c:v>1.368398125561062E+20</c:v>
                </c:pt>
                <c:pt idx="12">
                  <c:v>1.3586383324938127E+20</c:v>
                </c:pt>
                <c:pt idx="13">
                  <c:v>1.34928925473288E+20</c:v>
                </c:pt>
                <c:pt idx="14">
                  <c:v>1.3403360989595522E+20</c:v>
                </c:pt>
                <c:pt idx="15">
                  <c:v>1.3317654533745525E+20</c:v>
                </c:pt>
                <c:pt idx="16">
                  <c:v>1.3235643132065641E+20</c:v>
                </c:pt>
                <c:pt idx="17">
                  <c:v>1.315720067684982E+20</c:v>
                </c:pt>
                <c:pt idx="18">
                  <c:v>1.308220487012659E+20</c:v>
                </c:pt>
                <c:pt idx="19">
                  <c:v>1.3010537093386576E+20</c:v>
                </c:pt>
                <c:pt idx="20">
                  <c:v>1.2942082277309968E+20</c:v>
                </c:pt>
                <c:pt idx="21">
                  <c:v>1.2876728771494011E+20</c:v>
                </c:pt>
                <c:pt idx="22">
                  <c:v>1.281436821418051E+20</c:v>
                </c:pt>
                <c:pt idx="23">
                  <c:v>1.2754895401983307E+20</c:v>
                </c:pt>
                <c:pt idx="24">
                  <c:v>1.2698208159615767E+20</c:v>
                </c:pt>
                <c:pt idx="25">
                  <c:v>1.2644217065221063E+20</c:v>
                </c:pt>
                <c:pt idx="26">
                  <c:v>1.2592820074582219E+20</c:v>
                </c:pt>
                <c:pt idx="27">
                  <c:v>1.2543924771577691E+20</c:v>
                </c:pt>
                <c:pt idx="28">
                  <c:v>1.2497441576297939E+20</c:v>
                </c:pt>
                <c:pt idx="29">
                  <c:v>1.2453283654153259E+20</c:v>
                </c:pt>
                <c:pt idx="30">
                  <c:v>1.2411366824981606E+20</c:v>
                </c:pt>
                <c:pt idx="31">
                  <c:v>1.2371609472156461E+20</c:v>
                </c:pt>
                <c:pt idx="32">
                  <c:v>1.2333932451694648E+20</c:v>
                </c:pt>
                <c:pt idx="33">
                  <c:v>1.2298259001364175E+20</c:v>
                </c:pt>
                <c:pt idx="34">
                  <c:v>1.2264514649792084E+20</c:v>
                </c:pt>
                <c:pt idx="35">
                  <c:v>1.223262712557227E+20</c:v>
                </c:pt>
                <c:pt idx="36">
                  <c:v>1.2202526266373336E+20</c:v>
                </c:pt>
                <c:pt idx="37">
                  <c:v>1.2174150799142347E+20</c:v>
                </c:pt>
                <c:pt idx="38">
                  <c:v>1.2147430648801806E+20</c:v>
                </c:pt>
                <c:pt idx="39">
                  <c:v>1.2122302450402745E+20</c:v>
                </c:pt>
                <c:pt idx="40">
                  <c:v>1.2098704814037488E+20</c:v>
                </c:pt>
                <c:pt idx="41">
                  <c:v>1.2076578261406381E+20</c:v>
                </c:pt>
                <c:pt idx="42">
                  <c:v>1.2055865162384469E+20</c:v>
                </c:pt>
                <c:pt idx="43">
                  <c:v>1.2036509671588217E+20</c:v>
                </c:pt>
                <c:pt idx="44">
                  <c:v>1.2018457664942232E+20</c:v>
                </c:pt>
                <c:pt idx="45">
                  <c:v>1.2001656676245935E+20</c:v>
                </c:pt>
                <c:pt idx="46">
                  <c:v>1.1986055833740298E+20</c:v>
                </c:pt>
                <c:pt idx="47">
                  <c:v>1.1971605796674534E+20</c:v>
                </c:pt>
                <c:pt idx="48">
                  <c:v>1.1958258691872797E+20</c:v>
                </c:pt>
                <c:pt idx="49">
                  <c:v>1.1945972842242671E+20</c:v>
                </c:pt>
                <c:pt idx="50">
                  <c:v>1.1934700428849652E+20</c:v>
                </c:pt>
                <c:pt idx="51">
                  <c:v>1.1924398308922679E+20</c:v>
                </c:pt>
                <c:pt idx="52">
                  <c:v>1.1915024713629491E+20</c:v>
                </c:pt>
                <c:pt idx="53">
                  <c:v>1.1906539203796266E+20</c:v>
                </c:pt>
                <c:pt idx="54">
                  <c:v>1.1898902625627251E+20</c:v>
                </c:pt>
                <c:pt idx="55">
                  <c:v>1.1892077066424389E+20</c:v>
                </c:pt>
                <c:pt idx="56">
                  <c:v>1.188602581030697E+20</c:v>
                </c:pt>
                <c:pt idx="57">
                  <c:v>1.1880713293931263E+20</c:v>
                </c:pt>
                <c:pt idx="58">
                  <c:v>1.1876105062210131E+20</c:v>
                </c:pt>
                <c:pt idx="59">
                  <c:v>1.1872167724032691E+20</c:v>
                </c:pt>
                <c:pt idx="60">
                  <c:v>1.1868868907983936E+20</c:v>
                </c:pt>
                <c:pt idx="61">
                  <c:v>1.1866180561210876E+20</c:v>
                </c:pt>
                <c:pt idx="62">
                  <c:v>1.1864070341822936E+20</c:v>
                </c:pt>
                <c:pt idx="63">
                  <c:v>1.186250916599216E+20</c:v>
                </c:pt>
                <c:pt idx="64">
                  <c:v>1.1861468904171969E+20</c:v>
                </c:pt>
                <c:pt idx="65">
                  <c:v>1.1860922350181283E+20</c:v>
                </c:pt>
                <c:pt idx="66">
                  <c:v>1.1860843190288674E+20</c:v>
                </c:pt>
                <c:pt idx="67">
                  <c:v>1.1861205972296478E+20</c:v>
                </c:pt>
                <c:pt idx="68">
                  <c:v>1.1861986074624945E+20</c:v>
                </c:pt>
                <c:pt idx="69">
                  <c:v>1.1863159675396347E+20</c:v>
                </c:pt>
                <c:pt idx="70">
                  <c:v>1.186470372151913E+20</c:v>
                </c:pt>
                <c:pt idx="71">
                  <c:v>1.1866595897772043E+20</c:v>
                </c:pt>
                <c:pt idx="72">
                  <c:v>1.1868814595888251E+20</c:v>
                </c:pt>
                <c:pt idx="73">
                  <c:v>1.1871341216949654E+20</c:v>
                </c:pt>
                <c:pt idx="74">
                  <c:v>1.1874154163880831E+20</c:v>
                </c:pt>
                <c:pt idx="75">
                  <c:v>1.1877234108723852E+20</c:v>
                </c:pt>
                <c:pt idx="76">
                  <c:v>1.188056238478662E+20</c:v>
                </c:pt>
                <c:pt idx="77">
                  <c:v>1.1884120965056289E+20</c:v>
                </c:pt>
                <c:pt idx="78">
                  <c:v>1.1887892440612676E+20</c:v>
                </c:pt>
                <c:pt idx="79">
                  <c:v>1.1891859999041726E+20</c:v>
                </c:pt>
                <c:pt idx="80">
                  <c:v>1.1896007402848926E+20</c:v>
                </c:pt>
                <c:pt idx="81">
                  <c:v>1.1900318967872725E+20</c:v>
                </c:pt>
                <c:pt idx="82">
                  <c:v>1.190477954169798E+20</c:v>
                </c:pt>
                <c:pt idx="83">
                  <c:v>1.1909374482069384E+20</c:v>
                </c:pt>
                <c:pt idx="84">
                  <c:v>1.1914089635304884E+20</c:v>
                </c:pt>
                <c:pt idx="85">
                  <c:v>1.1918912943913681E+20</c:v>
                </c:pt>
                <c:pt idx="86">
                  <c:v>1.1923830251988946E+20</c:v>
                </c:pt>
                <c:pt idx="87">
                  <c:v>1.1928828982923649E+20</c:v>
                </c:pt>
                <c:pt idx="88">
                  <c:v>1.1933897016790301E+20</c:v>
                </c:pt>
                <c:pt idx="89">
                  <c:v>1.1939022675269732E+20</c:v>
                </c:pt>
                <c:pt idx="90">
                  <c:v>1.1944194706579823E+20</c:v>
                </c:pt>
                <c:pt idx="91">
                  <c:v>1.194940227040427E+20</c:v>
                </c:pt>
                <c:pt idx="92">
                  <c:v>1.195463492282134E+20</c:v>
                </c:pt>
                <c:pt idx="93">
                  <c:v>1.1959882601232615E+20</c:v>
                </c:pt>
                <c:pt idx="94">
                  <c:v>1.1965135609291743E+20</c:v>
                </c:pt>
                <c:pt idx="95">
                  <c:v>1.1970384601833198E+20</c:v>
                </c:pt>
                <c:pt idx="96">
                  <c:v>1.1975620569801028E+20</c:v>
                </c:pt>
                <c:pt idx="97">
                  <c:v>1.1980835963261544E+20</c:v>
                </c:pt>
                <c:pt idx="98">
                  <c:v>1.1986021761302816E+20</c:v>
                </c:pt>
                <c:pt idx="99">
                  <c:v>1.1991170041050869E+20</c:v>
                </c:pt>
                <c:pt idx="100">
                  <c:v>1.1996273193499722E+20</c:v>
                </c:pt>
                <c:pt idx="101">
                  <c:v>1.2001323912992332E+20</c:v>
                </c:pt>
                <c:pt idx="102">
                  <c:v>1.2006315186701541E+20</c:v>
                </c:pt>
                <c:pt idx="103">
                  <c:v>1.2011240284111032E+20</c:v>
                </c:pt>
                <c:pt idx="104">
                  <c:v>1.2016092746496247E+20</c:v>
                </c:pt>
                <c:pt idx="105">
                  <c:v>1.2020866376405359E+20</c:v>
                </c:pt>
                <c:pt idx="106">
                  <c:v>1.2025555227140201E+20</c:v>
                </c:pt>
                <c:pt idx="107">
                  <c:v>1.2030153592237213E+20</c:v>
                </c:pt>
                <c:pt idx="108">
                  <c:v>1.2034655994948403E+20</c:v>
                </c:pt>
                <c:pt idx="109">
                  <c:v>1.2039057973098211E+20</c:v>
                </c:pt>
                <c:pt idx="110">
                  <c:v>1.2043354031359261E+20</c:v>
                </c:pt>
                <c:pt idx="111">
                  <c:v>1.2047539436634703E+20</c:v>
                </c:pt>
                <c:pt idx="112">
                  <c:v>1.2051609670058315E+20</c:v>
                </c:pt>
                <c:pt idx="113">
                  <c:v>1.2055560419657472E+20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'Pu241'!$O$2</c:f>
              <c:strCache>
                <c:ptCount val="1"/>
                <c:pt idx="0">
                  <c:v>Exact Simpl. - Pu241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'Pu241'!$N$3:$N$137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'Pu241'!$O$3:$O$137</c:f>
              <c:numCache>
                <c:formatCode>0.0000E+00</c:formatCode>
                <c:ptCount val="135"/>
                <c:pt idx="0">
                  <c:v>1.5072084539664164E+20</c:v>
                </c:pt>
                <c:pt idx="1">
                  <c:v>1.4918954580386575E+20</c:v>
                </c:pt>
                <c:pt idx="2">
                  <c:v>1.4771760758840413E+20</c:v>
                </c:pt>
                <c:pt idx="3">
                  <c:v>1.4630309124609373E+20</c:v>
                </c:pt>
                <c:pt idx="4">
                  <c:v>1.4494411575906207E+20</c:v>
                </c:pt>
                <c:pt idx="5">
                  <c:v>1.4363885686467772E+20</c:v>
                </c:pt>
                <c:pt idx="6">
                  <c:v>1.423855453756725E+20</c:v>
                </c:pt>
                <c:pt idx="7">
                  <c:v>1.4118246554991917E+20</c:v>
                </c:pt>
                <c:pt idx="8">
                  <c:v>1.4002795350839352E+20</c:v>
                </c:pt>
                <c:pt idx="9">
                  <c:v>1.3892039569989236E+20</c:v>
                </c:pt>
                <c:pt idx="10">
                  <c:v>1.3785822741112339E+20</c:v>
                </c:pt>
                <c:pt idx="11">
                  <c:v>1.3683993132082201E+20</c:v>
                </c:pt>
                <c:pt idx="12">
                  <c:v>1.3586403609659148E+20</c:v>
                </c:pt>
                <c:pt idx="13">
                  <c:v>1.3492911503320053E+20</c:v>
                </c:pt>
                <c:pt idx="14">
                  <c:v>1.3403378473111129E+20</c:v>
                </c:pt>
                <c:pt idx="15">
                  <c:v>1.3317670381404568E+20</c:v>
                </c:pt>
                <c:pt idx="16">
                  <c:v>1.3235657168443367E+20</c:v>
                </c:pt>
                <c:pt idx="17">
                  <c:v>1.3157212731562353E+20</c:v>
                </c:pt>
                <c:pt idx="18">
                  <c:v>1.3082214807976354E+20</c:v>
                </c:pt>
                <c:pt idx="19">
                  <c:v>1.3010544861030072E+20</c:v>
                </c:pt>
                <c:pt idx="20">
                  <c:v>1.2942087969807119E+20</c:v>
                </c:pt>
                <c:pt idx="21">
                  <c:v>1.2876732721998756E+20</c:v>
                </c:pt>
                <c:pt idx="22">
                  <c:v>1.281437110993592E+20</c:v>
                </c:pt>
                <c:pt idx="23">
                  <c:v>1.2754898429690908E+20</c:v>
                </c:pt>
                <c:pt idx="24">
                  <c:v>1.2698213183157833E+20</c:v>
                </c:pt>
                <c:pt idx="25">
                  <c:v>1.264421698302375E+20</c:v>
                </c:pt>
                <c:pt idx="26">
                  <c:v>1.2592814460544947E+20</c:v>
                </c:pt>
                <c:pt idx="27">
                  <c:v>1.2543913176045348E+20</c:v>
                </c:pt>
                <c:pt idx="28">
                  <c:v>1.2497423532056551E+20</c:v>
                </c:pt>
                <c:pt idx="29">
                  <c:v>1.2453258689021374E+20</c:v>
                </c:pt>
                <c:pt idx="30">
                  <c:v>1.2411334483484996E+20</c:v>
                </c:pt>
                <c:pt idx="31">
                  <c:v>1.237156934870025E+20</c:v>
                </c:pt>
                <c:pt idx="32">
                  <c:v>1.2333884237575623E+20</c:v>
                </c:pt>
                <c:pt idx="33">
                  <c:v>1.2298202547896612E+20</c:v>
                </c:pt>
                <c:pt idx="34">
                  <c:v>1.2264450049753385E+20</c:v>
                </c:pt>
                <c:pt idx="35">
                  <c:v>1.2232554815109372E+20</c:v>
                </c:pt>
                <c:pt idx="36">
                  <c:v>1.2202447149447591E+20</c:v>
                </c:pt>
                <c:pt idx="37">
                  <c:v>1.2174059525433211E+20</c:v>
                </c:pt>
                <c:pt idx="38">
                  <c:v>1.2147326518532859E+20</c:v>
                </c:pt>
                <c:pt idx="39">
                  <c:v>1.2122184744532797E+20</c:v>
                </c:pt>
                <c:pt idx="40">
                  <c:v>1.2098572798899788E+20</c:v>
                </c:pt>
                <c:pt idx="41">
                  <c:v>1.2076431197930367E+20</c:v>
                </c:pt>
                <c:pt idx="42">
                  <c:v>1.2055702321635487E+20</c:v>
                </c:pt>
                <c:pt idx="43">
                  <c:v>1.203633035830946E+20</c:v>
                </c:pt>
                <c:pt idx="44">
                  <c:v>1.2018261250733274E+20</c:v>
                </c:pt>
                <c:pt idx="45">
                  <c:v>1.2001442643964145E+20</c:v>
                </c:pt>
                <c:pt idx="46">
                  <c:v>1.198582383466437E+20</c:v>
                </c:pt>
                <c:pt idx="47">
                  <c:v>1.1971355721924079E+20</c:v>
                </c:pt>
                <c:pt idx="48">
                  <c:v>1.1957990759533756E+20</c:v>
                </c:pt>
                <c:pt idx="49">
                  <c:v>1.1945682909663679E+20</c:v>
                </c:pt>
                <c:pt idx="50">
                  <c:v>1.1934387597908858E+20</c:v>
                </c:pt>
                <c:pt idx="51">
                  <c:v>1.1924061669659034E+20</c:v>
                </c:pt>
                <c:pt idx="52">
                  <c:v>1.1914663347754736E+20</c:v>
                </c:pt>
                <c:pt idx="53">
                  <c:v>1.1906152191391354E+20</c:v>
                </c:pt>
                <c:pt idx="54">
                  <c:v>1.1898489056234448E+20</c:v>
                </c:pt>
                <c:pt idx="55">
                  <c:v>1.1891636055710592E+20</c:v>
                </c:pt>
                <c:pt idx="56">
                  <c:v>1.188555652343893E+20</c:v>
                </c:pt>
                <c:pt idx="57">
                  <c:v>1.1880214976769994E+20</c:v>
                </c:pt>
                <c:pt idx="58">
                  <c:v>1.1875577081398911E+20</c:v>
                </c:pt>
                <c:pt idx="59">
                  <c:v>1.1871609617021479E+20</c:v>
                </c:pt>
                <c:pt idx="60">
                  <c:v>1.1868280444002273E+20</c:v>
                </c:pt>
                <c:pt idx="61">
                  <c:v>1.1865558471024946E+20</c:v>
                </c:pt>
                <c:pt idx="62">
                  <c:v>1.1863413623695776E+20</c:v>
                </c:pt>
                <c:pt idx="63">
                  <c:v>1.1861816814072344E+20</c:v>
                </c:pt>
                <c:pt idx="64">
                  <c:v>1.1860739911090088E+20</c:v>
                </c:pt>
                <c:pt idx="65">
                  <c:v>1.1860155711860258E+20</c:v>
                </c:pt>
                <c:pt idx="66">
                  <c:v>1.1860037913813595E+20</c:v>
                </c:pt>
                <c:pt idx="67">
                  <c:v>1.1860361087664765E+20</c:v>
                </c:pt>
                <c:pt idx="68">
                  <c:v>1.1861100651173439E+20</c:v>
                </c:pt>
                <c:pt idx="69">
                  <c:v>1.1862232843678505E+20</c:v>
                </c:pt>
                <c:pt idx="70">
                  <c:v>1.186373470138262E+20</c:v>
                </c:pt>
                <c:pt idx="71">
                  <c:v>1.186558403336504E+20</c:v>
                </c:pt>
                <c:pt idx="72">
                  <c:v>1.1867759398301221E+20</c:v>
                </c:pt>
                <c:pt idx="73">
                  <c:v>1.1870240081868459E+20</c:v>
                </c:pt>
                <c:pt idx="74">
                  <c:v>1.1873006074817259E+20</c:v>
                </c:pt>
                <c:pt idx="75">
                  <c:v>1.1876038051688931E+20</c:v>
                </c:pt>
                <c:pt idx="76">
                  <c:v>1.1879317350160332E+20</c:v>
                </c:pt>
                <c:pt idx="77">
                  <c:v>1.1882825950997286E+20</c:v>
                </c:pt>
                <c:pt idx="78">
                  <c:v>1.1886546458598811E+20</c:v>
                </c:pt>
                <c:pt idx="79">
                  <c:v>1.1890462082114712E+20</c:v>
                </c:pt>
                <c:pt idx="80">
                  <c:v>1.189455661711971E+20</c:v>
                </c:pt>
                <c:pt idx="81">
                  <c:v>1.1898814427827687E+20</c:v>
                </c:pt>
                <c:pt idx="82">
                  <c:v>1.190322042983019E+20</c:v>
                </c:pt>
                <c:pt idx="83">
                  <c:v>1.1907760073343774E+20</c:v>
                </c:pt>
                <c:pt idx="84">
                  <c:v>1.191241932695118E+20</c:v>
                </c:pt>
                <c:pt idx="85">
                  <c:v>1.1917184661821848E+20</c:v>
                </c:pt>
                <c:pt idx="86">
                  <c:v>1.1922043036397658E+20</c:v>
                </c:pt>
                <c:pt idx="87">
                  <c:v>1.1926981881530237E+20</c:v>
                </c:pt>
                <c:pt idx="88">
                  <c:v>1.1931989086056546E+20</c:v>
                </c:pt>
                <c:pt idx="89">
                  <c:v>1.1937052982799806E+20</c:v>
                </c:pt>
                <c:pt idx="90">
                  <c:v>1.1942162334983358E+20</c:v>
                </c:pt>
                <c:pt idx="91">
                  <c:v>1.1947306323045278E+20</c:v>
                </c:pt>
                <c:pt idx="92">
                  <c:v>1.1952474531841909E+20</c:v>
                </c:pt>
                <c:pt idx="93">
                  <c:v>1.1957656938228944E+20</c:v>
                </c:pt>
                <c:pt idx="94">
                  <c:v>1.1962843899009004E+20</c:v>
                </c:pt>
                <c:pt idx="95">
                  <c:v>1.1968026139234807E+20</c:v>
                </c:pt>
                <c:pt idx="96">
                  <c:v>1.1973194740857641E+20</c:v>
                </c:pt>
                <c:pt idx="97">
                  <c:v>1.197834113171087E+20</c:v>
                </c:pt>
                <c:pt idx="98">
                  <c:v>1.1983457074818694E+20</c:v>
                </c:pt>
                <c:pt idx="99">
                  <c:v>1.1988534658020621E+20</c:v>
                </c:pt>
                <c:pt idx="100">
                  <c:v>1.1993566283902329E+20</c:v>
                </c:pt>
                <c:pt idx="101">
                  <c:v>1.1998544660023974E+20</c:v>
                </c:pt>
                <c:pt idx="102">
                  <c:v>1.2003462789437132E+20</c:v>
                </c:pt>
                <c:pt idx="103">
                  <c:v>1.2008313961482045E+20</c:v>
                </c:pt>
                <c:pt idx="104">
                  <c:v>1.2013091742856779E+20</c:v>
                </c:pt>
                <c:pt idx="105">
                  <c:v>1.20177899689504E+20</c:v>
                </c:pt>
                <c:pt idx="106">
                  <c:v>1.2022402735432429E+20</c:v>
                </c:pt>
                <c:pt idx="107">
                  <c:v>1.2026924390090988E+20</c:v>
                </c:pt>
                <c:pt idx="108">
                  <c:v>1.2031349524912466E+20</c:v>
                </c:pt>
                <c:pt idx="109">
                  <c:v>1.2035672968395402E+20</c:v>
                </c:pt>
                <c:pt idx="110">
                  <c:v>1.2039889778091986E+20</c:v>
                </c:pt>
                <c:pt idx="111">
                  <c:v>1.2043995233370256E+20</c:v>
                </c:pt>
                <c:pt idx="112">
                  <c:v>1.204798482839069E+20</c:v>
                </c:pt>
                <c:pt idx="113">
                  <c:v>1.2051854265290763E+20</c:v>
                </c:pt>
                <c:pt idx="114">
                  <c:v>1.2055599447571553E+20</c:v>
                </c:pt>
                <c:pt idx="115">
                  <c:v>1.2059216473680221E+20</c:v>
                </c:pt>
                <c:pt idx="116">
                  <c:v>1.2062701630782888E+20</c:v>
                </c:pt>
                <c:pt idx="117">
                  <c:v>1.2066051388722124E+20</c:v>
                </c:pt>
                <c:pt idx="118">
                  <c:v>1.2069262394153712E+20</c:v>
                </c:pt>
                <c:pt idx="119">
                  <c:v>1.2072331464857502E+20</c:v>
                </c:pt>
                <c:pt idx="120">
                  <c:v>1.2075255584217059E+20</c:v>
                </c:pt>
                <c:pt idx="121">
                  <c:v>1.2078031895863412E+20</c:v>
                </c:pt>
                <c:pt idx="122">
                  <c:v>1.2080657698477851E+20</c:v>
                </c:pt>
                <c:pt idx="123">
                  <c:v>1.2083130440749282E+20</c:v>
                </c:pt>
                <c:pt idx="124">
                  <c:v>1.208544771648153E+20</c:v>
                </c:pt>
                <c:pt idx="125">
                  <c:v>1.2087607259846215E+20</c:v>
                </c:pt>
                <c:pt idx="126">
                  <c:v>1.2089606940776926E+20</c:v>
                </c:pt>
                <c:pt idx="127">
                  <c:v>1.2091444760500602E+20</c:v>
                </c:pt>
                <c:pt idx="128">
                  <c:v>1.2093118847201983E+20</c:v>
                </c:pt>
                <c:pt idx="129">
                  <c:v>1.2094627451817388E+20</c:v>
                </c:pt>
                <c:pt idx="130">
                  <c:v>1.2095968943953904E+20</c:v>
                </c:pt>
                <c:pt idx="131">
                  <c:v>1.2097141807930397E+20</c:v>
                </c:pt>
                <c:pt idx="132">
                  <c:v>1.2098144638936692E+20</c:v>
                </c:pt>
                <c:pt idx="133">
                  <c:v>1.2098976139307545E+20</c:v>
                </c:pt>
                <c:pt idx="134">
                  <c:v>1.2099635114908013E+20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683712"/>
        <c:axId val="95685632"/>
      </c:scatterChart>
      <c:valAx>
        <c:axId val="95683712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'Pu241'!$B$11</c:f>
              <c:strCache>
                <c:ptCount val="1"/>
                <c:pt idx="0">
                  <c:v>Temps (années)</c:v>
                </c:pt>
              </c:strCache>
            </c:strRef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95685632"/>
        <c:crosses val="autoZero"/>
        <c:crossBetween val="midCat"/>
      </c:valAx>
      <c:valAx>
        <c:axId val="95685632"/>
        <c:scaling>
          <c:orientation val="minMax"/>
          <c:min val="1E+20"/>
        </c:scaling>
        <c:delete val="0"/>
        <c:axPos val="l"/>
        <c:majorGridlines/>
        <c:title>
          <c:tx>
            <c:strRef>
              <c:f>'Pu241'!$B$12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2.831601316669909E-2"/>
              <c:y val="0.22454131737356606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95683712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'Pu242'!$O$2</c:f>
              <c:strCache>
                <c:ptCount val="1"/>
                <c:pt idx="0">
                  <c:v> Exact Simpl. - Pu242</c:v>
                </c:pt>
              </c:strCache>
            </c:strRef>
          </c:tx>
          <c:marker>
            <c:symbol val="none"/>
          </c:marker>
          <c:xVal>
            <c:numRef>
              <c:f>'Pu242'!$N$3:$N$137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'Pu242'!$O$3:$O$137</c:f>
              <c:numCache>
                <c:formatCode>0.0000E+00</c:formatCode>
                <c:ptCount val="135"/>
                <c:pt idx="0">
                  <c:v>5.1070699679853543E+19</c:v>
                </c:pt>
                <c:pt idx="1">
                  <c:v>5.1403038210638676E+19</c:v>
                </c:pt>
                <c:pt idx="2">
                  <c:v>5.1727025641732014E+19</c:v>
                </c:pt>
                <c:pt idx="3">
                  <c:v>5.2042943811497558E+19</c:v>
                </c:pt>
                <c:pt idx="4">
                  <c:v>5.2351065574077039E+19</c:v>
                </c:pt>
                <c:pt idx="5">
                  <c:v>5.2651655066511081E+19</c:v>
                </c:pt>
                <c:pt idx="6">
                  <c:v>5.2944967968094093E+19</c:v>
                </c:pt>
                <c:pt idx="7">
                  <c:v>5.3231251752183923E+19</c:v>
                </c:pt>
                <c:pt idx="8">
                  <c:v>5.351074593069151E+19</c:v>
                </c:pt>
                <c:pt idx="9">
                  <c:v>5.3783682291456147E+19</c:v>
                </c:pt>
                <c:pt idx="10">
                  <c:v>5.4050285128719401E+19</c:v>
                </c:pt>
                <c:pt idx="11">
                  <c:v>5.431077146689808E+19</c:v>
                </c:pt>
                <c:pt idx="12">
                  <c:v>5.4565351277845283E+19</c:v>
                </c:pt>
                <c:pt idx="13">
                  <c:v>5.4814227691796496E+19</c:v>
                </c:pt>
                <c:pt idx="14">
                  <c:v>5.5057597202179129E+19</c:v>
                </c:pt>
                <c:pt idx="15">
                  <c:v>5.5295649864464466E+19</c:v>
                </c:pt>
                <c:pt idx="16">
                  <c:v>5.552856948923895E+19</c:v>
                </c:pt>
                <c:pt idx="17">
                  <c:v>5.5756533829655003E+19</c:v>
                </c:pt>
                <c:pt idx="18">
                  <c:v>5.5979714763434426E+19</c:v>
                </c:pt>
                <c:pt idx="19">
                  <c:v>5.6198278469574164E+19</c:v>
                </c:pt>
                <c:pt idx="20">
                  <c:v>5.6412385599911592E+19</c:v>
                </c:pt>
                <c:pt idx="21">
                  <c:v>5.6622191445700051E+19</c:v>
                </c:pt>
                <c:pt idx="22">
                  <c:v>5.682784609933738E+19</c:v>
                </c:pt>
                <c:pt idx="23">
                  <c:v>5.7029494611385844E+19</c:v>
                </c:pt>
                <c:pt idx="24">
                  <c:v>5.7227277143026303E+19</c:v>
                </c:pt>
                <c:pt idx="25">
                  <c:v>5.7421329114073399E+19</c:v>
                </c:pt>
                <c:pt idx="26">
                  <c:v>5.7611781346681225E+19</c:v>
                </c:pt>
                <c:pt idx="27">
                  <c:v>5.7798760204869796E+19</c:v>
                </c:pt>
                <c:pt idx="28">
                  <c:v>5.7982387729983177E+19</c:v>
                </c:pt>
                <c:pt idx="29">
                  <c:v>5.8162781772207555E+19</c:v>
                </c:pt>
                <c:pt idx="30">
                  <c:v>5.8340056118258729E+19</c:v>
                </c:pt>
                <c:pt idx="31">
                  <c:v>5.851432061534693E+19</c:v>
                </c:pt>
                <c:pt idx="32">
                  <c:v>5.8685681291534631E+19</c:v>
                </c:pt>
                <c:pt idx="33">
                  <c:v>5.885424047258334E+19</c:v>
                </c:pt>
                <c:pt idx="34">
                  <c:v>5.9020096895397331E+19</c:v>
                </c:pt>
                <c:pt idx="35">
                  <c:v>5.918334581815876E+19</c:v>
                </c:pt>
                <c:pt idx="36">
                  <c:v>5.9344079127252533E+19</c:v>
                </c:pt>
                <c:pt idx="37">
                  <c:v>5.9502385441072939E+19</c:v>
                </c:pt>
                <c:pt idx="38">
                  <c:v>5.9658350210799796E+19</c:v>
                </c:pt>
                <c:pt idx="39">
                  <c:v>5.9812055818238394E+19</c:v>
                </c:pt>
                <c:pt idx="40">
                  <c:v>5.9963581670798492E+19</c:v>
                </c:pt>
                <c:pt idx="41">
                  <c:v>6.011300429370386E+19</c:v>
                </c:pt>
                <c:pt idx="42">
                  <c:v>6.0260397419508695E+19</c:v>
                </c:pt>
                <c:pt idx="43">
                  <c:v>6.0405832074996777E+19</c:v>
                </c:pt>
                <c:pt idx="44">
                  <c:v>6.0549376665543246E+19</c:v>
                </c:pt>
                <c:pt idx="45">
                  <c:v>6.0691097057009533E+19</c:v>
                </c:pt>
                <c:pt idx="46">
                  <c:v>6.0831056655242625E+19</c:v>
                </c:pt>
                <c:pt idx="47">
                  <c:v>6.0969316483249766E+19</c:v>
                </c:pt>
                <c:pt idx="48">
                  <c:v>6.1105935256113381E+19</c:v>
                </c:pt>
                <c:pt idx="49">
                  <c:v>6.1240969453713359E+19</c:v>
                </c:pt>
                <c:pt idx="50">
                  <c:v>6.1374473391319024E+19</c:v>
                </c:pt>
                <c:pt idx="51">
                  <c:v>6.1506499288112103E+19</c:v>
                </c:pt>
                <c:pt idx="52">
                  <c:v>6.1637097333701181E+19</c:v>
                </c:pt>
                <c:pt idx="53">
                  <c:v>6.1766315752685601E+19</c:v>
                </c:pt>
                <c:pt idx="54">
                  <c:v>6.1894200867322692E+19</c:v>
                </c:pt>
                <c:pt idx="55">
                  <c:v>6.202079715835809E+19</c:v>
                </c:pt>
                <c:pt idx="56">
                  <c:v>6.2146147324065317E+19</c:v>
                </c:pt>
                <c:pt idx="57">
                  <c:v>6.2270292337553637E+19</c:v>
                </c:pt>
                <c:pt idx="58">
                  <c:v>6.2393271502388298E+19</c:v>
                </c:pt>
                <c:pt idx="59">
                  <c:v>6.2515122506572857E+19</c:v>
                </c:pt>
                <c:pt idx="60">
                  <c:v>6.2635881474945417E+19</c:v>
                </c:pt>
                <c:pt idx="61">
                  <c:v>6.2755583020027838E+19</c:v>
                </c:pt>
                <c:pt idx="62">
                  <c:v>6.2874260291376677E+19</c:v>
                </c:pt>
                <c:pt idx="63">
                  <c:v>6.2991945023478071E+19</c:v>
                </c:pt>
                <c:pt idx="64">
                  <c:v>6.31086675822283E+19</c:v>
                </c:pt>
                <c:pt idx="65">
                  <c:v>6.3224457010041094E+19</c:v>
                </c:pt>
                <c:pt idx="66">
                  <c:v>6.3339341069620576E+19</c:v>
                </c:pt>
                <c:pt idx="67">
                  <c:v>6.3453346286439268E+19</c:v>
                </c:pt>
                <c:pt idx="68">
                  <c:v>6.3566497989957255E+19</c:v>
                </c:pt>
                <c:pt idx="69">
                  <c:v>6.3678820353619722E+19</c:v>
                </c:pt>
                <c:pt idx="70">
                  <c:v>6.3790336433669243E+19</c:v>
                </c:pt>
                <c:pt idx="71">
                  <c:v>6.3901068206801617E+19</c:v>
                </c:pt>
                <c:pt idx="72">
                  <c:v>6.401103660670727E+19</c:v>
                </c:pt>
                <c:pt idx="73">
                  <c:v>6.4120261559521116E+19</c:v>
                </c:pt>
                <c:pt idx="74">
                  <c:v>6.4228762018219983E+19</c:v>
                </c:pt>
                <c:pt idx="75">
                  <c:v>6.4336555995992261E+19</c:v>
                </c:pt>
                <c:pt idx="76">
                  <c:v>6.4443660598611837E+19</c:v>
                </c:pt>
                <c:pt idx="77">
                  <c:v>6.4550092055847502E+19</c:v>
                </c:pt>
                <c:pt idx="78">
                  <c:v>6.4655865751927521E+19</c:v>
                </c:pt>
                <c:pt idx="79">
                  <c:v>6.4760996255098995E+19</c:v>
                </c:pt>
                <c:pt idx="80">
                  <c:v>6.4865497346293498E+19</c:v>
                </c:pt>
                <c:pt idx="81">
                  <c:v>6.4969382046938694E+19</c:v>
                </c:pt>
                <c:pt idx="82">
                  <c:v>6.5072662645929247E+19</c:v>
                </c:pt>
                <c:pt idx="83">
                  <c:v>6.5175350725789811E+19</c:v>
                </c:pt>
                <c:pt idx="84">
                  <c:v>6.5277457188045652E+19</c:v>
                </c:pt>
                <c:pt idx="85">
                  <c:v>6.5378992277832892E+19</c:v>
                </c:pt>
                <c:pt idx="86">
                  <c:v>6.5479965607758135E+19</c:v>
                </c:pt>
                <c:pt idx="87">
                  <c:v>6.5580386181043454E+19</c:v>
                </c:pt>
                <c:pt idx="88">
                  <c:v>6.5680262413963166E+19</c:v>
                </c:pt>
                <c:pt idx="89">
                  <c:v>6.5779602157604831E+19</c:v>
                </c:pt>
                <c:pt idx="90">
                  <c:v>6.5878412718964441E+19</c:v>
                </c:pt>
                <c:pt idx="91">
                  <c:v>6.59767008814022E+19</c:v>
                </c:pt>
                <c:pt idx="92">
                  <c:v>6.607447292447241E+19</c:v>
                </c:pt>
                <c:pt idx="93">
                  <c:v>6.6171734643147309E+19</c:v>
                </c:pt>
                <c:pt idx="94">
                  <c:v>6.6268491366454624E+19</c:v>
                </c:pt>
                <c:pt idx="95">
                  <c:v>6.6364747975539556E+19</c:v>
                </c:pt>
                <c:pt idx="96">
                  <c:v>6.6460508921175769E+19</c:v>
                </c:pt>
                <c:pt idx="97">
                  <c:v>6.6555778240733872E+19</c:v>
                </c:pt>
                <c:pt idx="98">
                  <c:v>6.6650559574629319E+19</c:v>
                </c:pt>
                <c:pt idx="99">
                  <c:v>6.6744856182258336E+19</c:v>
                </c:pt>
                <c:pt idx="100">
                  <c:v>6.6838670957444071E+19</c:v>
                </c:pt>
                <c:pt idx="101">
                  <c:v>6.6932006443399676E+19</c:v>
                </c:pt>
                <c:pt idx="102">
                  <c:v>6.7024864847227978E+19</c:v>
                </c:pt>
                <c:pt idx="103">
                  <c:v>6.7117248053967585E+19</c:v>
                </c:pt>
                <c:pt idx="104">
                  <c:v>6.7209157640200421E+19</c:v>
                </c:pt>
                <c:pt idx="105">
                  <c:v>6.730059488723275E+19</c:v>
                </c:pt>
                <c:pt idx="106">
                  <c:v>6.7391560793861423E+19</c:v>
                </c:pt>
                <c:pt idx="107">
                  <c:v>6.7482056088739217E+19</c:v>
                </c:pt>
                <c:pt idx="108">
                  <c:v>6.7572081242347733E+19</c:v>
                </c:pt>
                <c:pt idx="109">
                  <c:v>6.7661636478593335E+19</c:v>
                </c:pt>
                <c:pt idx="110">
                  <c:v>6.7750721786031768E+19</c:v>
                </c:pt>
                <c:pt idx="111">
                  <c:v>6.7839336928738509E+19</c:v>
                </c:pt>
                <c:pt idx="112">
                  <c:v>6.7927481456829891E+19</c:v>
                </c:pt>
                <c:pt idx="113">
                  <c:v>6.80151547166469E+19</c:v>
                </c:pt>
                <c:pt idx="114">
                  <c:v>6.810235586061176E+19</c:v>
                </c:pt>
                <c:pt idx="115">
                  <c:v>6.81890838567685E+19</c:v>
                </c:pt>
                <c:pt idx="116">
                  <c:v>6.8275337498011599E+19</c:v>
                </c:pt>
                <c:pt idx="117">
                  <c:v>6.8361115411016876E+19</c:v>
                </c:pt>
                <c:pt idx="118">
                  <c:v>6.8446416064881656E+19</c:v>
                </c:pt>
                <c:pt idx="119">
                  <c:v>6.8531237779480871E+19</c:v>
                </c:pt>
                <c:pt idx="120">
                  <c:v>6.8615578733550305E+19</c:v>
                </c:pt>
                <c:pt idx="121">
                  <c:v>6.8699436972502614E+19</c:v>
                </c:pt>
                <c:pt idx="122">
                  <c:v>6.8782810415985099E+19</c:v>
                </c:pt>
                <c:pt idx="123">
                  <c:v>6.8865696865186316E+19</c:v>
                </c:pt>
                <c:pt idx="124">
                  <c:v>6.8948094009898893E+19</c:v>
                </c:pt>
                <c:pt idx="125">
                  <c:v>6.9029999435346018E+19</c:v>
                </c:pt>
                <c:pt idx="126">
                  <c:v>6.9111410628778459E+19</c:v>
                </c:pt>
                <c:pt idx="127">
                  <c:v>6.9192324985846596E+19</c:v>
                </c:pt>
                <c:pt idx="128">
                  <c:v>6.9272739816759853E+19</c:v>
                </c:pt>
                <c:pt idx="129">
                  <c:v>6.9352652352232096E+19</c:v>
                </c:pt>
                <c:pt idx="130">
                  <c:v>6.9432059749225529E+19</c:v>
                </c:pt>
                <c:pt idx="131">
                  <c:v>6.9510959096495669E+19</c:v>
                </c:pt>
                <c:pt idx="132">
                  <c:v>6.9589347419943797E+19</c:v>
                </c:pt>
                <c:pt idx="133">
                  <c:v>6.9667221687784767E+19</c:v>
                </c:pt>
                <c:pt idx="134">
                  <c:v>6.9744578815531057E+19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'Pu242'!$M$2</c:f>
              <c:strCache>
                <c:ptCount val="1"/>
                <c:pt idx="0">
                  <c:v>O5 - Pu242</c:v>
                </c:pt>
              </c:strCache>
            </c:strRef>
          </c:tx>
          <c:marker>
            <c:symbol val="none"/>
          </c:marker>
          <c:xVal>
            <c:numRef>
              <c:f>'Pu242'!$L$3:$L$123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'Pu242'!$M$3:$M$116</c:f>
              <c:numCache>
                <c:formatCode>0.0000E+00</c:formatCode>
                <c:ptCount val="114"/>
                <c:pt idx="0">
                  <c:v>5.1070699679853748E+19</c:v>
                </c:pt>
                <c:pt idx="1">
                  <c:v>5.1403038210650227E+19</c:v>
                </c:pt>
                <c:pt idx="2">
                  <c:v>5.1727025642489274E+19</c:v>
                </c:pt>
                <c:pt idx="3">
                  <c:v>5.2042943820107784E+19</c:v>
                </c:pt>
                <c:pt idx="4">
                  <c:v>5.2351065622197903E+19</c:v>
                </c:pt>
                <c:pt idx="5">
                  <c:v>5.2651655249050952E+19</c:v>
                </c:pt>
                <c:pt idx="6">
                  <c:v>5.2944968510201225E+19</c:v>
                </c:pt>
                <c:pt idx="7">
                  <c:v>5.3231253112069841E+19</c:v>
                </c:pt>
                <c:pt idx="8">
                  <c:v>5.3510748945608696E+19</c:v>
                </c:pt>
                <c:pt idx="9">
                  <c:v>5.3783688373944222E+19</c:v>
                </c:pt>
                <c:pt idx="10">
                  <c:v>5.4050296520021344E+19</c:v>
                </c:pt>
                <c:pt idx="11">
                  <c:v>5.431079155424727E+19</c:v>
                </c:pt>
                <c:pt idx="12">
                  <c:v>5.4565384982135439E+19</c:v>
                </c:pt>
                <c:pt idx="13">
                  <c:v>5.4814260506297049E+19</c:v>
                </c:pt>
                <c:pt idx="14">
                  <c:v>5.5057629186330255E+19</c:v>
                </c:pt>
                <c:pt idx="15">
                  <c:v>5.5295681088236462E+19</c:v>
                </c:pt>
                <c:pt idx="16">
                  <c:v>5.5528600046657716E+19</c:v>
                </c:pt>
                <c:pt idx="17">
                  <c:v>5.5756563866682458E+19</c:v>
                </c:pt>
                <c:pt idx="18">
                  <c:v>5.5979744525651198E+19</c:v>
                </c:pt>
                <c:pt idx="19">
                  <c:v>5.6198308374962225E+19</c:v>
                </c:pt>
                <c:pt idx="20">
                  <c:v>5.6412416341877375E+19</c:v>
                </c:pt>
                <c:pt idx="21">
                  <c:v>5.6622224131327672E+19</c:v>
                </c:pt>
                <c:pt idx="22">
                  <c:v>5.6827882427719123E+19</c:v>
                </c:pt>
                <c:pt idx="23">
                  <c:v>5.7029537096738398E+19</c:v>
                </c:pt>
                <c:pt idx="24">
                  <c:v>5.7227329387158503E+19</c:v>
                </c:pt>
                <c:pt idx="25">
                  <c:v>5.7421381101686874E+19</c:v>
                </c:pt>
                <c:pt idx="26">
                  <c:v>5.7611833292816613E+19</c:v>
                </c:pt>
                <c:pt idx="27">
                  <c:v>5.7798812344617558E+19</c:v>
                </c:pt>
                <c:pt idx="28">
                  <c:v>5.7982440328300675E+19</c:v>
                </c:pt>
                <c:pt idx="29">
                  <c:v>5.8162835143782515E+19</c:v>
                </c:pt>
                <c:pt idx="30">
                  <c:v>5.8340110661249786E+19</c:v>
                </c:pt>
                <c:pt idx="31">
                  <c:v>5.8514376862723817E+19</c:v>
                </c:pt>
                <c:pt idx="32">
                  <c:v>5.868573998362511E+19</c:v>
                </c:pt>
                <c:pt idx="33">
                  <c:v>5.885430265433781E+19</c:v>
                </c:pt>
                <c:pt idx="34">
                  <c:v>5.9020164041774268E+19</c:v>
                </c:pt>
                <c:pt idx="35">
                  <c:v>5.9183419990939501E+19</c:v>
                </c:pt>
                <c:pt idx="36">
                  <c:v>5.9344163166495744E+19</c:v>
                </c:pt>
                <c:pt idx="37">
                  <c:v>5.9502472640465789E+19</c:v>
                </c:pt>
                <c:pt idx="38">
                  <c:v>5.9658441061338784E+19</c:v>
                </c:pt>
                <c:pt idx="39">
                  <c:v>5.9812150839716348E+19</c:v>
                </c:pt>
                <c:pt idx="40">
                  <c:v>5.9963681418726294E+19</c:v>
                </c:pt>
                <c:pt idx="41">
                  <c:v>6.0113109373273948E+19</c:v>
                </c:pt>
                <c:pt idx="42">
                  <c:v>6.026050850929324E+19</c:v>
                </c:pt>
                <c:pt idx="43">
                  <c:v>6.0405949962998071E+19</c:v>
                </c:pt>
                <c:pt idx="44">
                  <c:v>6.0549502300133417E+19</c:v>
                </c:pt>
                <c:pt idx="45">
                  <c:v>6.0691231615226561E+19</c:v>
                </c:pt>
                <c:pt idx="46">
                  <c:v>6.0831201630838391E+19</c:v>
                </c:pt>
                <c:pt idx="47">
                  <c:v>6.0969473796814529E+19</c:v>
                </c:pt>
                <c:pt idx="48">
                  <c:v>6.1106107389536633E+19</c:v>
                </c:pt>
                <c:pt idx="49">
                  <c:v>6.1241152194658583E+19</c:v>
                </c:pt>
                <c:pt idx="50">
                  <c:v>6.1374667598933328E+19</c:v>
                </c:pt>
                <c:pt idx="51">
                  <c:v>6.1506705855702352E+19</c:v>
                </c:pt>
                <c:pt idx="52">
                  <c:v>6.1637317193449054E+19</c:v>
                </c:pt>
                <c:pt idx="53">
                  <c:v>6.1766549885304979E+19</c:v>
                </c:pt>
                <c:pt idx="54">
                  <c:v>6.1894450318556054E+19</c:v>
                </c:pt>
                <c:pt idx="55">
                  <c:v>6.2021063064148836E+19</c:v>
                </c:pt>
                <c:pt idx="56">
                  <c:v>6.2146430946196824E+19</c:v>
                </c:pt>
                <c:pt idx="57">
                  <c:v>6.2270595111486513E+19</c:v>
                </c:pt>
                <c:pt idx="58">
                  <c:v>6.2393595098983842E+19</c:v>
                </c:pt>
                <c:pt idx="59">
                  <c:v>6.2515468909340328E+19</c:v>
                </c:pt>
                <c:pt idx="60">
                  <c:v>6.2636253074399281E+19</c:v>
                </c:pt>
                <c:pt idx="61">
                  <c:v>6.275597751085985E+19</c:v>
                </c:pt>
                <c:pt idx="62">
                  <c:v>6.2874678946464039E+19</c:v>
                </c:pt>
                <c:pt idx="63">
                  <c:v>6.2992389151244018E+19</c:v>
                </c:pt>
                <c:pt idx="64">
                  <c:v>6.3109138529718493E+19</c:v>
                </c:pt>
                <c:pt idx="65">
                  <c:v>6.3224956169474064E+19</c:v>
                </c:pt>
                <c:pt idx="66">
                  <c:v>6.3339869889746371E+19</c:v>
                </c:pt>
                <c:pt idx="67">
                  <c:v>6.3453906290001322E+19</c:v>
                </c:pt>
                <c:pt idx="68">
                  <c:v>6.3567090798516355E+19</c:v>
                </c:pt>
                <c:pt idx="69">
                  <c:v>6.3679447720961647E+19</c:v>
                </c:pt>
                <c:pt idx="70">
                  <c:v>6.3791000288981393E+19</c:v>
                </c:pt>
                <c:pt idx="71">
                  <c:v>6.3901770708774896E+19</c:v>
                </c:pt>
                <c:pt idx="72">
                  <c:v>6.4011780209677976E+19</c:v>
                </c:pt>
                <c:pt idx="73">
                  <c:v>6.4121045422194622E+19</c:v>
                </c:pt>
                <c:pt idx="74">
                  <c:v>6.42295878259224E+19</c:v>
                </c:pt>
                <c:pt idx="75">
                  <c:v>6.4337425467452604E+19</c:v>
                </c:pt>
                <c:pt idx="76">
                  <c:v>6.4444575487855272E+19</c:v>
                </c:pt>
                <c:pt idx="77">
                  <c:v>6.4551054156531876E+19</c:v>
                </c:pt>
                <c:pt idx="78">
                  <c:v>6.4656876905067708E+19</c:v>
                </c:pt>
                <c:pt idx="79">
                  <c:v>6.4762058361084551E+19</c:v>
                </c:pt>
                <c:pt idx="80">
                  <c:v>6.4866612382093066E+19</c:v>
                </c:pt>
                <c:pt idx="81">
                  <c:v>6.4970552089345352E+19</c:v>
                </c:pt>
                <c:pt idx="82">
                  <c:v>6.5073889901687562E+19</c:v>
                </c:pt>
                <c:pt idx="83">
                  <c:v>6.517663756941226E+19</c:v>
                </c:pt>
                <c:pt idx="84">
                  <c:v>6.5278806208111084E+19</c:v>
                </c:pt>
                <c:pt idx="85">
                  <c:v>6.5380403748300882E+19</c:v>
                </c:pt>
                <c:pt idx="86">
                  <c:v>6.5481441586761097E+19</c:v>
                </c:pt>
                <c:pt idx="87">
                  <c:v>6.5581928755328508E+19</c:v>
                </c:pt>
                <c:pt idx="88">
                  <c:v>6.5681873699958014E+19</c:v>
                </c:pt>
                <c:pt idx="89">
                  <c:v>6.578128430420453E+19</c:v>
                </c:pt>
                <c:pt idx="90">
                  <c:v>6.5880167912704991E+19</c:v>
                </c:pt>
                <c:pt idx="91">
                  <c:v>6.5978531354660282E+19</c:v>
                </c:pt>
                <c:pt idx="92">
                  <c:v>6.6076380967317217E+19</c:v>
                </c:pt>
                <c:pt idx="93">
                  <c:v>6.617372261945054E+19</c:v>
                </c:pt>
                <c:pt idx="94">
                  <c:v>6.6270561734844867E+19</c:v>
                </c:pt>
                <c:pt idx="95">
                  <c:v>6.6366903315776627E+19</c:v>
                </c:pt>
                <c:pt idx="96">
                  <c:v>6.6462751966496096E+19</c:v>
                </c:pt>
                <c:pt idx="97">
                  <c:v>6.6558110097062633E+19</c:v>
                </c:pt>
                <c:pt idx="98">
                  <c:v>6.6652982606448599E+19</c:v>
                </c:pt>
                <c:pt idx="99">
                  <c:v>6.6747372776208253E+19</c:v>
                </c:pt>
                <c:pt idx="100">
                  <c:v>6.6841283522829304E+19</c:v>
                </c:pt>
                <c:pt idx="101">
                  <c:v>6.6934717413913403E+19</c:v>
                </c:pt>
                <c:pt idx="102">
                  <c:v>6.702767668435642E+19</c:v>
                </c:pt>
                <c:pt idx="103">
                  <c:v>6.7120163252528923E+19</c:v>
                </c:pt>
                <c:pt idx="104">
                  <c:v>6.7212178736456516E+19</c:v>
                </c:pt>
                <c:pt idx="105">
                  <c:v>6.7303724470000222E+19</c:v>
                </c:pt>
                <c:pt idx="106">
                  <c:v>6.7394801519036891E+19</c:v>
                </c:pt>
                <c:pt idx="107">
                  <c:v>6.7485410697639608E+19</c:v>
                </c:pt>
                <c:pt idx="108">
                  <c:v>6.7575552584257995E+19</c:v>
                </c:pt>
                <c:pt idx="109">
                  <c:v>6.7665226257032962E+19</c:v>
                </c:pt>
                <c:pt idx="110">
                  <c:v>6.7754432589992894E+19</c:v>
                </c:pt>
                <c:pt idx="111">
                  <c:v>6.7843171362121875E+19</c:v>
                </c:pt>
                <c:pt idx="112">
                  <c:v>6.7931442138596557E+19</c:v>
                </c:pt>
                <c:pt idx="113">
                  <c:v>6.801924428182877E+19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'Pu242'!$Q$2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'Pu242'!$P$3:$P$52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'Pu242'!$Q$3:$Q$52</c:f>
              <c:numCache>
                <c:formatCode>0.0000E+00</c:formatCode>
                <c:ptCount val="50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'Pu242'!$S$2</c:f>
              <c:strCache>
                <c:ptCount val="1"/>
                <c:pt idx="0">
                  <c:v>VESTA - Pu242 </c:v>
                </c:pt>
              </c:strCache>
            </c:strRef>
          </c:tx>
          <c:marker>
            <c:symbol val="none"/>
          </c:marker>
          <c:xVal>
            <c:numRef>
              <c:f>'Pu242'!$R$3:$R$10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'Pu242'!$S$3:$S$9</c:f>
              <c:numCache>
                <c:formatCode>0.0000E+00</c:formatCode>
                <c:ptCount val="7"/>
                <c:pt idx="0">
                  <c:v>5.1070699679853748E+19</c:v>
                </c:pt>
                <c:pt idx="1">
                  <c:v>5.1691620040703025E+19</c:v>
                </c:pt>
                <c:pt idx="2">
                  <c:v>5.2873093505096802E+19</c:v>
                </c:pt>
                <c:pt idx="3">
                  <c:v>5.5149801494877528E+19</c:v>
                </c:pt>
                <c:pt idx="4">
                  <c:v>5.837513781373354E+19</c:v>
                </c:pt>
                <c:pt idx="5">
                  <c:v>6.5765814886620176E+19</c:v>
                </c:pt>
                <c:pt idx="6">
                  <c:v>7.5148611450564936E+19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'Pu242'!$K$2</c:f>
              <c:strCache>
                <c:ptCount val="1"/>
                <c:pt idx="0">
                  <c:v>RK1 - Pu242</c:v>
                </c:pt>
              </c:strCache>
            </c:strRef>
          </c:tx>
          <c:marker>
            <c:symbol val="none"/>
          </c:marker>
          <c:xVal>
            <c:numRef>
              <c:f>'Pu242'!$J$3:$J$137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'Pu242'!$K$3:$K$137</c:f>
              <c:numCache>
                <c:formatCode>0.0000E+00</c:formatCode>
                <c:ptCount val="135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585472"/>
        <c:axId val="106595456"/>
      </c:scatterChart>
      <c:valAx>
        <c:axId val="106585472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106595456"/>
        <c:crosses val="autoZero"/>
        <c:crossBetween val="midCat"/>
      </c:valAx>
      <c:valAx>
        <c:axId val="106595456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065854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80320"/>
        <c:axId val="106681856"/>
      </c:scatterChart>
      <c:valAx>
        <c:axId val="10668032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06681856"/>
        <c:crosses val="autoZero"/>
        <c:crossBetween val="midCat"/>
      </c:valAx>
      <c:valAx>
        <c:axId val="106681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6803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701184"/>
        <c:axId val="106702720"/>
      </c:scatterChart>
      <c:valAx>
        <c:axId val="10670118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06702720"/>
        <c:crosses val="autoZero"/>
        <c:crossBetween val="midCat"/>
      </c:valAx>
      <c:valAx>
        <c:axId val="10670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7011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73024"/>
        <c:axId val="107874560"/>
      </c:scatterChart>
      <c:valAx>
        <c:axId val="10787302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07874560"/>
        <c:crosses val="autoZero"/>
        <c:crossBetween val="midCat"/>
      </c:valAx>
      <c:valAx>
        <c:axId val="107874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8730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'Pu242'!$B$10</c:f>
          <c:strCache>
            <c:ptCount val="1"/>
            <c:pt idx="0">
              <c:v>Comparaison des modèles pour le Pu242</c:v>
            </c:pt>
          </c:strCache>
        </c:strRef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'Pu242'!$S$2</c:f>
              <c:strCache>
                <c:ptCount val="1"/>
                <c:pt idx="0">
                  <c:v>VESTA - Pu242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'Pu242'!$R$3:$R$10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'Pu242'!$S$3:$S$9</c:f>
              <c:numCache>
                <c:formatCode>0.0000E+00</c:formatCode>
                <c:ptCount val="7"/>
                <c:pt idx="0">
                  <c:v>5.1070699679853748E+19</c:v>
                </c:pt>
                <c:pt idx="1">
                  <c:v>5.1691620040703025E+19</c:v>
                </c:pt>
                <c:pt idx="2">
                  <c:v>5.2873093505096802E+19</c:v>
                </c:pt>
                <c:pt idx="3">
                  <c:v>5.5149801494877528E+19</c:v>
                </c:pt>
                <c:pt idx="4">
                  <c:v>5.837513781373354E+19</c:v>
                </c:pt>
                <c:pt idx="5">
                  <c:v>6.5765814886620176E+19</c:v>
                </c:pt>
                <c:pt idx="6">
                  <c:v>7.5148611450564936E+19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'Pu242'!$Q$2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'Pu242'!$P$3:$P$511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'Pu242'!$Q$3:$Q$52</c:f>
              <c:numCache>
                <c:formatCode>0.0000E+00</c:formatCode>
                <c:ptCount val="50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'Pu242'!$K$2</c:f>
              <c:strCache>
                <c:ptCount val="1"/>
                <c:pt idx="0">
                  <c:v>RK1 - Pu242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'Pu242'!$J$3:$J$137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'Pu242'!$K$3:$K$137</c:f>
              <c:numCache>
                <c:formatCode>0.0000E+00</c:formatCode>
                <c:ptCount val="135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'Pu242'!$M$2</c:f>
              <c:strCache>
                <c:ptCount val="1"/>
                <c:pt idx="0">
                  <c:v>O5 - Pu242</c:v>
                </c:pt>
              </c:strCache>
            </c:strRef>
          </c:tx>
          <c:marker>
            <c:symbol val="none"/>
          </c:marker>
          <c:xVal>
            <c:numRef>
              <c:f>'Pu242'!$L$3:$L$123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'Pu242'!$M$3:$M$116</c:f>
              <c:numCache>
                <c:formatCode>0.0000E+00</c:formatCode>
                <c:ptCount val="114"/>
                <c:pt idx="0">
                  <c:v>5.1070699679853748E+19</c:v>
                </c:pt>
                <c:pt idx="1">
                  <c:v>5.1403038210650227E+19</c:v>
                </c:pt>
                <c:pt idx="2">
                  <c:v>5.1727025642489274E+19</c:v>
                </c:pt>
                <c:pt idx="3">
                  <c:v>5.2042943820107784E+19</c:v>
                </c:pt>
                <c:pt idx="4">
                  <c:v>5.2351065622197903E+19</c:v>
                </c:pt>
                <c:pt idx="5">
                  <c:v>5.2651655249050952E+19</c:v>
                </c:pt>
                <c:pt idx="6">
                  <c:v>5.2944968510201225E+19</c:v>
                </c:pt>
                <c:pt idx="7">
                  <c:v>5.3231253112069841E+19</c:v>
                </c:pt>
                <c:pt idx="8">
                  <c:v>5.3510748945608696E+19</c:v>
                </c:pt>
                <c:pt idx="9">
                  <c:v>5.3783688373944222E+19</c:v>
                </c:pt>
                <c:pt idx="10">
                  <c:v>5.4050296520021344E+19</c:v>
                </c:pt>
                <c:pt idx="11">
                  <c:v>5.431079155424727E+19</c:v>
                </c:pt>
                <c:pt idx="12">
                  <c:v>5.4565384982135439E+19</c:v>
                </c:pt>
                <c:pt idx="13">
                  <c:v>5.4814260506297049E+19</c:v>
                </c:pt>
                <c:pt idx="14">
                  <c:v>5.5057629186330255E+19</c:v>
                </c:pt>
                <c:pt idx="15">
                  <c:v>5.5295681088236462E+19</c:v>
                </c:pt>
                <c:pt idx="16">
                  <c:v>5.5528600046657716E+19</c:v>
                </c:pt>
                <c:pt idx="17">
                  <c:v>5.5756563866682458E+19</c:v>
                </c:pt>
                <c:pt idx="18">
                  <c:v>5.5979744525651198E+19</c:v>
                </c:pt>
                <c:pt idx="19">
                  <c:v>5.6198308374962225E+19</c:v>
                </c:pt>
                <c:pt idx="20">
                  <c:v>5.6412416341877375E+19</c:v>
                </c:pt>
                <c:pt idx="21">
                  <c:v>5.6622224131327672E+19</c:v>
                </c:pt>
                <c:pt idx="22">
                  <c:v>5.6827882427719123E+19</c:v>
                </c:pt>
                <c:pt idx="23">
                  <c:v>5.7029537096738398E+19</c:v>
                </c:pt>
                <c:pt idx="24">
                  <c:v>5.7227329387158503E+19</c:v>
                </c:pt>
                <c:pt idx="25">
                  <c:v>5.7421381101686874E+19</c:v>
                </c:pt>
                <c:pt idx="26">
                  <c:v>5.7611833292816613E+19</c:v>
                </c:pt>
                <c:pt idx="27">
                  <c:v>5.7798812344617558E+19</c:v>
                </c:pt>
                <c:pt idx="28">
                  <c:v>5.7982440328300675E+19</c:v>
                </c:pt>
                <c:pt idx="29">
                  <c:v>5.8162835143782515E+19</c:v>
                </c:pt>
                <c:pt idx="30">
                  <c:v>5.8340110661249786E+19</c:v>
                </c:pt>
                <c:pt idx="31">
                  <c:v>5.8514376862723817E+19</c:v>
                </c:pt>
                <c:pt idx="32">
                  <c:v>5.868573998362511E+19</c:v>
                </c:pt>
                <c:pt idx="33">
                  <c:v>5.885430265433781E+19</c:v>
                </c:pt>
                <c:pt idx="34">
                  <c:v>5.9020164041774268E+19</c:v>
                </c:pt>
                <c:pt idx="35">
                  <c:v>5.9183419990939501E+19</c:v>
                </c:pt>
                <c:pt idx="36">
                  <c:v>5.9344163166495744E+19</c:v>
                </c:pt>
                <c:pt idx="37">
                  <c:v>5.9502472640465789E+19</c:v>
                </c:pt>
                <c:pt idx="38">
                  <c:v>5.9658441061338784E+19</c:v>
                </c:pt>
                <c:pt idx="39">
                  <c:v>5.9812150839716348E+19</c:v>
                </c:pt>
                <c:pt idx="40">
                  <c:v>5.9963681418726294E+19</c:v>
                </c:pt>
                <c:pt idx="41">
                  <c:v>6.0113109373273948E+19</c:v>
                </c:pt>
                <c:pt idx="42">
                  <c:v>6.026050850929324E+19</c:v>
                </c:pt>
                <c:pt idx="43">
                  <c:v>6.0405949962998071E+19</c:v>
                </c:pt>
                <c:pt idx="44">
                  <c:v>6.0549502300133417E+19</c:v>
                </c:pt>
                <c:pt idx="45">
                  <c:v>6.0691231615226561E+19</c:v>
                </c:pt>
                <c:pt idx="46">
                  <c:v>6.0831201630838391E+19</c:v>
                </c:pt>
                <c:pt idx="47">
                  <c:v>6.0969473796814529E+19</c:v>
                </c:pt>
                <c:pt idx="48">
                  <c:v>6.1106107389536633E+19</c:v>
                </c:pt>
                <c:pt idx="49">
                  <c:v>6.1241152194658583E+19</c:v>
                </c:pt>
                <c:pt idx="50">
                  <c:v>6.1374667598933328E+19</c:v>
                </c:pt>
                <c:pt idx="51">
                  <c:v>6.1506705855702352E+19</c:v>
                </c:pt>
                <c:pt idx="52">
                  <c:v>6.1637317193449054E+19</c:v>
                </c:pt>
                <c:pt idx="53">
                  <c:v>6.1766549885304979E+19</c:v>
                </c:pt>
                <c:pt idx="54">
                  <c:v>6.1894450318556054E+19</c:v>
                </c:pt>
                <c:pt idx="55">
                  <c:v>6.2021063064148836E+19</c:v>
                </c:pt>
                <c:pt idx="56">
                  <c:v>6.2146430946196824E+19</c:v>
                </c:pt>
                <c:pt idx="57">
                  <c:v>6.2270595111486513E+19</c:v>
                </c:pt>
                <c:pt idx="58">
                  <c:v>6.2393595098983842E+19</c:v>
                </c:pt>
                <c:pt idx="59">
                  <c:v>6.2515468909340328E+19</c:v>
                </c:pt>
                <c:pt idx="60">
                  <c:v>6.2636253074399281E+19</c:v>
                </c:pt>
                <c:pt idx="61">
                  <c:v>6.275597751085985E+19</c:v>
                </c:pt>
                <c:pt idx="62">
                  <c:v>6.2874678946464039E+19</c:v>
                </c:pt>
                <c:pt idx="63">
                  <c:v>6.2992389151244018E+19</c:v>
                </c:pt>
                <c:pt idx="64">
                  <c:v>6.3109138529718493E+19</c:v>
                </c:pt>
                <c:pt idx="65">
                  <c:v>6.3224956169474064E+19</c:v>
                </c:pt>
                <c:pt idx="66">
                  <c:v>6.3339869889746371E+19</c:v>
                </c:pt>
                <c:pt idx="67">
                  <c:v>6.3453906290001322E+19</c:v>
                </c:pt>
                <c:pt idx="68">
                  <c:v>6.3567090798516355E+19</c:v>
                </c:pt>
                <c:pt idx="69">
                  <c:v>6.3679447720961647E+19</c:v>
                </c:pt>
                <c:pt idx="70">
                  <c:v>6.3791000288981393E+19</c:v>
                </c:pt>
                <c:pt idx="71">
                  <c:v>6.3901770708774896E+19</c:v>
                </c:pt>
                <c:pt idx="72">
                  <c:v>6.4011780209677976E+19</c:v>
                </c:pt>
                <c:pt idx="73">
                  <c:v>6.4121045422194622E+19</c:v>
                </c:pt>
                <c:pt idx="74">
                  <c:v>6.42295878259224E+19</c:v>
                </c:pt>
                <c:pt idx="75">
                  <c:v>6.4337425467452604E+19</c:v>
                </c:pt>
                <c:pt idx="76">
                  <c:v>6.4444575487855272E+19</c:v>
                </c:pt>
                <c:pt idx="77">
                  <c:v>6.4551054156531876E+19</c:v>
                </c:pt>
                <c:pt idx="78">
                  <c:v>6.4656876905067708E+19</c:v>
                </c:pt>
                <c:pt idx="79">
                  <c:v>6.4762058361084551E+19</c:v>
                </c:pt>
                <c:pt idx="80">
                  <c:v>6.4866612382093066E+19</c:v>
                </c:pt>
                <c:pt idx="81">
                  <c:v>6.4970552089345352E+19</c:v>
                </c:pt>
                <c:pt idx="82">
                  <c:v>6.5073889901687562E+19</c:v>
                </c:pt>
                <c:pt idx="83">
                  <c:v>6.517663756941226E+19</c:v>
                </c:pt>
                <c:pt idx="84">
                  <c:v>6.5278806208111084E+19</c:v>
                </c:pt>
                <c:pt idx="85">
                  <c:v>6.5380403748300882E+19</c:v>
                </c:pt>
                <c:pt idx="86">
                  <c:v>6.5481441586761097E+19</c:v>
                </c:pt>
                <c:pt idx="87">
                  <c:v>6.5581928755328508E+19</c:v>
                </c:pt>
                <c:pt idx="88">
                  <c:v>6.5681873699958014E+19</c:v>
                </c:pt>
                <c:pt idx="89">
                  <c:v>6.578128430420453E+19</c:v>
                </c:pt>
                <c:pt idx="90">
                  <c:v>6.5880167912704991E+19</c:v>
                </c:pt>
                <c:pt idx="91">
                  <c:v>6.5978531354660282E+19</c:v>
                </c:pt>
                <c:pt idx="92">
                  <c:v>6.6076380967317217E+19</c:v>
                </c:pt>
                <c:pt idx="93">
                  <c:v>6.617372261945054E+19</c:v>
                </c:pt>
                <c:pt idx="94">
                  <c:v>6.6270561734844867E+19</c:v>
                </c:pt>
                <c:pt idx="95">
                  <c:v>6.6366903315776627E+19</c:v>
                </c:pt>
                <c:pt idx="96">
                  <c:v>6.6462751966496096E+19</c:v>
                </c:pt>
                <c:pt idx="97">
                  <c:v>6.6558110097062633E+19</c:v>
                </c:pt>
                <c:pt idx="98">
                  <c:v>6.6652982606448599E+19</c:v>
                </c:pt>
                <c:pt idx="99">
                  <c:v>6.6747372776208253E+19</c:v>
                </c:pt>
                <c:pt idx="100">
                  <c:v>6.6841283522829304E+19</c:v>
                </c:pt>
                <c:pt idx="101">
                  <c:v>6.6934717413913403E+19</c:v>
                </c:pt>
                <c:pt idx="102">
                  <c:v>6.702767668435642E+19</c:v>
                </c:pt>
                <c:pt idx="103">
                  <c:v>6.7120163252528923E+19</c:v>
                </c:pt>
                <c:pt idx="104">
                  <c:v>6.7212178736456516E+19</c:v>
                </c:pt>
                <c:pt idx="105">
                  <c:v>6.7303724470000222E+19</c:v>
                </c:pt>
                <c:pt idx="106">
                  <c:v>6.7394801519036891E+19</c:v>
                </c:pt>
                <c:pt idx="107">
                  <c:v>6.7485410697639608E+19</c:v>
                </c:pt>
                <c:pt idx="108">
                  <c:v>6.7575552584257995E+19</c:v>
                </c:pt>
                <c:pt idx="109">
                  <c:v>6.7665226257032962E+19</c:v>
                </c:pt>
                <c:pt idx="110">
                  <c:v>6.7754432589992894E+19</c:v>
                </c:pt>
                <c:pt idx="111">
                  <c:v>6.7843171362121875E+19</c:v>
                </c:pt>
                <c:pt idx="112">
                  <c:v>6.7931442138596557E+19</c:v>
                </c:pt>
                <c:pt idx="113">
                  <c:v>6.801924428182877E+19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'Pu242'!$O$2</c:f>
              <c:strCache>
                <c:ptCount val="1"/>
                <c:pt idx="0">
                  <c:v> Exact Simpl. - Pu242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'Pu242'!$N$3:$N$137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'Pu242'!$O$3:$O$137</c:f>
              <c:numCache>
                <c:formatCode>0.0000E+00</c:formatCode>
                <c:ptCount val="135"/>
                <c:pt idx="0">
                  <c:v>5.1070699679853543E+19</c:v>
                </c:pt>
                <c:pt idx="1">
                  <c:v>5.1403038210638676E+19</c:v>
                </c:pt>
                <c:pt idx="2">
                  <c:v>5.1727025641732014E+19</c:v>
                </c:pt>
                <c:pt idx="3">
                  <c:v>5.2042943811497558E+19</c:v>
                </c:pt>
                <c:pt idx="4">
                  <c:v>5.2351065574077039E+19</c:v>
                </c:pt>
                <c:pt idx="5">
                  <c:v>5.2651655066511081E+19</c:v>
                </c:pt>
                <c:pt idx="6">
                  <c:v>5.2944967968094093E+19</c:v>
                </c:pt>
                <c:pt idx="7">
                  <c:v>5.3231251752183923E+19</c:v>
                </c:pt>
                <c:pt idx="8">
                  <c:v>5.351074593069151E+19</c:v>
                </c:pt>
                <c:pt idx="9">
                  <c:v>5.3783682291456147E+19</c:v>
                </c:pt>
                <c:pt idx="10">
                  <c:v>5.4050285128719401E+19</c:v>
                </c:pt>
                <c:pt idx="11">
                  <c:v>5.431077146689808E+19</c:v>
                </c:pt>
                <c:pt idx="12">
                  <c:v>5.4565351277845283E+19</c:v>
                </c:pt>
                <c:pt idx="13">
                  <c:v>5.4814227691796496E+19</c:v>
                </c:pt>
                <c:pt idx="14">
                  <c:v>5.5057597202179129E+19</c:v>
                </c:pt>
                <c:pt idx="15">
                  <c:v>5.5295649864464466E+19</c:v>
                </c:pt>
                <c:pt idx="16">
                  <c:v>5.552856948923895E+19</c:v>
                </c:pt>
                <c:pt idx="17">
                  <c:v>5.5756533829655003E+19</c:v>
                </c:pt>
                <c:pt idx="18">
                  <c:v>5.5979714763434426E+19</c:v>
                </c:pt>
                <c:pt idx="19">
                  <c:v>5.6198278469574164E+19</c:v>
                </c:pt>
                <c:pt idx="20">
                  <c:v>5.6412385599911592E+19</c:v>
                </c:pt>
                <c:pt idx="21">
                  <c:v>5.6622191445700051E+19</c:v>
                </c:pt>
                <c:pt idx="22">
                  <c:v>5.682784609933738E+19</c:v>
                </c:pt>
                <c:pt idx="23">
                  <c:v>5.7029494611385844E+19</c:v>
                </c:pt>
                <c:pt idx="24">
                  <c:v>5.7227277143026303E+19</c:v>
                </c:pt>
                <c:pt idx="25">
                  <c:v>5.7421329114073399E+19</c:v>
                </c:pt>
                <c:pt idx="26">
                  <c:v>5.7611781346681225E+19</c:v>
                </c:pt>
                <c:pt idx="27">
                  <c:v>5.7798760204869796E+19</c:v>
                </c:pt>
                <c:pt idx="28">
                  <c:v>5.7982387729983177E+19</c:v>
                </c:pt>
                <c:pt idx="29">
                  <c:v>5.8162781772207555E+19</c:v>
                </c:pt>
                <c:pt idx="30">
                  <c:v>5.8340056118258729E+19</c:v>
                </c:pt>
                <c:pt idx="31">
                  <c:v>5.851432061534693E+19</c:v>
                </c:pt>
                <c:pt idx="32">
                  <c:v>5.8685681291534631E+19</c:v>
                </c:pt>
                <c:pt idx="33">
                  <c:v>5.885424047258334E+19</c:v>
                </c:pt>
                <c:pt idx="34">
                  <c:v>5.9020096895397331E+19</c:v>
                </c:pt>
                <c:pt idx="35">
                  <c:v>5.918334581815876E+19</c:v>
                </c:pt>
                <c:pt idx="36">
                  <c:v>5.9344079127252533E+19</c:v>
                </c:pt>
                <c:pt idx="37">
                  <c:v>5.9502385441072939E+19</c:v>
                </c:pt>
                <c:pt idx="38">
                  <c:v>5.9658350210799796E+19</c:v>
                </c:pt>
                <c:pt idx="39">
                  <c:v>5.9812055818238394E+19</c:v>
                </c:pt>
                <c:pt idx="40">
                  <c:v>5.9963581670798492E+19</c:v>
                </c:pt>
                <c:pt idx="41">
                  <c:v>6.011300429370386E+19</c:v>
                </c:pt>
                <c:pt idx="42">
                  <c:v>6.0260397419508695E+19</c:v>
                </c:pt>
                <c:pt idx="43">
                  <c:v>6.0405832074996777E+19</c:v>
                </c:pt>
                <c:pt idx="44">
                  <c:v>6.0549376665543246E+19</c:v>
                </c:pt>
                <c:pt idx="45">
                  <c:v>6.0691097057009533E+19</c:v>
                </c:pt>
                <c:pt idx="46">
                  <c:v>6.0831056655242625E+19</c:v>
                </c:pt>
                <c:pt idx="47">
                  <c:v>6.0969316483249766E+19</c:v>
                </c:pt>
                <c:pt idx="48">
                  <c:v>6.1105935256113381E+19</c:v>
                </c:pt>
                <c:pt idx="49">
                  <c:v>6.1240969453713359E+19</c:v>
                </c:pt>
                <c:pt idx="50">
                  <c:v>6.1374473391319024E+19</c:v>
                </c:pt>
                <c:pt idx="51">
                  <c:v>6.1506499288112103E+19</c:v>
                </c:pt>
                <c:pt idx="52">
                  <c:v>6.1637097333701181E+19</c:v>
                </c:pt>
                <c:pt idx="53">
                  <c:v>6.1766315752685601E+19</c:v>
                </c:pt>
                <c:pt idx="54">
                  <c:v>6.1894200867322692E+19</c:v>
                </c:pt>
                <c:pt idx="55">
                  <c:v>6.202079715835809E+19</c:v>
                </c:pt>
                <c:pt idx="56">
                  <c:v>6.2146147324065317E+19</c:v>
                </c:pt>
                <c:pt idx="57">
                  <c:v>6.2270292337553637E+19</c:v>
                </c:pt>
                <c:pt idx="58">
                  <c:v>6.2393271502388298E+19</c:v>
                </c:pt>
                <c:pt idx="59">
                  <c:v>6.2515122506572857E+19</c:v>
                </c:pt>
                <c:pt idx="60">
                  <c:v>6.2635881474945417E+19</c:v>
                </c:pt>
                <c:pt idx="61">
                  <c:v>6.2755583020027838E+19</c:v>
                </c:pt>
                <c:pt idx="62">
                  <c:v>6.2874260291376677E+19</c:v>
                </c:pt>
                <c:pt idx="63">
                  <c:v>6.2991945023478071E+19</c:v>
                </c:pt>
                <c:pt idx="64">
                  <c:v>6.31086675822283E+19</c:v>
                </c:pt>
                <c:pt idx="65">
                  <c:v>6.3224457010041094E+19</c:v>
                </c:pt>
                <c:pt idx="66">
                  <c:v>6.3339341069620576E+19</c:v>
                </c:pt>
                <c:pt idx="67">
                  <c:v>6.3453346286439268E+19</c:v>
                </c:pt>
                <c:pt idx="68">
                  <c:v>6.3566497989957255E+19</c:v>
                </c:pt>
                <c:pt idx="69">
                  <c:v>6.3678820353619722E+19</c:v>
                </c:pt>
                <c:pt idx="70">
                  <c:v>6.3790336433669243E+19</c:v>
                </c:pt>
                <c:pt idx="71">
                  <c:v>6.3901068206801617E+19</c:v>
                </c:pt>
                <c:pt idx="72">
                  <c:v>6.401103660670727E+19</c:v>
                </c:pt>
                <c:pt idx="73">
                  <c:v>6.4120261559521116E+19</c:v>
                </c:pt>
                <c:pt idx="74">
                  <c:v>6.4228762018219983E+19</c:v>
                </c:pt>
                <c:pt idx="75">
                  <c:v>6.4336555995992261E+19</c:v>
                </c:pt>
                <c:pt idx="76">
                  <c:v>6.4443660598611837E+19</c:v>
                </c:pt>
                <c:pt idx="77">
                  <c:v>6.4550092055847502E+19</c:v>
                </c:pt>
                <c:pt idx="78">
                  <c:v>6.4655865751927521E+19</c:v>
                </c:pt>
                <c:pt idx="79">
                  <c:v>6.4760996255098995E+19</c:v>
                </c:pt>
                <c:pt idx="80">
                  <c:v>6.4865497346293498E+19</c:v>
                </c:pt>
                <c:pt idx="81">
                  <c:v>6.4969382046938694E+19</c:v>
                </c:pt>
                <c:pt idx="82">
                  <c:v>6.5072662645929247E+19</c:v>
                </c:pt>
                <c:pt idx="83">
                  <c:v>6.5175350725789811E+19</c:v>
                </c:pt>
                <c:pt idx="84">
                  <c:v>6.5277457188045652E+19</c:v>
                </c:pt>
                <c:pt idx="85">
                  <c:v>6.5378992277832892E+19</c:v>
                </c:pt>
                <c:pt idx="86">
                  <c:v>6.5479965607758135E+19</c:v>
                </c:pt>
                <c:pt idx="87">
                  <c:v>6.5580386181043454E+19</c:v>
                </c:pt>
                <c:pt idx="88">
                  <c:v>6.5680262413963166E+19</c:v>
                </c:pt>
                <c:pt idx="89">
                  <c:v>6.5779602157604831E+19</c:v>
                </c:pt>
                <c:pt idx="90">
                  <c:v>6.5878412718964441E+19</c:v>
                </c:pt>
                <c:pt idx="91">
                  <c:v>6.59767008814022E+19</c:v>
                </c:pt>
                <c:pt idx="92">
                  <c:v>6.607447292447241E+19</c:v>
                </c:pt>
                <c:pt idx="93">
                  <c:v>6.6171734643147309E+19</c:v>
                </c:pt>
                <c:pt idx="94">
                  <c:v>6.6268491366454624E+19</c:v>
                </c:pt>
                <c:pt idx="95">
                  <c:v>6.6364747975539556E+19</c:v>
                </c:pt>
                <c:pt idx="96">
                  <c:v>6.6460508921175769E+19</c:v>
                </c:pt>
                <c:pt idx="97">
                  <c:v>6.6555778240733872E+19</c:v>
                </c:pt>
                <c:pt idx="98">
                  <c:v>6.6650559574629319E+19</c:v>
                </c:pt>
                <c:pt idx="99">
                  <c:v>6.6744856182258336E+19</c:v>
                </c:pt>
                <c:pt idx="100">
                  <c:v>6.6838670957444071E+19</c:v>
                </c:pt>
                <c:pt idx="101">
                  <c:v>6.6932006443399676E+19</c:v>
                </c:pt>
                <c:pt idx="102">
                  <c:v>6.7024864847227978E+19</c:v>
                </c:pt>
                <c:pt idx="103">
                  <c:v>6.7117248053967585E+19</c:v>
                </c:pt>
                <c:pt idx="104">
                  <c:v>6.7209157640200421E+19</c:v>
                </c:pt>
                <c:pt idx="105">
                  <c:v>6.730059488723275E+19</c:v>
                </c:pt>
                <c:pt idx="106">
                  <c:v>6.7391560793861423E+19</c:v>
                </c:pt>
                <c:pt idx="107">
                  <c:v>6.7482056088739217E+19</c:v>
                </c:pt>
                <c:pt idx="108">
                  <c:v>6.7572081242347733E+19</c:v>
                </c:pt>
                <c:pt idx="109">
                  <c:v>6.7661636478593335E+19</c:v>
                </c:pt>
                <c:pt idx="110">
                  <c:v>6.7750721786031768E+19</c:v>
                </c:pt>
                <c:pt idx="111">
                  <c:v>6.7839336928738509E+19</c:v>
                </c:pt>
                <c:pt idx="112">
                  <c:v>6.7927481456829891E+19</c:v>
                </c:pt>
                <c:pt idx="113">
                  <c:v>6.80151547166469E+19</c:v>
                </c:pt>
                <c:pt idx="114">
                  <c:v>6.810235586061176E+19</c:v>
                </c:pt>
                <c:pt idx="115">
                  <c:v>6.81890838567685E+19</c:v>
                </c:pt>
                <c:pt idx="116">
                  <c:v>6.8275337498011599E+19</c:v>
                </c:pt>
                <c:pt idx="117">
                  <c:v>6.8361115411016876E+19</c:v>
                </c:pt>
                <c:pt idx="118">
                  <c:v>6.8446416064881656E+19</c:v>
                </c:pt>
                <c:pt idx="119">
                  <c:v>6.8531237779480871E+19</c:v>
                </c:pt>
                <c:pt idx="120">
                  <c:v>6.8615578733550305E+19</c:v>
                </c:pt>
                <c:pt idx="121">
                  <c:v>6.8699436972502614E+19</c:v>
                </c:pt>
                <c:pt idx="122">
                  <c:v>6.8782810415985099E+19</c:v>
                </c:pt>
                <c:pt idx="123">
                  <c:v>6.8865696865186316E+19</c:v>
                </c:pt>
                <c:pt idx="124">
                  <c:v>6.8948094009898893E+19</c:v>
                </c:pt>
                <c:pt idx="125">
                  <c:v>6.9029999435346018E+19</c:v>
                </c:pt>
                <c:pt idx="126">
                  <c:v>6.9111410628778459E+19</c:v>
                </c:pt>
                <c:pt idx="127">
                  <c:v>6.9192324985846596E+19</c:v>
                </c:pt>
                <c:pt idx="128">
                  <c:v>6.9272739816759853E+19</c:v>
                </c:pt>
                <c:pt idx="129">
                  <c:v>6.9352652352232096E+19</c:v>
                </c:pt>
                <c:pt idx="130">
                  <c:v>6.9432059749225529E+19</c:v>
                </c:pt>
                <c:pt idx="131">
                  <c:v>6.9510959096495669E+19</c:v>
                </c:pt>
                <c:pt idx="132">
                  <c:v>6.9589347419943797E+19</c:v>
                </c:pt>
                <c:pt idx="133">
                  <c:v>6.9667221687784767E+19</c:v>
                </c:pt>
                <c:pt idx="134">
                  <c:v>6.9744578815531057E+19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473984"/>
        <c:axId val="68475904"/>
      </c:scatterChart>
      <c:valAx>
        <c:axId val="68473984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'Pu242'!$B$11</c:f>
              <c:strCache>
                <c:ptCount val="1"/>
                <c:pt idx="0">
                  <c:v>Temps (années)</c:v>
                </c:pt>
              </c:strCache>
            </c:strRef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68475904"/>
        <c:crosses val="autoZero"/>
        <c:crossBetween val="midCat"/>
      </c:valAx>
      <c:valAx>
        <c:axId val="68475904"/>
        <c:scaling>
          <c:orientation val="minMax"/>
          <c:min val="4E+19"/>
        </c:scaling>
        <c:delete val="0"/>
        <c:axPos val="l"/>
        <c:majorGridlines/>
        <c:title>
          <c:tx>
            <c:strRef>
              <c:f>'Pu242'!$B$12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2.6442978102155332E-2"/>
              <c:y val="0.20254602702130078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68473984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'Am241)'!$O$2</c:f>
              <c:strCache>
                <c:ptCount val="1"/>
                <c:pt idx="0">
                  <c:v> Exact Simpl. - Am241</c:v>
                </c:pt>
              </c:strCache>
            </c:strRef>
          </c:tx>
          <c:marker>
            <c:symbol val="none"/>
          </c:marker>
          <c:xVal>
            <c:numRef>
              <c:f>'Am241)'!$N$3:$N$137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'Am241)'!$O$3:$O$137</c:f>
              <c:numCache>
                <c:formatCode>0.0000E+00</c:formatCode>
                <c:ptCount val="135"/>
                <c:pt idx="0">
                  <c:v>3.2520680334545175E+19</c:v>
                </c:pt>
                <c:pt idx="1">
                  <c:v>3.2531438086477447E+19</c:v>
                </c:pt>
                <c:pt idx="2">
                  <c:v>3.2536002227588538E+19</c:v>
                </c:pt>
                <c:pt idx="3">
                  <c:v>3.2534718099636453E+19</c:v>
                </c:pt>
                <c:pt idx="4">
                  <c:v>3.2527917164369732E+19</c:v>
                </c:pt>
                <c:pt idx="5">
                  <c:v>3.2515917484860047E+19</c:v>
                </c:pt>
                <c:pt idx="6">
                  <c:v>3.2499024191312675E+19</c:v>
                </c:pt>
                <c:pt idx="7">
                  <c:v>3.2477529931837759E+19</c:v>
                </c:pt>
                <c:pt idx="8">
                  <c:v>3.245171530864744E+19</c:v>
                </c:pt>
                <c:pt idx="9">
                  <c:v>3.2421849300135911E+19</c:v>
                </c:pt>
                <c:pt idx="10">
                  <c:v>3.2388189669278155E+19</c:v>
                </c:pt>
                <c:pt idx="11">
                  <c:v>3.2350983358775943E+19</c:v>
                </c:pt>
                <c:pt idx="12">
                  <c:v>3.231046687336294E+19</c:v>
                </c:pt>
                <c:pt idx="13">
                  <c:v>3.2266866649670263E+19</c:v>
                </c:pt>
                <c:pt idx="14">
                  <c:v>3.2220399414039675E+19</c:v>
                </c:pt>
                <c:pt idx="15">
                  <c:v>3.2171272528662151E+19</c:v>
                </c:pt>
                <c:pt idx="16">
                  <c:v>3.2119684326404997E+19</c:v>
                </c:pt>
                <c:pt idx="17">
                  <c:v>3.2065824434683339E+19</c:v>
                </c:pt>
                <c:pt idx="18">
                  <c:v>3.2009874088717091E+19</c:v>
                </c:pt>
                <c:pt idx="19">
                  <c:v>3.1952006434506555E+19</c:v>
                </c:pt>
                <c:pt idx="20">
                  <c:v>3.1892386821849555E+19</c:v>
                </c:pt>
                <c:pt idx="21">
                  <c:v>3.1831173087711117E+19</c:v>
                </c:pt>
                <c:pt idx="22">
                  <c:v>3.176851583024989E+19</c:v>
                </c:pt>
                <c:pt idx="23">
                  <c:v>3.1704558673793942E+19</c:v>
                </c:pt>
                <c:pt idx="24">
                  <c:v>3.1639438525051093E+19</c:v>
                </c:pt>
                <c:pt idx="25">
                  <c:v>3.1573285820829344E+19</c:v>
                </c:pt>
                <c:pt idx="26">
                  <c:v>3.1506224767534465E+19</c:v>
                </c:pt>
                <c:pt idx="27">
                  <c:v>3.1438373572704698E+19</c:v>
                </c:pt>
                <c:pt idx="28">
                  <c:v>3.1369844668833554E+19</c:v>
                </c:pt>
                <c:pt idx="29">
                  <c:v>3.1300744929723171E+19</c:v>
                </c:pt>
                <c:pt idx="30">
                  <c:v>3.1231175879606321E+19</c:v>
                </c:pt>
                <c:pt idx="31">
                  <c:v>3.1161233895263445E+19</c:v>
                </c:pt>
                <c:pt idx="32">
                  <c:v>3.1091010401358766E+19</c:v>
                </c:pt>
                <c:pt idx="33">
                  <c:v>3.1020592059208393E+19</c:v>
                </c:pt>
                <c:pt idx="34">
                  <c:v>3.0950060949190124E+19</c:v>
                </c:pt>
                <c:pt idx="35">
                  <c:v>3.0879494746996228E+19</c:v>
                </c:pt>
                <c:pt idx="36">
                  <c:v>3.0808966893925032E+19</c:v>
                </c:pt>
                <c:pt idx="37">
                  <c:v>3.07385467614005E+19</c:v>
                </c:pt>
                <c:pt idx="38">
                  <c:v>3.0668299809904476E+19</c:v>
                </c:pt>
                <c:pt idx="39">
                  <c:v>3.0598287742499062E+19</c:v>
                </c:pt>
                <c:pt idx="40">
                  <c:v>3.0528568653111886E+19</c:v>
                </c:pt>
                <c:pt idx="41">
                  <c:v>3.0459197169751212E+19</c:v>
                </c:pt>
                <c:pt idx="42">
                  <c:v>3.0390224592814137E+19</c:v>
                </c:pt>
                <c:pt idx="43">
                  <c:v>3.0321699028643447E+19</c:v>
                </c:pt>
                <c:pt idx="44">
                  <c:v>3.0253665518486462E+19</c:v>
                </c:pt>
                <c:pt idx="45">
                  <c:v>3.0186166163003269E+19</c:v>
                </c:pt>
                <c:pt idx="46">
                  <c:v>3.0119240242466505E+19</c:v>
                </c:pt>
                <c:pt idx="47">
                  <c:v>3.0052924332792742E+19</c:v>
                </c:pt>
                <c:pt idx="48">
                  <c:v>2.998725241753763E+19</c:v>
                </c:pt>
                <c:pt idx="49">
                  <c:v>2.9922255995987214E+19</c:v>
                </c:pt>
                <c:pt idx="50">
                  <c:v>2.9857964187469378E+19</c:v>
                </c:pt>
                <c:pt idx="51">
                  <c:v>2.9794403832009032E+19</c:v>
                </c:pt>
                <c:pt idx="52">
                  <c:v>2.9731599587444216E+19</c:v>
                </c:pt>
                <c:pt idx="53">
                  <c:v>2.9669574023118959E+19</c:v>
                </c:pt>
                <c:pt idx="54">
                  <c:v>2.9608347710262706E+19</c:v>
                </c:pt>
                <c:pt idx="55">
                  <c:v>2.9547939309164913E+19</c:v>
                </c:pt>
                <c:pt idx="56">
                  <c:v>2.9488365653248762E+19</c:v>
                </c:pt>
                <c:pt idx="57">
                  <c:v>2.9429641830144369E+19</c:v>
                </c:pt>
                <c:pt idx="58">
                  <c:v>2.9371781259860771E+19</c:v>
                </c:pt>
                <c:pt idx="59">
                  <c:v>2.9314795770150035E+19</c:v>
                </c:pt>
                <c:pt idx="60">
                  <c:v>2.9258695669155955E+19</c:v>
                </c:pt>
                <c:pt idx="61">
                  <c:v>2.9203489815436616E+19</c:v>
                </c:pt>
                <c:pt idx="62">
                  <c:v>2.9149185685446435E+19</c:v>
                </c:pt>
                <c:pt idx="63">
                  <c:v>2.9095789438561493E+19</c:v>
                </c:pt>
                <c:pt idx="64">
                  <c:v>2.9043305979728634E+19</c:v>
                </c:pt>
                <c:pt idx="65">
                  <c:v>2.8991739019817591E+19</c:v>
                </c:pt>
                <c:pt idx="66">
                  <c:v>2.8941091133750616E+19</c:v>
                </c:pt>
                <c:pt idx="67">
                  <c:v>2.889136381648461E+19</c:v>
                </c:pt>
                <c:pt idx="68">
                  <c:v>2.8842557536915423E+19</c:v>
                </c:pt>
                <c:pt idx="69">
                  <c:v>2.8794671789774832E+19</c:v>
                </c:pt>
                <c:pt idx="70">
                  <c:v>2.874770514558532E+19</c:v>
                </c:pt>
                <c:pt idx="71">
                  <c:v>2.8701655298738782E+19</c:v>
                </c:pt>
                <c:pt idx="72">
                  <c:v>2.8656519113760899E+19</c:v>
                </c:pt>
                <c:pt idx="73">
                  <c:v>2.8612292669822075E+19</c:v>
                </c:pt>
                <c:pt idx="74">
                  <c:v>2.8568971303553679E+19</c:v>
                </c:pt>
                <c:pt idx="75">
                  <c:v>2.8526549650226364E+19</c:v>
                </c:pt>
                <c:pt idx="76">
                  <c:v>2.8485021683345863E+19</c:v>
                </c:pt>
                <c:pt idx="77">
                  <c:v>2.8444380752718889E+19</c:v>
                </c:pt>
                <c:pt idx="78">
                  <c:v>2.8404619621041807E+19</c:v>
                </c:pt>
                <c:pt idx="79">
                  <c:v>2.8365730499060859E+19</c:v>
                </c:pt>
                <c:pt idx="80">
                  <c:v>2.8327705079353524E+19</c:v>
                </c:pt>
                <c:pt idx="81">
                  <c:v>2.8290534568776901E+19</c:v>
                </c:pt>
                <c:pt idx="82">
                  <c:v>2.8254209719629087E+19</c:v>
                </c:pt>
                <c:pt idx="83">
                  <c:v>2.8218720859567358E+19</c:v>
                </c:pt>
                <c:pt idx="84">
                  <c:v>2.8184057920325493E+19</c:v>
                </c:pt>
                <c:pt idx="85">
                  <c:v>2.8150210465271538E+19</c:v>
                </c:pt>
                <c:pt idx="86">
                  <c:v>2.8117167715845951E+19</c:v>
                </c:pt>
                <c:pt idx="87">
                  <c:v>2.8084918576918413E+19</c:v>
                </c:pt>
                <c:pt idx="88">
                  <c:v>2.8053451661101142E+19</c:v>
                </c:pt>
                <c:pt idx="89">
                  <c:v>2.8022755312054051E+19</c:v>
                </c:pt>
                <c:pt idx="90">
                  <c:v>2.7992817626817683E+19</c:v>
                </c:pt>
                <c:pt idx="91">
                  <c:v>2.7963626477207003E+19</c:v>
                </c:pt>
                <c:pt idx="92">
                  <c:v>2.7935169530299236E+19</c:v>
                </c:pt>
                <c:pt idx="93">
                  <c:v>2.7907434268047266E+19</c:v>
                </c:pt>
                <c:pt idx="94">
                  <c:v>2.7880408006049378E+19</c:v>
                </c:pt>
                <c:pt idx="95">
                  <c:v>2.7854077911504904E+19</c:v>
                </c:pt>
                <c:pt idx="96">
                  <c:v>2.7828431020384694E+19</c:v>
                </c:pt>
                <c:pt idx="97">
                  <c:v>2.7803454253844066E+19</c:v>
                </c:pt>
                <c:pt idx="98">
                  <c:v>2.7779134433905164E+19</c:v>
                </c:pt>
                <c:pt idx="99">
                  <c:v>2.7755458298434707E+19</c:v>
                </c:pt>
                <c:pt idx="100">
                  <c:v>2.7732412515442426E+19</c:v>
                </c:pt>
                <c:pt idx="101">
                  <c:v>2.7709983696724394E+19</c:v>
                </c:pt>
                <c:pt idx="102">
                  <c:v>2.7688158410874962E+19</c:v>
                </c:pt>
                <c:pt idx="103">
                  <c:v>2.7666923195689878E+19</c:v>
                </c:pt>
                <c:pt idx="104">
                  <c:v>2.7646264569982939E+19</c:v>
                </c:pt>
                <c:pt idx="105">
                  <c:v>2.7626169044837147E+19</c:v>
                </c:pt>
                <c:pt idx="106">
                  <c:v>2.7606623134311199E+19</c:v>
                </c:pt>
                <c:pt idx="107">
                  <c:v>2.7587613365621391E+19</c:v>
                </c:pt>
                <c:pt idx="108">
                  <c:v>2.7569126288817783E+19</c:v>
                </c:pt>
                <c:pt idx="109">
                  <c:v>2.7551148485973688E+19</c:v>
                </c:pt>
                <c:pt idx="110">
                  <c:v>2.7533666579906404E+19</c:v>
                </c:pt>
                <c:pt idx="111">
                  <c:v>2.7516667242446529E+19</c:v>
                </c:pt>
                <c:pt idx="112">
                  <c:v>2.7500137202272711E+19</c:v>
                </c:pt>
                <c:pt idx="113">
                  <c:v>2.7484063252328317E+19</c:v>
                </c:pt>
                <c:pt idx="114">
                  <c:v>2.7468432256835736E+19</c:v>
                </c:pt>
                <c:pt idx="115">
                  <c:v>2.7453231157923131E+19</c:v>
                </c:pt>
                <c:pt idx="116">
                  <c:v>2.7438446981879136E+19</c:v>
                </c:pt>
                <c:pt idx="117">
                  <c:v>2.7424066845048938E+19</c:v>
                </c:pt>
                <c:pt idx="118">
                  <c:v>2.7410077959386149E+19</c:v>
                </c:pt>
                <c:pt idx="119">
                  <c:v>2.7396467637673103E+19</c:v>
                </c:pt>
                <c:pt idx="120">
                  <c:v>2.7383223298423202E+19</c:v>
                </c:pt>
                <c:pt idx="121">
                  <c:v>2.7370332470476947E+19</c:v>
                </c:pt>
                <c:pt idx="122">
                  <c:v>2.7357782797304185E+19</c:v>
                </c:pt>
                <c:pt idx="123">
                  <c:v>2.734556204102393E+19</c:v>
                </c:pt>
                <c:pt idx="124">
                  <c:v>2.7333658086152905E+19</c:v>
                </c:pt>
                <c:pt idx="125">
                  <c:v>2.7322058943093834E+19</c:v>
                </c:pt>
                <c:pt idx="126">
                  <c:v>2.7310752751373668E+19</c:v>
                </c:pt>
                <c:pt idx="127">
                  <c:v>2.729972778264209E+19</c:v>
                </c:pt>
                <c:pt idx="128">
                  <c:v>2.7288972443439608E+19</c:v>
                </c:pt>
                <c:pt idx="129">
                  <c:v>2.7278475277745439E+19</c:v>
                </c:pt>
                <c:pt idx="130">
                  <c:v>2.7268224969313133E+19</c:v>
                </c:pt>
                <c:pt idx="131">
                  <c:v>2.7258210343803888E+19</c:v>
                </c:pt>
                <c:pt idx="132">
                  <c:v>2.7248420370725061E+19</c:v>
                </c:pt>
                <c:pt idx="133">
                  <c:v>2.7238844165182804E+19</c:v>
                </c:pt>
                <c:pt idx="134">
                  <c:v>2.7229470989455905E+19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'Am241)'!$M$2</c:f>
              <c:strCache>
                <c:ptCount val="1"/>
                <c:pt idx="0">
                  <c:v>O5 - Am241</c:v>
                </c:pt>
              </c:strCache>
            </c:strRef>
          </c:tx>
          <c:marker>
            <c:symbol val="none"/>
          </c:marker>
          <c:xVal>
            <c:numRef>
              <c:f>'Am241)'!$L$3:$L$123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'Am241)'!$M$3:$M$116</c:f>
              <c:numCache>
                <c:formatCode>0.0000E+00</c:formatCode>
                <c:ptCount val="114"/>
                <c:pt idx="0">
                  <c:v>3.2520680334545068E+19</c:v>
                </c:pt>
                <c:pt idx="1">
                  <c:v>3.2531438086500602E+19</c:v>
                </c:pt>
                <c:pt idx="2">
                  <c:v>3.2536002229100179E+19</c:v>
                </c:pt>
                <c:pt idx="3">
                  <c:v>3.2534718116800365E+19</c:v>
                </c:pt>
                <c:pt idx="4">
                  <c:v>3.2527917260325671E+19</c:v>
                </c:pt>
                <c:pt idx="5">
                  <c:v>3.2515917849021063E+19</c:v>
                </c:pt>
                <c:pt idx="6">
                  <c:v>3.2499025273204437E+19</c:v>
                </c:pt>
                <c:pt idx="7">
                  <c:v>3.2477532646519136E+19</c:v>
                </c:pt>
                <c:pt idx="8">
                  <c:v>3.2451721328286433E+19</c:v>
                </c:pt>
                <c:pt idx="9">
                  <c:v>3.2421861445858046E+19</c:v>
                </c:pt>
                <c:pt idx="10">
                  <c:v>3.238821241696861E+19</c:v>
                </c:pt>
                <c:pt idx="11">
                  <c:v>3.2351023472088191E+19</c:v>
                </c:pt>
                <c:pt idx="12">
                  <c:v>3.2310534176774779E+19</c:v>
                </c:pt>
                <c:pt idx="13">
                  <c:v>3.2266931951070454E+19</c:v>
                </c:pt>
                <c:pt idx="14">
                  <c:v>3.2220462806552199E+19</c:v>
                </c:pt>
                <c:pt idx="15">
                  <c:v>3.2171334118576828E+19</c:v>
                </c:pt>
                <c:pt idx="16">
                  <c:v>3.2119744258704642E+19</c:v>
                </c:pt>
                <c:pt idx="17">
                  <c:v>3.206588294657373E+19</c:v>
                </c:pt>
                <c:pt idx="18">
                  <c:v>3.2009931601774174E+19</c:v>
                </c:pt>
                <c:pt idx="19">
                  <c:v>3.195206369572234E+19</c:v>
                </c:pt>
                <c:pt idx="20">
                  <c:v>3.189244510353517E+19</c:v>
                </c:pt>
                <c:pt idx="21">
                  <c:v>3.1831234455904383E+19</c:v>
                </c:pt>
                <c:pt idx="22">
                  <c:v>3.176858349097078E+19</c:v>
                </c:pt>
                <c:pt idx="23">
                  <c:v>3.1704637406198501E+19</c:v>
                </c:pt>
                <c:pt idx="24">
                  <c:v>3.1639535210249282E+19</c:v>
                </c:pt>
                <c:pt idx="25">
                  <c:v>3.1573380656958255E+19</c:v>
                </c:pt>
                <c:pt idx="26">
                  <c:v>3.150631800119543E+19</c:v>
                </c:pt>
                <c:pt idx="27">
                  <c:v>3.1438465469479817E+19</c:v>
                </c:pt>
                <c:pt idx="28">
                  <c:v>3.1369935530901938E+19</c:v>
                </c:pt>
                <c:pt idx="29">
                  <c:v>3.1300835132535149E+19</c:v>
                </c:pt>
                <c:pt idx="30">
                  <c:v>3.1231265934846951E+19</c:v>
                </c:pt>
                <c:pt idx="31">
                  <c:v>3.1161324547110334E+19</c:v>
                </c:pt>
                <c:pt idx="32">
                  <c:v>3.1091102762815099E+19</c:v>
                </c:pt>
                <c:pt idx="33">
                  <c:v>3.1020687795079184E+19</c:v>
                </c:pt>
                <c:pt idx="34">
                  <c:v>3.0950162512059998E+19</c:v>
                </c:pt>
                <c:pt idx="35">
                  <c:v>3.0879605672365724E+19</c:v>
                </c:pt>
                <c:pt idx="36">
                  <c:v>3.0809092160466678E+19</c:v>
                </c:pt>
                <c:pt idx="37">
                  <c:v>3.0738673164120076E+19</c:v>
                </c:pt>
                <c:pt idx="38">
                  <c:v>3.0668427828409905E+19</c:v>
                </c:pt>
                <c:pt idx="39">
                  <c:v>3.0598417880107106E+19</c:v>
                </c:pt>
                <c:pt idx="40">
                  <c:v>3.0528701448736838E+19</c:v>
                </c:pt>
                <c:pt idx="41">
                  <c:v>3.0459333222714343E+19</c:v>
                </c:pt>
                <c:pt idx="42">
                  <c:v>3.0390364605480862E+19</c:v>
                </c:pt>
                <c:pt idx="43">
                  <c:v>3.0321843871639638E+19</c:v>
                </c:pt>
                <c:pt idx="44">
                  <c:v>3.0253816323091755E+19</c:v>
                </c:pt>
                <c:pt idx="45">
                  <c:v>3.0186324445172134E+19</c:v>
                </c:pt>
                <c:pt idx="46">
                  <c:v>3.0119408062785434E+19</c:v>
                </c:pt>
                <c:pt idx="47">
                  <c:v>3.0053104496541983E+19</c:v>
                </c:pt>
                <c:pt idx="48">
                  <c:v>2.9987448718893703E+19</c:v>
                </c:pt>
                <c:pt idx="49">
                  <c:v>2.9922459889353515E+19</c:v>
                </c:pt>
                <c:pt idx="50">
                  <c:v>2.9858176432813711E+19</c:v>
                </c:pt>
                <c:pt idx="51">
                  <c:v>2.9794625214403756E+19</c:v>
                </c:pt>
                <c:pt idx="52">
                  <c:v>2.9731830924882604E+19</c:v>
                </c:pt>
                <c:pt idx="53">
                  <c:v>2.9669816183050772E+19</c:v>
                </c:pt>
                <c:pt idx="54">
                  <c:v>2.9608601638162412E+19</c:v>
                </c:pt>
                <c:pt idx="55">
                  <c:v>2.9548206072337441E+19</c:v>
                </c:pt>
                <c:pt idx="56">
                  <c:v>2.9488646502973608E+19</c:v>
                </c:pt>
                <c:pt idx="57">
                  <c:v>2.9429938285158572E+19</c:v>
                </c:pt>
                <c:pt idx="58">
                  <c:v>2.9372095214082015E+19</c:v>
                </c:pt>
                <c:pt idx="59">
                  <c:v>2.9315129627447718E+19</c:v>
                </c:pt>
                <c:pt idx="60">
                  <c:v>2.9259052507885666E+19</c:v>
                </c:pt>
                <c:pt idx="61">
                  <c:v>2.9203864381665047E+19</c:v>
                </c:pt>
                <c:pt idx="62">
                  <c:v>2.9149579022299845E+19</c:v>
                </c:pt>
                <c:pt idx="63">
                  <c:v>2.9096202612237042E+19</c:v>
                </c:pt>
                <c:pt idx="64">
                  <c:v>2.9043740084474556E+19</c:v>
                </c:pt>
                <c:pt idx="65">
                  <c:v>2.8992195188764041E+19</c:v>
                </c:pt>
                <c:pt idx="66">
                  <c:v>2.8941570557813686E+19</c:v>
                </c:pt>
                <c:pt idx="67">
                  <c:v>2.8891867773491024E+19</c:v>
                </c:pt>
                <c:pt idx="68">
                  <c:v>2.8843087433025741E+19</c:v>
                </c:pt>
                <c:pt idx="69">
                  <c:v>2.8795229215212483E+19</c:v>
                </c:pt>
                <c:pt idx="70">
                  <c:v>2.8748291946613641E+19</c:v>
                </c:pt>
                <c:pt idx="71">
                  <c:v>2.8702273667762192E+19</c:v>
                </c:pt>
                <c:pt idx="72">
                  <c:v>2.8657171699364463E+19</c:v>
                </c:pt>
                <c:pt idx="73">
                  <c:v>2.8612976527908012E+19</c:v>
                </c:pt>
                <c:pt idx="74">
                  <c:v>2.8569687724351353E+19</c:v>
                </c:pt>
                <c:pt idx="75">
                  <c:v>2.8527299942410707E+19</c:v>
                </c:pt>
                <c:pt idx="76">
                  <c:v>2.8485807177089118E+19</c:v>
                </c:pt>
                <c:pt idx="77">
                  <c:v>2.8445202806640751E+19</c:v>
                </c:pt>
                <c:pt idx="78">
                  <c:v>2.8405479634535158E+19</c:v>
                </c:pt>
                <c:pt idx="79">
                  <c:v>2.8366629931421598E+19</c:v>
                </c:pt>
                <c:pt idx="80">
                  <c:v>2.8328645477093319E+19</c:v>
                </c:pt>
                <c:pt idx="81">
                  <c:v>2.8291517602451825E+19</c:v>
                </c:pt>
                <c:pt idx="82">
                  <c:v>2.8255237231471215E+19</c:v>
                </c:pt>
                <c:pt idx="83">
                  <c:v>2.8219794923162419E+19</c:v>
                </c:pt>
                <c:pt idx="84">
                  <c:v>2.8185180913537544E+19</c:v>
                </c:pt>
                <c:pt idx="85">
                  <c:v>2.8151381039278285E+19</c:v>
                </c:pt>
                <c:pt idx="86">
                  <c:v>2.8118387345578435E+19</c:v>
                </c:pt>
                <c:pt idx="87">
                  <c:v>2.8086188749629649E+19</c:v>
                </c:pt>
                <c:pt idx="88">
                  <c:v>2.8054773878144205E+19</c:v>
                </c:pt>
                <c:pt idx="89">
                  <c:v>2.8024131093233676E+19</c:v>
                </c:pt>
                <c:pt idx="90">
                  <c:v>2.7994248518287573E+19</c:v>
                </c:pt>
                <c:pt idx="91">
                  <c:v>2.7965114063851999E+19</c:v>
                </c:pt>
                <c:pt idx="92">
                  <c:v>2.7936715453508301E+19</c:v>
                </c:pt>
                <c:pt idx="93">
                  <c:v>2.7909040249751736E+19</c:v>
                </c:pt>
                <c:pt idx="94">
                  <c:v>2.788207587987012E+19</c:v>
                </c:pt>
                <c:pt idx="95">
                  <c:v>2.7855809661822476E+19</c:v>
                </c:pt>
                <c:pt idx="96">
                  <c:v>2.7830228830117704E+19</c:v>
                </c:pt>
                <c:pt idx="97">
                  <c:v>2.780531784469479E+19</c:v>
                </c:pt>
                <c:pt idx="98">
                  <c:v>2.7781065390016774E+19</c:v>
                </c:pt>
                <c:pt idx="99">
                  <c:v>2.7757458209656992E+19</c:v>
                </c:pt>
                <c:pt idx="100">
                  <c:v>2.7734482978298253E+19</c:v>
                </c:pt>
                <c:pt idx="101">
                  <c:v>2.7712126317054501E+19</c:v>
                </c:pt>
                <c:pt idx="102">
                  <c:v>2.7690374808792449E+19</c:v>
                </c:pt>
                <c:pt idx="103">
                  <c:v>2.7669215013453222E+19</c:v>
                </c:pt>
                <c:pt idx="104">
                  <c:v>2.7648633483373974E+19</c:v>
                </c:pt>
                <c:pt idx="105">
                  <c:v>2.7628616778609574E+19</c:v>
                </c:pt>
                <c:pt idx="106">
                  <c:v>2.7609151482254205E+19</c:v>
                </c:pt>
                <c:pt idx="107">
                  <c:v>2.759022421576301E+19</c:v>
                </c:pt>
                <c:pt idx="108">
                  <c:v>2.7571821654273769E+19</c:v>
                </c:pt>
                <c:pt idx="109">
                  <c:v>2.755392877245064E+19</c:v>
                </c:pt>
                <c:pt idx="110">
                  <c:v>2.7536533403336753E+19</c:v>
                </c:pt>
                <c:pt idx="111">
                  <c:v>2.7519622218138608E+19</c:v>
                </c:pt>
                <c:pt idx="112">
                  <c:v>2.7503181945383694E+19</c:v>
                </c:pt>
                <c:pt idx="113">
                  <c:v>2.748719937941409E+19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'Am241)'!$Q$2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'Am241)'!$P$3:$P$52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'Am241)'!$Q$3:$Q$52</c:f>
              <c:numCache>
                <c:formatCode>0.0000E+00</c:formatCode>
                <c:ptCount val="50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'Am241)'!$S$2</c:f>
              <c:strCache>
                <c:ptCount val="1"/>
                <c:pt idx="0">
                  <c:v>VESTA - Am241 </c:v>
                </c:pt>
              </c:strCache>
            </c:strRef>
          </c:tx>
          <c:marker>
            <c:symbol val="none"/>
          </c:marker>
          <c:xVal>
            <c:numRef>
              <c:f>'Am241)'!$R$3:$R$10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'Am241)'!$S$3:$S$9</c:f>
              <c:numCache>
                <c:formatCode>0.0000E+00</c:formatCode>
                <c:ptCount val="7"/>
                <c:pt idx="0">
                  <c:v>3.2520680334545068E+19</c:v>
                </c:pt>
                <c:pt idx="1">
                  <c:v>3.2520680334545068E+19</c:v>
                </c:pt>
                <c:pt idx="2">
                  <c:v>3.2494808671589978E+19</c:v>
                </c:pt>
                <c:pt idx="3">
                  <c:v>3.2305083143252664E+19</c:v>
                </c:pt>
                <c:pt idx="4">
                  <c:v>3.1761778221195825E+19</c:v>
                </c:pt>
                <c:pt idx="5">
                  <c:v>2.9916266263732916E+19</c:v>
                </c:pt>
                <c:pt idx="6">
                  <c:v>2.9269474689855726E+19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'Am241)'!$K$2</c:f>
              <c:strCache>
                <c:ptCount val="1"/>
                <c:pt idx="0">
                  <c:v>RK1 - Am241</c:v>
                </c:pt>
              </c:strCache>
            </c:strRef>
          </c:tx>
          <c:marker>
            <c:symbol val="none"/>
          </c:marker>
          <c:xVal>
            <c:numRef>
              <c:f>'Am241)'!$J$3:$J$137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'Am241)'!$K$3:$K$137</c:f>
              <c:numCache>
                <c:formatCode>0.0000E+00</c:formatCode>
                <c:ptCount val="135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164992"/>
        <c:axId val="68183168"/>
      </c:scatterChart>
      <c:valAx>
        <c:axId val="68164992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68183168"/>
        <c:crosses val="autoZero"/>
        <c:crossBetween val="midCat"/>
      </c:valAx>
      <c:valAx>
        <c:axId val="68183168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681649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464640"/>
        <c:axId val="68466176"/>
      </c:scatterChart>
      <c:valAx>
        <c:axId val="6846464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68466176"/>
        <c:crosses val="autoZero"/>
        <c:crossBetween val="midCat"/>
      </c:valAx>
      <c:valAx>
        <c:axId val="68466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4646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821376"/>
        <c:axId val="68822912"/>
      </c:scatterChart>
      <c:valAx>
        <c:axId val="6882137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68822912"/>
        <c:crosses val="autoZero"/>
        <c:crossBetween val="midCat"/>
      </c:valAx>
      <c:valAx>
        <c:axId val="68822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213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858624"/>
        <c:axId val="68860160"/>
      </c:scatterChart>
      <c:valAx>
        <c:axId val="6885862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68860160"/>
        <c:crosses val="autoZero"/>
        <c:crossBetween val="midCat"/>
      </c:valAx>
      <c:valAx>
        <c:axId val="68860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586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'Am241)'!$B$10</c:f>
          <c:strCache>
            <c:ptCount val="1"/>
            <c:pt idx="0">
              <c:v>Comparaison des modèles pour le Am241</c:v>
            </c:pt>
          </c:strCache>
        </c:strRef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'Am241)'!$S$2</c:f>
              <c:strCache>
                <c:ptCount val="1"/>
                <c:pt idx="0">
                  <c:v>VESTA - Am241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'Am241)'!$R$3:$R$10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'Am241)'!$S$3:$S$9</c:f>
              <c:numCache>
                <c:formatCode>0.0000E+00</c:formatCode>
                <c:ptCount val="7"/>
                <c:pt idx="0">
                  <c:v>3.2520680334545068E+19</c:v>
                </c:pt>
                <c:pt idx="1">
                  <c:v>3.2520680334545068E+19</c:v>
                </c:pt>
                <c:pt idx="2">
                  <c:v>3.2494808671589978E+19</c:v>
                </c:pt>
                <c:pt idx="3">
                  <c:v>3.2305083143252664E+19</c:v>
                </c:pt>
                <c:pt idx="4">
                  <c:v>3.1761778221195825E+19</c:v>
                </c:pt>
                <c:pt idx="5">
                  <c:v>2.9916266263732916E+19</c:v>
                </c:pt>
                <c:pt idx="6">
                  <c:v>2.9269474689855726E+19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'Am241)'!$Q$2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'Am241)'!$P$3:$P$511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'Am241)'!$Q$3:$Q$52</c:f>
              <c:numCache>
                <c:formatCode>0.0000E+00</c:formatCode>
                <c:ptCount val="50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'Am241)'!$K$2</c:f>
              <c:strCache>
                <c:ptCount val="1"/>
                <c:pt idx="0">
                  <c:v>RK1 - Am241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'Am241)'!$J$3:$J$137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'Am241)'!$K$3:$K$137</c:f>
              <c:numCache>
                <c:formatCode>0.0000E+00</c:formatCode>
                <c:ptCount val="135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'Am241)'!$M$2</c:f>
              <c:strCache>
                <c:ptCount val="1"/>
                <c:pt idx="0">
                  <c:v>O5 - Am241</c:v>
                </c:pt>
              </c:strCache>
            </c:strRef>
          </c:tx>
          <c:marker>
            <c:symbol val="none"/>
          </c:marker>
          <c:xVal>
            <c:numRef>
              <c:f>'Am241)'!$L$3:$L$123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'Am241)'!$M$3:$M$116</c:f>
              <c:numCache>
                <c:formatCode>0.0000E+00</c:formatCode>
                <c:ptCount val="114"/>
                <c:pt idx="0">
                  <c:v>3.2520680334545068E+19</c:v>
                </c:pt>
                <c:pt idx="1">
                  <c:v>3.2531438086500602E+19</c:v>
                </c:pt>
                <c:pt idx="2">
                  <c:v>3.2536002229100179E+19</c:v>
                </c:pt>
                <c:pt idx="3">
                  <c:v>3.2534718116800365E+19</c:v>
                </c:pt>
                <c:pt idx="4">
                  <c:v>3.2527917260325671E+19</c:v>
                </c:pt>
                <c:pt idx="5">
                  <c:v>3.2515917849021063E+19</c:v>
                </c:pt>
                <c:pt idx="6">
                  <c:v>3.2499025273204437E+19</c:v>
                </c:pt>
                <c:pt idx="7">
                  <c:v>3.2477532646519136E+19</c:v>
                </c:pt>
                <c:pt idx="8">
                  <c:v>3.2451721328286433E+19</c:v>
                </c:pt>
                <c:pt idx="9">
                  <c:v>3.2421861445858046E+19</c:v>
                </c:pt>
                <c:pt idx="10">
                  <c:v>3.238821241696861E+19</c:v>
                </c:pt>
                <c:pt idx="11">
                  <c:v>3.2351023472088191E+19</c:v>
                </c:pt>
                <c:pt idx="12">
                  <c:v>3.2310534176774779E+19</c:v>
                </c:pt>
                <c:pt idx="13">
                  <c:v>3.2266931951070454E+19</c:v>
                </c:pt>
                <c:pt idx="14">
                  <c:v>3.2220462806552199E+19</c:v>
                </c:pt>
                <c:pt idx="15">
                  <c:v>3.2171334118576828E+19</c:v>
                </c:pt>
                <c:pt idx="16">
                  <c:v>3.2119744258704642E+19</c:v>
                </c:pt>
                <c:pt idx="17">
                  <c:v>3.206588294657373E+19</c:v>
                </c:pt>
                <c:pt idx="18">
                  <c:v>3.2009931601774174E+19</c:v>
                </c:pt>
                <c:pt idx="19">
                  <c:v>3.195206369572234E+19</c:v>
                </c:pt>
                <c:pt idx="20">
                  <c:v>3.189244510353517E+19</c:v>
                </c:pt>
                <c:pt idx="21">
                  <c:v>3.1831234455904383E+19</c:v>
                </c:pt>
                <c:pt idx="22">
                  <c:v>3.176858349097078E+19</c:v>
                </c:pt>
                <c:pt idx="23">
                  <c:v>3.1704637406198501E+19</c:v>
                </c:pt>
                <c:pt idx="24">
                  <c:v>3.1639535210249282E+19</c:v>
                </c:pt>
                <c:pt idx="25">
                  <c:v>3.1573380656958255E+19</c:v>
                </c:pt>
                <c:pt idx="26">
                  <c:v>3.150631800119543E+19</c:v>
                </c:pt>
                <c:pt idx="27">
                  <c:v>3.1438465469479817E+19</c:v>
                </c:pt>
                <c:pt idx="28">
                  <c:v>3.1369935530901938E+19</c:v>
                </c:pt>
                <c:pt idx="29">
                  <c:v>3.1300835132535149E+19</c:v>
                </c:pt>
                <c:pt idx="30">
                  <c:v>3.1231265934846951E+19</c:v>
                </c:pt>
                <c:pt idx="31">
                  <c:v>3.1161324547110334E+19</c:v>
                </c:pt>
                <c:pt idx="32">
                  <c:v>3.1091102762815099E+19</c:v>
                </c:pt>
                <c:pt idx="33">
                  <c:v>3.1020687795079184E+19</c:v>
                </c:pt>
                <c:pt idx="34">
                  <c:v>3.0950162512059998E+19</c:v>
                </c:pt>
                <c:pt idx="35">
                  <c:v>3.0879605672365724E+19</c:v>
                </c:pt>
                <c:pt idx="36">
                  <c:v>3.0809092160466678E+19</c:v>
                </c:pt>
                <c:pt idx="37">
                  <c:v>3.0738673164120076E+19</c:v>
                </c:pt>
                <c:pt idx="38">
                  <c:v>3.0668427828409905E+19</c:v>
                </c:pt>
                <c:pt idx="39">
                  <c:v>3.0598417880107106E+19</c:v>
                </c:pt>
                <c:pt idx="40">
                  <c:v>3.0528701448736838E+19</c:v>
                </c:pt>
                <c:pt idx="41">
                  <c:v>3.0459333222714343E+19</c:v>
                </c:pt>
                <c:pt idx="42">
                  <c:v>3.0390364605480862E+19</c:v>
                </c:pt>
                <c:pt idx="43">
                  <c:v>3.0321843871639638E+19</c:v>
                </c:pt>
                <c:pt idx="44">
                  <c:v>3.0253816323091755E+19</c:v>
                </c:pt>
                <c:pt idx="45">
                  <c:v>3.0186324445172134E+19</c:v>
                </c:pt>
                <c:pt idx="46">
                  <c:v>3.0119408062785434E+19</c:v>
                </c:pt>
                <c:pt idx="47">
                  <c:v>3.0053104496541983E+19</c:v>
                </c:pt>
                <c:pt idx="48">
                  <c:v>2.9987448718893703E+19</c:v>
                </c:pt>
                <c:pt idx="49">
                  <c:v>2.9922459889353515E+19</c:v>
                </c:pt>
                <c:pt idx="50">
                  <c:v>2.9858176432813711E+19</c:v>
                </c:pt>
                <c:pt idx="51">
                  <c:v>2.9794625214403756E+19</c:v>
                </c:pt>
                <c:pt idx="52">
                  <c:v>2.9731830924882604E+19</c:v>
                </c:pt>
                <c:pt idx="53">
                  <c:v>2.9669816183050772E+19</c:v>
                </c:pt>
                <c:pt idx="54">
                  <c:v>2.9608601638162412E+19</c:v>
                </c:pt>
                <c:pt idx="55">
                  <c:v>2.9548206072337441E+19</c:v>
                </c:pt>
                <c:pt idx="56">
                  <c:v>2.9488646502973608E+19</c:v>
                </c:pt>
                <c:pt idx="57">
                  <c:v>2.9429938285158572E+19</c:v>
                </c:pt>
                <c:pt idx="58">
                  <c:v>2.9372095214082015E+19</c:v>
                </c:pt>
                <c:pt idx="59">
                  <c:v>2.9315129627447718E+19</c:v>
                </c:pt>
                <c:pt idx="60">
                  <c:v>2.9259052507885666E+19</c:v>
                </c:pt>
                <c:pt idx="61">
                  <c:v>2.9203864381665047E+19</c:v>
                </c:pt>
                <c:pt idx="62">
                  <c:v>2.9149579022299845E+19</c:v>
                </c:pt>
                <c:pt idx="63">
                  <c:v>2.9096202612237042E+19</c:v>
                </c:pt>
                <c:pt idx="64">
                  <c:v>2.9043740084474556E+19</c:v>
                </c:pt>
                <c:pt idx="65">
                  <c:v>2.8992195188764041E+19</c:v>
                </c:pt>
                <c:pt idx="66">
                  <c:v>2.8941570557813686E+19</c:v>
                </c:pt>
                <c:pt idx="67">
                  <c:v>2.8891867773491024E+19</c:v>
                </c:pt>
                <c:pt idx="68">
                  <c:v>2.8843087433025741E+19</c:v>
                </c:pt>
                <c:pt idx="69">
                  <c:v>2.8795229215212483E+19</c:v>
                </c:pt>
                <c:pt idx="70">
                  <c:v>2.8748291946613641E+19</c:v>
                </c:pt>
                <c:pt idx="71">
                  <c:v>2.8702273667762192E+19</c:v>
                </c:pt>
                <c:pt idx="72">
                  <c:v>2.8657171699364463E+19</c:v>
                </c:pt>
                <c:pt idx="73">
                  <c:v>2.8612976527908012E+19</c:v>
                </c:pt>
                <c:pt idx="74">
                  <c:v>2.8569687724351353E+19</c:v>
                </c:pt>
                <c:pt idx="75">
                  <c:v>2.8527299942410707E+19</c:v>
                </c:pt>
                <c:pt idx="76">
                  <c:v>2.8485807177089118E+19</c:v>
                </c:pt>
                <c:pt idx="77">
                  <c:v>2.8445202806640751E+19</c:v>
                </c:pt>
                <c:pt idx="78">
                  <c:v>2.8405479634535158E+19</c:v>
                </c:pt>
                <c:pt idx="79">
                  <c:v>2.8366629931421598E+19</c:v>
                </c:pt>
                <c:pt idx="80">
                  <c:v>2.8328645477093319E+19</c:v>
                </c:pt>
                <c:pt idx="81">
                  <c:v>2.8291517602451825E+19</c:v>
                </c:pt>
                <c:pt idx="82">
                  <c:v>2.8255237231471215E+19</c:v>
                </c:pt>
                <c:pt idx="83">
                  <c:v>2.8219794923162419E+19</c:v>
                </c:pt>
                <c:pt idx="84">
                  <c:v>2.8185180913537544E+19</c:v>
                </c:pt>
                <c:pt idx="85">
                  <c:v>2.8151381039278285E+19</c:v>
                </c:pt>
                <c:pt idx="86">
                  <c:v>2.8118387345578435E+19</c:v>
                </c:pt>
                <c:pt idx="87">
                  <c:v>2.8086188749629649E+19</c:v>
                </c:pt>
                <c:pt idx="88">
                  <c:v>2.8054773878144205E+19</c:v>
                </c:pt>
                <c:pt idx="89">
                  <c:v>2.8024131093233676E+19</c:v>
                </c:pt>
                <c:pt idx="90">
                  <c:v>2.7994248518287573E+19</c:v>
                </c:pt>
                <c:pt idx="91">
                  <c:v>2.7965114063851999E+19</c:v>
                </c:pt>
                <c:pt idx="92">
                  <c:v>2.7936715453508301E+19</c:v>
                </c:pt>
                <c:pt idx="93">
                  <c:v>2.7909040249751736E+19</c:v>
                </c:pt>
                <c:pt idx="94">
                  <c:v>2.788207587987012E+19</c:v>
                </c:pt>
                <c:pt idx="95">
                  <c:v>2.7855809661822476E+19</c:v>
                </c:pt>
                <c:pt idx="96">
                  <c:v>2.7830228830117704E+19</c:v>
                </c:pt>
                <c:pt idx="97">
                  <c:v>2.780531784469479E+19</c:v>
                </c:pt>
                <c:pt idx="98">
                  <c:v>2.7781065390016774E+19</c:v>
                </c:pt>
                <c:pt idx="99">
                  <c:v>2.7757458209656992E+19</c:v>
                </c:pt>
                <c:pt idx="100">
                  <c:v>2.7734482978298253E+19</c:v>
                </c:pt>
                <c:pt idx="101">
                  <c:v>2.7712126317054501E+19</c:v>
                </c:pt>
                <c:pt idx="102">
                  <c:v>2.7690374808792449E+19</c:v>
                </c:pt>
                <c:pt idx="103">
                  <c:v>2.7669215013453222E+19</c:v>
                </c:pt>
                <c:pt idx="104">
                  <c:v>2.7648633483373974E+19</c:v>
                </c:pt>
                <c:pt idx="105">
                  <c:v>2.7628616778609574E+19</c:v>
                </c:pt>
                <c:pt idx="106">
                  <c:v>2.7609151482254205E+19</c:v>
                </c:pt>
                <c:pt idx="107">
                  <c:v>2.759022421576301E+19</c:v>
                </c:pt>
                <c:pt idx="108">
                  <c:v>2.7571821654273769E+19</c:v>
                </c:pt>
                <c:pt idx="109">
                  <c:v>2.755392877245064E+19</c:v>
                </c:pt>
                <c:pt idx="110">
                  <c:v>2.7536533403336753E+19</c:v>
                </c:pt>
                <c:pt idx="111">
                  <c:v>2.7519622218138608E+19</c:v>
                </c:pt>
                <c:pt idx="112">
                  <c:v>2.7503181945383694E+19</c:v>
                </c:pt>
                <c:pt idx="113">
                  <c:v>2.748719937941409E+19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'Am241)'!$O$2</c:f>
              <c:strCache>
                <c:ptCount val="1"/>
                <c:pt idx="0">
                  <c:v> Exact Simpl. - Am241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'Am241)'!$N$3:$N$137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'Am241)'!$O$3:$O$137</c:f>
              <c:numCache>
                <c:formatCode>0.0000E+00</c:formatCode>
                <c:ptCount val="135"/>
                <c:pt idx="0">
                  <c:v>3.2520680334545175E+19</c:v>
                </c:pt>
                <c:pt idx="1">
                  <c:v>3.2531438086477447E+19</c:v>
                </c:pt>
                <c:pt idx="2">
                  <c:v>3.2536002227588538E+19</c:v>
                </c:pt>
                <c:pt idx="3">
                  <c:v>3.2534718099636453E+19</c:v>
                </c:pt>
                <c:pt idx="4">
                  <c:v>3.2527917164369732E+19</c:v>
                </c:pt>
                <c:pt idx="5">
                  <c:v>3.2515917484860047E+19</c:v>
                </c:pt>
                <c:pt idx="6">
                  <c:v>3.2499024191312675E+19</c:v>
                </c:pt>
                <c:pt idx="7">
                  <c:v>3.2477529931837759E+19</c:v>
                </c:pt>
                <c:pt idx="8">
                  <c:v>3.245171530864744E+19</c:v>
                </c:pt>
                <c:pt idx="9">
                  <c:v>3.2421849300135911E+19</c:v>
                </c:pt>
                <c:pt idx="10">
                  <c:v>3.2388189669278155E+19</c:v>
                </c:pt>
                <c:pt idx="11">
                  <c:v>3.2350983358775943E+19</c:v>
                </c:pt>
                <c:pt idx="12">
                  <c:v>3.231046687336294E+19</c:v>
                </c:pt>
                <c:pt idx="13">
                  <c:v>3.2266866649670263E+19</c:v>
                </c:pt>
                <c:pt idx="14">
                  <c:v>3.2220399414039675E+19</c:v>
                </c:pt>
                <c:pt idx="15">
                  <c:v>3.2171272528662151E+19</c:v>
                </c:pt>
                <c:pt idx="16">
                  <c:v>3.2119684326404997E+19</c:v>
                </c:pt>
                <c:pt idx="17">
                  <c:v>3.2065824434683339E+19</c:v>
                </c:pt>
                <c:pt idx="18">
                  <c:v>3.2009874088717091E+19</c:v>
                </c:pt>
                <c:pt idx="19">
                  <c:v>3.1952006434506555E+19</c:v>
                </c:pt>
                <c:pt idx="20">
                  <c:v>3.1892386821849555E+19</c:v>
                </c:pt>
                <c:pt idx="21">
                  <c:v>3.1831173087711117E+19</c:v>
                </c:pt>
                <c:pt idx="22">
                  <c:v>3.176851583024989E+19</c:v>
                </c:pt>
                <c:pt idx="23">
                  <c:v>3.1704558673793942E+19</c:v>
                </c:pt>
                <c:pt idx="24">
                  <c:v>3.1639438525051093E+19</c:v>
                </c:pt>
                <c:pt idx="25">
                  <c:v>3.1573285820829344E+19</c:v>
                </c:pt>
                <c:pt idx="26">
                  <c:v>3.1506224767534465E+19</c:v>
                </c:pt>
                <c:pt idx="27">
                  <c:v>3.1438373572704698E+19</c:v>
                </c:pt>
                <c:pt idx="28">
                  <c:v>3.1369844668833554E+19</c:v>
                </c:pt>
                <c:pt idx="29">
                  <c:v>3.1300744929723171E+19</c:v>
                </c:pt>
                <c:pt idx="30">
                  <c:v>3.1231175879606321E+19</c:v>
                </c:pt>
                <c:pt idx="31">
                  <c:v>3.1161233895263445E+19</c:v>
                </c:pt>
                <c:pt idx="32">
                  <c:v>3.1091010401358766E+19</c:v>
                </c:pt>
                <c:pt idx="33">
                  <c:v>3.1020592059208393E+19</c:v>
                </c:pt>
                <c:pt idx="34">
                  <c:v>3.0950060949190124E+19</c:v>
                </c:pt>
                <c:pt idx="35">
                  <c:v>3.0879494746996228E+19</c:v>
                </c:pt>
                <c:pt idx="36">
                  <c:v>3.0808966893925032E+19</c:v>
                </c:pt>
                <c:pt idx="37">
                  <c:v>3.07385467614005E+19</c:v>
                </c:pt>
                <c:pt idx="38">
                  <c:v>3.0668299809904476E+19</c:v>
                </c:pt>
                <c:pt idx="39">
                  <c:v>3.0598287742499062E+19</c:v>
                </c:pt>
                <c:pt idx="40">
                  <c:v>3.0528568653111886E+19</c:v>
                </c:pt>
                <c:pt idx="41">
                  <c:v>3.0459197169751212E+19</c:v>
                </c:pt>
                <c:pt idx="42">
                  <c:v>3.0390224592814137E+19</c:v>
                </c:pt>
                <c:pt idx="43">
                  <c:v>3.0321699028643447E+19</c:v>
                </c:pt>
                <c:pt idx="44">
                  <c:v>3.0253665518486462E+19</c:v>
                </c:pt>
                <c:pt idx="45">
                  <c:v>3.0186166163003269E+19</c:v>
                </c:pt>
                <c:pt idx="46">
                  <c:v>3.0119240242466505E+19</c:v>
                </c:pt>
                <c:pt idx="47">
                  <c:v>3.0052924332792742E+19</c:v>
                </c:pt>
                <c:pt idx="48">
                  <c:v>2.998725241753763E+19</c:v>
                </c:pt>
                <c:pt idx="49">
                  <c:v>2.9922255995987214E+19</c:v>
                </c:pt>
                <c:pt idx="50">
                  <c:v>2.9857964187469378E+19</c:v>
                </c:pt>
                <c:pt idx="51">
                  <c:v>2.9794403832009032E+19</c:v>
                </c:pt>
                <c:pt idx="52">
                  <c:v>2.9731599587444216E+19</c:v>
                </c:pt>
                <c:pt idx="53">
                  <c:v>2.9669574023118959E+19</c:v>
                </c:pt>
                <c:pt idx="54">
                  <c:v>2.9608347710262706E+19</c:v>
                </c:pt>
                <c:pt idx="55">
                  <c:v>2.9547939309164913E+19</c:v>
                </c:pt>
                <c:pt idx="56">
                  <c:v>2.9488365653248762E+19</c:v>
                </c:pt>
                <c:pt idx="57">
                  <c:v>2.9429641830144369E+19</c:v>
                </c:pt>
                <c:pt idx="58">
                  <c:v>2.9371781259860771E+19</c:v>
                </c:pt>
                <c:pt idx="59">
                  <c:v>2.9314795770150035E+19</c:v>
                </c:pt>
                <c:pt idx="60">
                  <c:v>2.9258695669155955E+19</c:v>
                </c:pt>
                <c:pt idx="61">
                  <c:v>2.9203489815436616E+19</c:v>
                </c:pt>
                <c:pt idx="62">
                  <c:v>2.9149185685446435E+19</c:v>
                </c:pt>
                <c:pt idx="63">
                  <c:v>2.9095789438561493E+19</c:v>
                </c:pt>
                <c:pt idx="64">
                  <c:v>2.9043305979728634E+19</c:v>
                </c:pt>
                <c:pt idx="65">
                  <c:v>2.8991739019817591E+19</c:v>
                </c:pt>
                <c:pt idx="66">
                  <c:v>2.8941091133750616E+19</c:v>
                </c:pt>
                <c:pt idx="67">
                  <c:v>2.889136381648461E+19</c:v>
                </c:pt>
                <c:pt idx="68">
                  <c:v>2.8842557536915423E+19</c:v>
                </c:pt>
                <c:pt idx="69">
                  <c:v>2.8794671789774832E+19</c:v>
                </c:pt>
                <c:pt idx="70">
                  <c:v>2.874770514558532E+19</c:v>
                </c:pt>
                <c:pt idx="71">
                  <c:v>2.8701655298738782E+19</c:v>
                </c:pt>
                <c:pt idx="72">
                  <c:v>2.8656519113760899E+19</c:v>
                </c:pt>
                <c:pt idx="73">
                  <c:v>2.8612292669822075E+19</c:v>
                </c:pt>
                <c:pt idx="74">
                  <c:v>2.8568971303553679E+19</c:v>
                </c:pt>
                <c:pt idx="75">
                  <c:v>2.8526549650226364E+19</c:v>
                </c:pt>
                <c:pt idx="76">
                  <c:v>2.8485021683345863E+19</c:v>
                </c:pt>
                <c:pt idx="77">
                  <c:v>2.8444380752718889E+19</c:v>
                </c:pt>
                <c:pt idx="78">
                  <c:v>2.8404619621041807E+19</c:v>
                </c:pt>
                <c:pt idx="79">
                  <c:v>2.8365730499060859E+19</c:v>
                </c:pt>
                <c:pt idx="80">
                  <c:v>2.8327705079353524E+19</c:v>
                </c:pt>
                <c:pt idx="81">
                  <c:v>2.8290534568776901E+19</c:v>
                </c:pt>
                <c:pt idx="82">
                  <c:v>2.8254209719629087E+19</c:v>
                </c:pt>
                <c:pt idx="83">
                  <c:v>2.8218720859567358E+19</c:v>
                </c:pt>
                <c:pt idx="84">
                  <c:v>2.8184057920325493E+19</c:v>
                </c:pt>
                <c:pt idx="85">
                  <c:v>2.8150210465271538E+19</c:v>
                </c:pt>
                <c:pt idx="86">
                  <c:v>2.8117167715845951E+19</c:v>
                </c:pt>
                <c:pt idx="87">
                  <c:v>2.8084918576918413E+19</c:v>
                </c:pt>
                <c:pt idx="88">
                  <c:v>2.8053451661101142E+19</c:v>
                </c:pt>
                <c:pt idx="89">
                  <c:v>2.8022755312054051E+19</c:v>
                </c:pt>
                <c:pt idx="90">
                  <c:v>2.7992817626817683E+19</c:v>
                </c:pt>
                <c:pt idx="91">
                  <c:v>2.7963626477207003E+19</c:v>
                </c:pt>
                <c:pt idx="92">
                  <c:v>2.7935169530299236E+19</c:v>
                </c:pt>
                <c:pt idx="93">
                  <c:v>2.7907434268047266E+19</c:v>
                </c:pt>
                <c:pt idx="94">
                  <c:v>2.7880408006049378E+19</c:v>
                </c:pt>
                <c:pt idx="95">
                  <c:v>2.7854077911504904E+19</c:v>
                </c:pt>
                <c:pt idx="96">
                  <c:v>2.7828431020384694E+19</c:v>
                </c:pt>
                <c:pt idx="97">
                  <c:v>2.7803454253844066E+19</c:v>
                </c:pt>
                <c:pt idx="98">
                  <c:v>2.7779134433905164E+19</c:v>
                </c:pt>
                <c:pt idx="99">
                  <c:v>2.7755458298434707E+19</c:v>
                </c:pt>
                <c:pt idx="100">
                  <c:v>2.7732412515442426E+19</c:v>
                </c:pt>
                <c:pt idx="101">
                  <c:v>2.7709983696724394E+19</c:v>
                </c:pt>
                <c:pt idx="102">
                  <c:v>2.7688158410874962E+19</c:v>
                </c:pt>
                <c:pt idx="103">
                  <c:v>2.7666923195689878E+19</c:v>
                </c:pt>
                <c:pt idx="104">
                  <c:v>2.7646264569982939E+19</c:v>
                </c:pt>
                <c:pt idx="105">
                  <c:v>2.7626169044837147E+19</c:v>
                </c:pt>
                <c:pt idx="106">
                  <c:v>2.7606623134311199E+19</c:v>
                </c:pt>
                <c:pt idx="107">
                  <c:v>2.7587613365621391E+19</c:v>
                </c:pt>
                <c:pt idx="108">
                  <c:v>2.7569126288817783E+19</c:v>
                </c:pt>
                <c:pt idx="109">
                  <c:v>2.7551148485973688E+19</c:v>
                </c:pt>
                <c:pt idx="110">
                  <c:v>2.7533666579906404E+19</c:v>
                </c:pt>
                <c:pt idx="111">
                  <c:v>2.7516667242446529E+19</c:v>
                </c:pt>
                <c:pt idx="112">
                  <c:v>2.7500137202272711E+19</c:v>
                </c:pt>
                <c:pt idx="113">
                  <c:v>2.7484063252328317E+19</c:v>
                </c:pt>
                <c:pt idx="114">
                  <c:v>2.7468432256835736E+19</c:v>
                </c:pt>
                <c:pt idx="115">
                  <c:v>2.7453231157923131E+19</c:v>
                </c:pt>
                <c:pt idx="116">
                  <c:v>2.7438446981879136E+19</c:v>
                </c:pt>
                <c:pt idx="117">
                  <c:v>2.7424066845048938E+19</c:v>
                </c:pt>
                <c:pt idx="118">
                  <c:v>2.7410077959386149E+19</c:v>
                </c:pt>
                <c:pt idx="119">
                  <c:v>2.7396467637673103E+19</c:v>
                </c:pt>
                <c:pt idx="120">
                  <c:v>2.7383223298423202E+19</c:v>
                </c:pt>
                <c:pt idx="121">
                  <c:v>2.7370332470476947E+19</c:v>
                </c:pt>
                <c:pt idx="122">
                  <c:v>2.7357782797304185E+19</c:v>
                </c:pt>
                <c:pt idx="123">
                  <c:v>2.734556204102393E+19</c:v>
                </c:pt>
                <c:pt idx="124">
                  <c:v>2.7333658086152905E+19</c:v>
                </c:pt>
                <c:pt idx="125">
                  <c:v>2.7322058943093834E+19</c:v>
                </c:pt>
                <c:pt idx="126">
                  <c:v>2.7310752751373668E+19</c:v>
                </c:pt>
                <c:pt idx="127">
                  <c:v>2.729972778264209E+19</c:v>
                </c:pt>
                <c:pt idx="128">
                  <c:v>2.7288972443439608E+19</c:v>
                </c:pt>
                <c:pt idx="129">
                  <c:v>2.7278475277745439E+19</c:v>
                </c:pt>
                <c:pt idx="130">
                  <c:v>2.7268224969313133E+19</c:v>
                </c:pt>
                <c:pt idx="131">
                  <c:v>2.7258210343803888E+19</c:v>
                </c:pt>
                <c:pt idx="132">
                  <c:v>2.7248420370725061E+19</c:v>
                </c:pt>
                <c:pt idx="133">
                  <c:v>2.7238844165182804E+19</c:v>
                </c:pt>
                <c:pt idx="134">
                  <c:v>2.7229470989455905E+19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39232"/>
        <c:axId val="69041152"/>
      </c:scatterChart>
      <c:valAx>
        <c:axId val="69039232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'Am241)'!$B$11</c:f>
              <c:strCache>
                <c:ptCount val="1"/>
                <c:pt idx="0">
                  <c:v>Temps (années)</c:v>
                </c:pt>
              </c:strCache>
            </c:strRef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69041152"/>
        <c:crosses val="autoZero"/>
        <c:crossBetween val="midCat"/>
      </c:valAx>
      <c:valAx>
        <c:axId val="69041152"/>
        <c:scaling>
          <c:orientation val="minMax"/>
          <c:min val="2.5E+19"/>
        </c:scaling>
        <c:delete val="0"/>
        <c:axPos val="l"/>
        <c:majorGridlines/>
        <c:title>
          <c:tx>
            <c:strRef>
              <c:f>'Am241)'!$B$12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2.4569943037611577E-2"/>
              <c:y val="0.25020248945120882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69039232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'U235'!$O$2</c:f>
              <c:strCache>
                <c:ptCount val="1"/>
                <c:pt idx="0">
                  <c:v> Exact Simpl. - U235</c:v>
                </c:pt>
              </c:strCache>
            </c:strRef>
          </c:tx>
          <c:marker>
            <c:symbol val="none"/>
          </c:marker>
          <c:xVal>
            <c:numRef>
              <c:f>'U235'!$N$3:$N$137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'U235'!$O$3:$O$137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8.7053382330057064E+19</c:v>
                </c:pt>
                <c:pt idx="2">
                  <c:v>8.5209347666220237E+19</c:v>
                </c:pt>
                <c:pt idx="3">
                  <c:v>8.3404374825720037E+19</c:v>
                </c:pt>
                <c:pt idx="4">
                  <c:v>8.1637636369640964E+19</c:v>
                </c:pt>
                <c:pt idx="5">
                  <c:v>7.9908322386543198E+19</c:v>
                </c:pt>
                <c:pt idx="6">
                  <c:v>7.8215640121181553E+19</c:v>
                </c:pt>
                <c:pt idx="7">
                  <c:v>7.6558813611089199E+19</c:v>
                </c:pt>
                <c:pt idx="8">
                  <c:v>7.493708333085945E+19</c:v>
                </c:pt>
                <c:pt idx="9">
                  <c:v>7.3349705843962864E+19</c:v>
                </c:pt>
                <c:pt idx="10">
                  <c:v>7.1795953461939675E+19</c:v>
                </c:pt>
                <c:pt idx="11">
                  <c:v>7.0275113910811517E+19</c:v>
                </c:pt>
                <c:pt idx="12">
                  <c:v>6.878649000455952E+19</c:v>
                </c:pt>
                <c:pt idx="13">
                  <c:v>6.7329399325519053E+19</c:v>
                </c:pt>
                <c:pt idx="14">
                  <c:v>6.5903173911544521E+19</c:v>
                </c:pt>
                <c:pt idx="15">
                  <c:v>6.4507159949801021E+19</c:v>
                </c:pt>
                <c:pt idx="16">
                  <c:v>6.3140717477042233E+19</c:v>
                </c:pt>
                <c:pt idx="17">
                  <c:v>6.1803220086237323E+19</c:v>
                </c:pt>
                <c:pt idx="18">
                  <c:v>6.0494054639412314E+19</c:v>
                </c:pt>
                <c:pt idx="19">
                  <c:v>5.9212620986574242E+19</c:v>
                </c:pt>
                <c:pt idx="20">
                  <c:v>5.7958331690589307E+19</c:v>
                </c:pt>
                <c:pt idx="21">
                  <c:v>5.6730611757888913E+19</c:v>
                </c:pt>
                <c:pt idx="22">
                  <c:v>5.5528898374880059E+19</c:v>
                </c:pt>
                <c:pt idx="23">
                  <c:v>5.4352640649939304E+19</c:v>
                </c:pt>
                <c:pt idx="24">
                  <c:v>5.3201299360872022E+19</c:v>
                </c:pt>
                <c:pt idx="25">
                  <c:v>5.2074346707721232E+19</c:v>
                </c:pt>
                <c:pt idx="26">
                  <c:v>5.0971266070812557E+19</c:v>
                </c:pt>
                <c:pt idx="27">
                  <c:v>4.9891551773924458E+19</c:v>
                </c:pt>
                <c:pt idx="28">
                  <c:v>4.8834708852475322E+19</c:v>
                </c:pt>
                <c:pt idx="29">
                  <c:v>4.7800252826620822E+19</c:v>
                </c:pt>
                <c:pt idx="30">
                  <c:v>4.6787709479157817E+19</c:v>
                </c:pt>
                <c:pt idx="31">
                  <c:v>4.5796614638132847E+19</c:v>
                </c:pt>
                <c:pt idx="32">
                  <c:v>4.4826513964055585E+19</c:v>
                </c:pt>
                <c:pt idx="33">
                  <c:v>4.3876962741619704E+19</c:v>
                </c:pt>
                <c:pt idx="34">
                  <c:v>4.2947525675835679E+19</c:v>
                </c:pt>
                <c:pt idx="35">
                  <c:v>4.2037776692482064E+19</c:v>
                </c:pt>
                <c:pt idx="36">
                  <c:v>4.1147298742783795E+19</c:v>
                </c:pt>
                <c:pt idx="37">
                  <c:v>4.0275683612227936E+19</c:v>
                </c:pt>
                <c:pt idx="38">
                  <c:v>3.9422531733429191E+19</c:v>
                </c:pt>
                <c:pt idx="39">
                  <c:v>3.8587452002959606E+19</c:v>
                </c:pt>
                <c:pt idx="40">
                  <c:v>3.7770061602058101E+19</c:v>
                </c:pt>
                <c:pt idx="41">
                  <c:v>3.69699858211381E+19</c:v>
                </c:pt>
                <c:pt idx="42">
                  <c:v>3.6186857888012456E+19</c:v>
                </c:pt>
                <c:pt idx="43">
                  <c:v>3.5420318799757042E+19</c:v>
                </c:pt>
                <c:pt idx="44">
                  <c:v>3.4670017158136033E+19</c:v>
                </c:pt>
                <c:pt idx="45">
                  <c:v>3.393560900851327E+19</c:v>
                </c:pt>
                <c:pt idx="46">
                  <c:v>3.3216757682175943E+19</c:v>
                </c:pt>
                <c:pt idx="47">
                  <c:v>3.251313364199834E+19</c:v>
                </c:pt>
                <c:pt idx="48">
                  <c:v>3.1824414331374805E+19</c:v>
                </c:pt>
                <c:pt idx="49">
                  <c:v>3.1150284026352775E+19</c:v>
                </c:pt>
                <c:pt idx="50">
                  <c:v>3.0490433690898047E+19</c:v>
                </c:pt>
                <c:pt idx="51">
                  <c:v>2.9844560835225891E+19</c:v>
                </c:pt>
                <c:pt idx="52">
                  <c:v>2.9212369377133162E+19</c:v>
                </c:pt>
                <c:pt idx="53">
                  <c:v>2.8593569506267722E+19</c:v>
                </c:pt>
                <c:pt idx="54">
                  <c:v>2.7987877551273116E+19</c:v>
                </c:pt>
                <c:pt idx="55">
                  <c:v>2.7395015849747378E+19</c:v>
                </c:pt>
                <c:pt idx="56">
                  <c:v>2.681471262095657E+19</c:v>
                </c:pt>
                <c:pt idx="57">
                  <c:v>2.6246701841244516E+19</c:v>
                </c:pt>
                <c:pt idx="58">
                  <c:v>2.5690723122081833E+19</c:v>
                </c:pt>
                <c:pt idx="59">
                  <c:v>2.5146521590698074E+19</c:v>
                </c:pt>
                <c:pt idx="60">
                  <c:v>2.4613847773242532E+19</c:v>
                </c:pt>
                <c:pt idx="61">
                  <c:v>2.4092457480419983E+19</c:v>
                </c:pt>
                <c:pt idx="62">
                  <c:v>2.3582111695548965E+19</c:v>
                </c:pt>
                <c:pt idx="63">
                  <c:v>2.3082576464991371E+19</c:v>
                </c:pt>
                <c:pt idx="64">
                  <c:v>2.2593622790902915E+19</c:v>
                </c:pt>
                <c:pt idx="65">
                  <c:v>2.2115026526255616E+19</c:v>
                </c:pt>
                <c:pt idx="66">
                  <c:v>2.1646568272083845E+19</c:v>
                </c:pt>
                <c:pt idx="67">
                  <c:v>2.118803327690709E+19</c:v>
                </c:pt>
                <c:pt idx="68">
                  <c:v>2.073921133828318E+19</c:v>
                </c:pt>
                <c:pt idx="69">
                  <c:v>2.0299896706446901E+19</c:v>
                </c:pt>
                <c:pt idx="70">
                  <c:v>1.9869887989989822E+19</c:v>
                </c:pt>
                <c:pt idx="71">
                  <c:v>1.9448988063538082E+19</c:v>
                </c:pt>
                <c:pt idx="72">
                  <c:v>1.9037003977385812E+19</c:v>
                </c:pt>
                <c:pt idx="73">
                  <c:v>1.8633746869042786E+19</c:v>
                </c:pt>
                <c:pt idx="74">
                  <c:v>1.8239031876655733E+19</c:v>
                </c:pt>
                <c:pt idx="75">
                  <c:v>1.785267805426364E+19</c:v>
                </c:pt>
                <c:pt idx="76">
                  <c:v>1.7474508288848167E+19</c:v>
                </c:pt>
                <c:pt idx="77">
                  <c:v>1.7104349219141188E+19</c:v>
                </c:pt>
                <c:pt idx="78">
                  <c:v>1.6742031156152195E+19</c:v>
                </c:pt>
                <c:pt idx="79">
                  <c:v>1.6387388005379164E+19</c:v>
                </c:pt>
                <c:pt idx="80">
                  <c:v>1.6040257190667223E+19</c:v>
                </c:pt>
                <c:pt idx="81">
                  <c:v>1.570047957968018E+19</c:v>
                </c:pt>
                <c:pt idx="82">
                  <c:v>1.5367899410950814E+19</c:v>
                </c:pt>
                <c:pt idx="83">
                  <c:v>1.5042364222476397E+19</c:v>
                </c:pt>
                <c:pt idx="84">
                  <c:v>1.4723724781826793E+19</c:v>
                </c:pt>
                <c:pt idx="85">
                  <c:v>1.4411835017733075E+19</c:v>
                </c:pt>
                <c:pt idx="86">
                  <c:v>1.4106551953125243E+19</c:v>
                </c:pt>
                <c:pt idx="87">
                  <c:v>1.3807735639588434E+19</c:v>
                </c:pt>
                <c:pt idx="88">
                  <c:v>1.3515249093207515E+19</c:v>
                </c:pt>
                <c:pt idx="89">
                  <c:v>1.3228958231770661E+19</c:v>
                </c:pt>
                <c:pt idx="90">
                  <c:v>1.2948731813303153E+19</c:v>
                </c:pt>
                <c:pt idx="91">
                  <c:v>1.2674441375903187E+19</c:v>
                </c:pt>
                <c:pt idx="92">
                  <c:v>1.2405961178852149E+19</c:v>
                </c:pt>
                <c:pt idx="93">
                  <c:v>1.2143168144972313E+19</c:v>
                </c:pt>
                <c:pt idx="94">
                  <c:v>1.1885941804205576E+19</c:v>
                </c:pt>
                <c:pt idx="95">
                  <c:v>1.1634164238387382E+19</c:v>
                </c:pt>
                <c:pt idx="96">
                  <c:v>1.1387720027190438E+19</c:v>
                </c:pt>
                <c:pt idx="97">
                  <c:v>1.1146496195213521E+19</c:v>
                </c:pt>
                <c:pt idx="98">
                  <c:v>1.0910382160191103E+19</c:v>
                </c:pt>
                <c:pt idx="99">
                  <c:v>1.0679269682300021E+19</c:v>
                </c:pt>
                <c:pt idx="100">
                  <c:v>1.0453052814539979E+19</c:v>
                </c:pt>
                <c:pt idx="101">
                  <c:v>1.0231627854165137E+19</c:v>
                </c:pt>
                <c:pt idx="102">
                  <c:v>1.0014893295144511E+19</c:v>
                </c:pt>
                <c:pt idx="103">
                  <c:v>9.8027497816293908E+18</c:v>
                </c:pt>
                <c:pt idx="104">
                  <c:v>9.5951000624064573E+18</c:v>
                </c:pt>
                <c:pt idx="105">
                  <c:v>9.39184894631569E+18</c:v>
                </c:pt>
                <c:pt idx="106">
                  <c:v>9.1929032586126889E+18</c:v>
                </c:pt>
                <c:pt idx="107">
                  <c:v>8.9981717982553221E+18</c:v>
                </c:pt>
                <c:pt idx="108">
                  <c:v>8.8075652960951798E+18</c:v>
                </c:pt>
                <c:pt idx="109">
                  <c:v>8.6209963739546542E+18</c:v>
                </c:pt>
                <c:pt idx="110">
                  <c:v>8.438379504570879E+18</c:v>
                </c:pt>
                <c:pt idx="111">
                  <c:v>8.2596309723881574E+18</c:v>
                </c:pt>
                <c:pt idx="112">
                  <c:v>8.0846688351809382E+18</c:v>
                </c:pt>
                <c:pt idx="113">
                  <c:v>7.9134128864897004E+18</c:v>
                </c:pt>
                <c:pt idx="114">
                  <c:v>7.7457846188525732E+18</c:v>
                </c:pt>
                <c:pt idx="115">
                  <c:v>7.5817071878157957E+18</c:v>
                </c:pt>
                <c:pt idx="116">
                  <c:v>7.4211053767065457E+18</c:v>
                </c:pt>
                <c:pt idx="117">
                  <c:v>7.263905562151979E+18</c:v>
                </c:pt>
                <c:pt idx="118">
                  <c:v>7.1100356803286692E+18</c:v>
                </c:pt>
                <c:pt idx="119">
                  <c:v>6.9594251939269734E+18</c:v>
                </c:pt>
                <c:pt idx="120">
                  <c:v>6.8120050598151987E+18</c:v>
                </c:pt>
                <c:pt idx="121">
                  <c:v>6.6677076973887191E+18</c:v>
                </c:pt>
                <c:pt idx="122">
                  <c:v>6.5264669575895603E+18</c:v>
                </c:pt>
                <c:pt idx="123">
                  <c:v>6.3882180925822147E+18</c:v>
                </c:pt>
                <c:pt idx="124">
                  <c:v>6.2528977260718408E+18</c:v>
                </c:pt>
                <c:pt idx="125">
                  <c:v>6.1204438242511667E+18</c:v>
                </c:pt>
                <c:pt idx="126">
                  <c:v>5.990795667362858E+18</c:v>
                </c:pt>
                <c:pt idx="127">
                  <c:v>5.8638938218642452E+18</c:v>
                </c:pt>
                <c:pt idx="128">
                  <c:v>5.739680113181696E+18</c:v>
                </c:pt>
                <c:pt idx="129">
                  <c:v>5.6180975990421228E+18</c:v>
                </c:pt>
                <c:pt idx="130">
                  <c:v>5.4990905433693972E+18</c:v>
                </c:pt>
                <c:pt idx="131">
                  <c:v>5.3826043907337267E+18</c:v>
                </c:pt>
                <c:pt idx="132">
                  <c:v>5.2685857413422469E+18</c:v>
                </c:pt>
                <c:pt idx="133">
                  <c:v>5.1569823265593948E+18</c:v>
                </c:pt>
                <c:pt idx="134">
                  <c:v>5.0477429849458299E+18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'U235'!$M$2</c:f>
              <c:strCache>
                <c:ptCount val="1"/>
                <c:pt idx="0">
                  <c:v>O5 - U235</c:v>
                </c:pt>
              </c:strCache>
            </c:strRef>
          </c:tx>
          <c:marker>
            <c:symbol val="none"/>
          </c:marker>
          <c:xVal>
            <c:numRef>
              <c:f>'U235'!$L$3:$L$123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'U235'!$M$3:$M$116</c:f>
              <c:numCache>
                <c:formatCode>0.0000E+00</c:formatCode>
                <c:ptCount val="114"/>
                <c:pt idx="0">
                  <c:v>8.8937324162937733E+19</c:v>
                </c:pt>
                <c:pt idx="1">
                  <c:v>8.7058541148012282E+19</c:v>
                </c:pt>
                <c:pt idx="2">
                  <c:v>8.5219547583508103E+19</c:v>
                </c:pt>
                <c:pt idx="3">
                  <c:v>8.3419500516275012E+19</c:v>
                </c:pt>
                <c:pt idx="4">
                  <c:v>8.1657574833394631E+19</c:v>
                </c:pt>
                <c:pt idx="5">
                  <c:v>7.9932962863074492E+19</c:v>
                </c:pt>
                <c:pt idx="6">
                  <c:v>7.8244873975541776E+19</c:v>
                </c:pt>
                <c:pt idx="7">
                  <c:v>7.6592534183937196E+19</c:v>
                </c:pt>
                <c:pt idx="8">
                  <c:v>7.4975185745208984E+19</c:v>
                </c:pt>
                <c:pt idx="9">
                  <c:v>7.3392086761006711E+19</c:v>
                </c:pt>
                <c:pt idx="10">
                  <c:v>7.18425107785752E+19</c:v>
                </c:pt>
                <c:pt idx="11">
                  <c:v>7.0325746391648403E+19</c:v>
                </c:pt>
                <c:pt idx="12">
                  <c:v>6.8841096841343312E+19</c:v>
                </c:pt>
                <c:pt idx="13">
                  <c:v>6.7387901249598177E+19</c:v>
                </c:pt>
                <c:pt idx="14">
                  <c:v>6.5965478990608884E+19</c:v>
                </c:pt>
                <c:pt idx="15">
                  <c:v>6.4573178126032019E+19</c:v>
                </c:pt>
                <c:pt idx="16">
                  <c:v>6.3210360515172794E+19</c:v>
                </c:pt>
                <c:pt idx="17">
                  <c:v>6.1876401506314822E+19</c:v>
                </c:pt>
                <c:pt idx="18">
                  <c:v>6.0570689628049744E+19</c:v>
                </c:pt>
                <c:pt idx="19">
                  <c:v>5.9292626280606876E+19</c:v>
                </c:pt>
                <c:pt idx="20">
                  <c:v>5.8041625427182952E+19</c:v>
                </c:pt>
                <c:pt idx="21">
                  <c:v>5.681711328527174E+19</c:v>
                </c:pt>
                <c:pt idx="22">
                  <c:v>5.5618528017993736E+19</c:v>
                </c:pt>
                <c:pt idx="23">
                  <c:v>5.4445319425425826E+19</c:v>
                </c:pt>
                <c:pt idx="24">
                  <c:v>5.3296948635930984E+19</c:v>
                </c:pt>
                <c:pt idx="25">
                  <c:v>5.2172904528232202E+19</c:v>
                </c:pt>
                <c:pt idx="26">
                  <c:v>5.107266070793642E+19</c:v>
                </c:pt>
                <c:pt idx="27">
                  <c:v>4.999571296762241E+19</c:v>
                </c:pt>
                <c:pt idx="28">
                  <c:v>4.8941567770968441E+19</c:v>
                </c:pt>
                <c:pt idx="29">
                  <c:v>4.7909742014025605E+19</c:v>
                </c:pt>
                <c:pt idx="30">
                  <c:v>4.6899762786491023E+19</c:v>
                </c:pt>
                <c:pt idx="31">
                  <c:v>4.5911167132981182E+19</c:v>
                </c:pt>
                <c:pt idx="32">
                  <c:v>4.494350181430512E+19</c:v>
                </c:pt>
                <c:pt idx="33">
                  <c:v>4.3996323068737815E+19</c:v>
                </c:pt>
                <c:pt idx="34">
                  <c:v>4.3069196373293335E+19</c:v>
                </c:pt>
                <c:pt idx="35">
                  <c:v>4.216169620499814E+19</c:v>
                </c:pt>
                <c:pt idx="36">
                  <c:v>4.1273405802164421E+19</c:v>
                </c:pt>
                <c:pt idx="37">
                  <c:v>4.0403929865323635E+19</c:v>
                </c:pt>
                <c:pt idx="38">
                  <c:v>3.9552861282606506E+19</c:v>
                </c:pt>
                <c:pt idx="39">
                  <c:v>3.8719810101606212E+19</c:v>
                </c:pt>
                <c:pt idx="40">
                  <c:v>3.7904394622932607E+19</c:v>
                </c:pt>
                <c:pt idx="41">
                  <c:v>3.710624121558034E+19</c:v>
                </c:pt>
                <c:pt idx="42">
                  <c:v>3.6324984132296843E+19</c:v>
                </c:pt>
                <c:pt idx="43">
                  <c:v>3.5560265324950516E+19</c:v>
                </c:pt>
                <c:pt idx="44">
                  <c:v>3.4811734259898708E+19</c:v>
                </c:pt>
                <c:pt idx="45">
                  <c:v>3.4079047733355815E+19</c:v>
                </c:pt>
                <c:pt idx="46">
                  <c:v>3.3361869686761353E+19</c:v>
                </c:pt>
                <c:pt idx="47">
                  <c:v>3.2659871022148022E+19</c:v>
                </c:pt>
                <c:pt idx="48">
                  <c:v>3.1972729417509753E+19</c:v>
                </c:pt>
                <c:pt idx="49">
                  <c:v>3.1300139149779128E+19</c:v>
                </c:pt>
                <c:pt idx="50">
                  <c:v>3.0641785360041153E+19</c:v>
                </c:pt>
                <c:pt idx="51">
                  <c:v>2.999736646054366E+19</c:v>
                </c:pt>
                <c:pt idx="52">
                  <c:v>2.9366587246400373E+19</c:v>
                </c:pt>
                <c:pt idx="53">
                  <c:v>2.874915875279618E+19</c:v>
                </c:pt>
                <c:pt idx="54">
                  <c:v>2.8144798112192434E+19</c:v>
                </c:pt>
                <c:pt idx="55">
                  <c:v>2.7553228411532259E+19</c:v>
                </c:pt>
                <c:pt idx="56">
                  <c:v>2.6974178549445833E+19</c:v>
                </c:pt>
                <c:pt idx="57">
                  <c:v>2.6407383093455684E+19</c:v>
                </c:pt>
                <c:pt idx="58">
                  <c:v>2.585258213718197E+19</c:v>
                </c:pt>
                <c:pt idx="59">
                  <c:v>2.5309521157547827E+19</c:v>
                </c:pt>
                <c:pt idx="60">
                  <c:v>2.4777950871984574E+19</c:v>
                </c:pt>
                <c:pt idx="61">
                  <c:v>2.4257634835576541E+19</c:v>
                </c:pt>
                <c:pt idx="62">
                  <c:v>2.3748329537637671E+19</c:v>
                </c:pt>
                <c:pt idx="63">
                  <c:v>2.3249801731416486E+19</c:v>
                </c:pt>
                <c:pt idx="64">
                  <c:v>2.2761823106650128E+19</c:v>
                </c:pt>
                <c:pt idx="65">
                  <c:v>2.2284170179126759E+19</c:v>
                </c:pt>
                <c:pt idx="66">
                  <c:v>2.1816624180248011E+19</c:v>
                </c:pt>
                <c:pt idx="67">
                  <c:v>2.1358970946591379E+19</c:v>
                </c:pt>
                <c:pt idx="68">
                  <c:v>2.0911000809472659E+19</c:v>
                </c:pt>
                <c:pt idx="69">
                  <c:v>2.0472508484508369E+19</c:v>
                </c:pt>
                <c:pt idx="70">
                  <c:v>2.0043292961178141E+19</c:v>
                </c:pt>
                <c:pt idx="71">
                  <c:v>1.9623157392387215E+19</c:v>
                </c:pt>
                <c:pt idx="72">
                  <c:v>1.9211908984028762E+19</c:v>
                </c:pt>
                <c:pt idx="73">
                  <c:v>1.8809364870653096E+19</c:v>
                </c:pt>
                <c:pt idx="74">
                  <c:v>1.8415336722063604E+19</c:v>
                </c:pt>
                <c:pt idx="75">
                  <c:v>1.8029644146195816E+19</c:v>
                </c:pt>
                <c:pt idx="76">
                  <c:v>1.7652110568845099E+19</c:v>
                </c:pt>
                <c:pt idx="77">
                  <c:v>1.7282563148254206E+19</c:v>
                </c:pt>
                <c:pt idx="78">
                  <c:v>1.6920832689700876E+19</c:v>
                </c:pt>
                <c:pt idx="79">
                  <c:v>1.6566753560085393E+19</c:v>
                </c:pt>
                <c:pt idx="80">
                  <c:v>1.6220163602518149E+19</c:v>
                </c:pt>
                <c:pt idx="81">
                  <c:v>1.588090405090722E+19</c:v>
                </c:pt>
                <c:pt idx="82">
                  <c:v>1.554881944454595E+19</c:v>
                </c:pt>
                <c:pt idx="83">
                  <c:v>1.5223757542700495E+19</c:v>
                </c:pt>
                <c:pt idx="84">
                  <c:v>1.4905569239197424E+19</c:v>
                </c:pt>
                <c:pt idx="85">
                  <c:v>1.4594113106690859E+19</c:v>
                </c:pt>
                <c:pt idx="86">
                  <c:v>1.4289243491340442E+19</c:v>
                </c:pt>
                <c:pt idx="87">
                  <c:v>1.3990820878654276E+19</c:v>
                </c:pt>
                <c:pt idx="88">
                  <c:v>1.3698708706853534E+19</c:v>
                </c:pt>
                <c:pt idx="89">
                  <c:v>1.3412773300814555E+19</c:v>
                </c:pt>
                <c:pt idx="90">
                  <c:v>1.3132883806010974E+19</c:v>
                </c:pt>
                <c:pt idx="91">
                  <c:v>1.2858912122455824E+19</c:v>
                </c:pt>
                <c:pt idx="92">
                  <c:v>1.2590732838643671E+19</c:v>
                </c:pt>
                <c:pt idx="93">
                  <c:v>1.2328223165492701E+19</c:v>
                </c:pt>
                <c:pt idx="94">
                  <c:v>1.2071262870286868E+19</c:v>
                </c:pt>
                <c:pt idx="95">
                  <c:v>1.1819734210617989E+19</c:v>
                </c:pt>
                <c:pt idx="96">
                  <c:v>1.1573521868327852E+19</c:v>
                </c:pt>
                <c:pt idx="97">
                  <c:v>1.1332516464059711E+19</c:v>
                </c:pt>
                <c:pt idx="98">
                  <c:v>1.1096605349643246E+19</c:v>
                </c:pt>
                <c:pt idx="99">
                  <c:v>1.0865680625072339E+19</c:v>
                </c:pt>
                <c:pt idx="100">
                  <c:v>1.0639636673950966E+19</c:v>
                </c:pt>
                <c:pt idx="101">
                  <c:v>1.041837011240414E+19</c:v>
                </c:pt>
                <c:pt idx="102">
                  <c:v>1.0201779737988913E+19</c:v>
                </c:pt>
                <c:pt idx="103">
                  <c:v>9.9897664786053448E+18</c:v>
                </c:pt>
                <c:pt idx="104">
                  <c:v>9.7822333414074634E+18</c:v>
                </c:pt>
                <c:pt idx="105">
                  <c:v>9.5790853617142702E+18</c:v>
                </c:pt>
                <c:pt idx="106">
                  <c:v>9.380229551920681E+18</c:v>
                </c:pt>
                <c:pt idx="107">
                  <c:v>9.1855748504085309E+18</c:v>
                </c:pt>
                <c:pt idx="108">
                  <c:v>8.9950320704575355E+18</c:v>
                </c:pt>
                <c:pt idx="109">
                  <c:v>8.8085166184078367E+18</c:v>
                </c:pt>
                <c:pt idx="110">
                  <c:v>8.6259413724692152E+18</c:v>
                </c:pt>
                <c:pt idx="111">
                  <c:v>8.4472228830710344E+18</c:v>
                </c:pt>
                <c:pt idx="112">
                  <c:v>8.2722794667704658E+18</c:v>
                </c:pt>
                <c:pt idx="113">
                  <c:v>8.101031166740396E+18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'U235'!$Q$2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'U235'!$P$3:$P$52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'U235'!$Q$3:$Q$52</c:f>
              <c:numCache>
                <c:formatCode>0.0000E+00</c:formatCode>
                <c:ptCount val="50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'U235'!$S$2</c:f>
              <c:strCache>
                <c:ptCount val="1"/>
                <c:pt idx="0">
                  <c:v>VESTA - U235 </c:v>
                </c:pt>
              </c:strCache>
            </c:strRef>
          </c:tx>
          <c:marker>
            <c:symbol val="none"/>
          </c:marker>
          <c:xVal>
            <c:numRef>
              <c:f>'U235'!$R$3:$R$10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'U235'!$S$3:$S$9</c:f>
              <c:numCache>
                <c:formatCode>0.0000E+00</c:formatCode>
                <c:ptCount val="7"/>
                <c:pt idx="0">
                  <c:v>8.8937324162937733E+19</c:v>
                </c:pt>
                <c:pt idx="1">
                  <c:v>8.58863158607495E+19</c:v>
                </c:pt>
                <c:pt idx="2">
                  <c:v>8.0086807161689129E+19</c:v>
                </c:pt>
                <c:pt idx="3">
                  <c:v>6.8945873163047076E+19</c:v>
                </c:pt>
                <c:pt idx="4">
                  <c:v>5.3561185406970372E+19</c:v>
                </c:pt>
                <c:pt idx="5">
                  <c:v>2.5168657722300748E+19</c:v>
                </c:pt>
                <c:pt idx="6">
                  <c:v>7.4529304786881649E+18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'U235'!$K$2</c:f>
              <c:strCache>
                <c:ptCount val="1"/>
                <c:pt idx="0">
                  <c:v>RK1 - U235</c:v>
                </c:pt>
              </c:strCache>
            </c:strRef>
          </c:tx>
          <c:marker>
            <c:symbol val="none"/>
          </c:marker>
          <c:xVal>
            <c:numRef>
              <c:f>'U235'!$J$3:$J$137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'U235'!$K$3:$K$137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79136"/>
        <c:axId val="66389120"/>
      </c:scatterChart>
      <c:valAx>
        <c:axId val="66379136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66389120"/>
        <c:crosses val="autoZero"/>
        <c:crossBetween val="midCat"/>
      </c:valAx>
      <c:valAx>
        <c:axId val="66389120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663791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41216"/>
        <c:axId val="66442752"/>
      </c:scatterChart>
      <c:valAx>
        <c:axId val="6644121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66442752"/>
        <c:crosses val="autoZero"/>
        <c:crossBetween val="midCat"/>
      </c:valAx>
      <c:valAx>
        <c:axId val="6644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4412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27616"/>
        <c:axId val="66529152"/>
      </c:scatterChart>
      <c:valAx>
        <c:axId val="6652761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66529152"/>
        <c:crosses val="autoZero"/>
        <c:crossBetween val="midCat"/>
      </c:valAx>
      <c:valAx>
        <c:axId val="66529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527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54272"/>
        <c:axId val="66455808"/>
      </c:scatterChart>
      <c:valAx>
        <c:axId val="66454272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66455808"/>
        <c:crosses val="autoZero"/>
        <c:crossBetween val="midCat"/>
      </c:valAx>
      <c:valAx>
        <c:axId val="66455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4542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'U235'!$B$10</c:f>
          <c:strCache>
            <c:ptCount val="1"/>
            <c:pt idx="0">
              <c:v>Comparaison des modèles pour le U235</c:v>
            </c:pt>
          </c:strCache>
        </c:strRef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'U235'!$S$2</c:f>
              <c:strCache>
                <c:ptCount val="1"/>
                <c:pt idx="0">
                  <c:v>VESTA - U235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'U235'!$R$3:$R$10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'U235'!$S$3:$S$9</c:f>
              <c:numCache>
                <c:formatCode>0.0000E+00</c:formatCode>
                <c:ptCount val="7"/>
                <c:pt idx="0">
                  <c:v>8.8937324162937733E+19</c:v>
                </c:pt>
                <c:pt idx="1">
                  <c:v>8.58863158607495E+19</c:v>
                </c:pt>
                <c:pt idx="2">
                  <c:v>8.0086807161689129E+19</c:v>
                </c:pt>
                <c:pt idx="3">
                  <c:v>6.8945873163047076E+19</c:v>
                </c:pt>
                <c:pt idx="4">
                  <c:v>5.3561185406970372E+19</c:v>
                </c:pt>
                <c:pt idx="5">
                  <c:v>2.5168657722300748E+19</c:v>
                </c:pt>
                <c:pt idx="6">
                  <c:v>7.4529304786881649E+18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'U235'!$Q$2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'U235'!$P$3:$P$511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'U235'!$Q$3:$Q$52</c:f>
              <c:numCache>
                <c:formatCode>0.0000E+00</c:formatCode>
                <c:ptCount val="50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'U235'!$K$2</c:f>
              <c:strCache>
                <c:ptCount val="1"/>
                <c:pt idx="0">
                  <c:v>RK1 - U235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'U235'!$J$3:$J$137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'U235'!$K$3:$K$137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'U235'!$M$2</c:f>
              <c:strCache>
                <c:ptCount val="1"/>
                <c:pt idx="0">
                  <c:v>O5 - U235</c:v>
                </c:pt>
              </c:strCache>
            </c:strRef>
          </c:tx>
          <c:marker>
            <c:symbol val="none"/>
          </c:marker>
          <c:xVal>
            <c:numRef>
              <c:f>'U235'!$L$3:$L$123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'U235'!$M$3:$M$116</c:f>
              <c:numCache>
                <c:formatCode>0.0000E+00</c:formatCode>
                <c:ptCount val="114"/>
                <c:pt idx="0">
                  <c:v>8.8937324162937733E+19</c:v>
                </c:pt>
                <c:pt idx="1">
                  <c:v>8.7058541148012282E+19</c:v>
                </c:pt>
                <c:pt idx="2">
                  <c:v>8.5219547583508103E+19</c:v>
                </c:pt>
                <c:pt idx="3">
                  <c:v>8.3419500516275012E+19</c:v>
                </c:pt>
                <c:pt idx="4">
                  <c:v>8.1657574833394631E+19</c:v>
                </c:pt>
                <c:pt idx="5">
                  <c:v>7.9932962863074492E+19</c:v>
                </c:pt>
                <c:pt idx="6">
                  <c:v>7.8244873975541776E+19</c:v>
                </c:pt>
                <c:pt idx="7">
                  <c:v>7.6592534183937196E+19</c:v>
                </c:pt>
                <c:pt idx="8">
                  <c:v>7.4975185745208984E+19</c:v>
                </c:pt>
                <c:pt idx="9">
                  <c:v>7.3392086761006711E+19</c:v>
                </c:pt>
                <c:pt idx="10">
                  <c:v>7.18425107785752E+19</c:v>
                </c:pt>
                <c:pt idx="11">
                  <c:v>7.0325746391648403E+19</c:v>
                </c:pt>
                <c:pt idx="12">
                  <c:v>6.8841096841343312E+19</c:v>
                </c:pt>
                <c:pt idx="13">
                  <c:v>6.7387901249598177E+19</c:v>
                </c:pt>
                <c:pt idx="14">
                  <c:v>6.5965478990608884E+19</c:v>
                </c:pt>
                <c:pt idx="15">
                  <c:v>6.4573178126032019E+19</c:v>
                </c:pt>
                <c:pt idx="16">
                  <c:v>6.3210360515172794E+19</c:v>
                </c:pt>
                <c:pt idx="17">
                  <c:v>6.1876401506314822E+19</c:v>
                </c:pt>
                <c:pt idx="18">
                  <c:v>6.0570689628049744E+19</c:v>
                </c:pt>
                <c:pt idx="19">
                  <c:v>5.9292626280606876E+19</c:v>
                </c:pt>
                <c:pt idx="20">
                  <c:v>5.8041625427182952E+19</c:v>
                </c:pt>
                <c:pt idx="21">
                  <c:v>5.681711328527174E+19</c:v>
                </c:pt>
                <c:pt idx="22">
                  <c:v>5.5618528017993736E+19</c:v>
                </c:pt>
                <c:pt idx="23">
                  <c:v>5.4445319425425826E+19</c:v>
                </c:pt>
                <c:pt idx="24">
                  <c:v>5.3296948635930984E+19</c:v>
                </c:pt>
                <c:pt idx="25">
                  <c:v>5.2172904528232202E+19</c:v>
                </c:pt>
                <c:pt idx="26">
                  <c:v>5.107266070793642E+19</c:v>
                </c:pt>
                <c:pt idx="27">
                  <c:v>4.999571296762241E+19</c:v>
                </c:pt>
                <c:pt idx="28">
                  <c:v>4.8941567770968441E+19</c:v>
                </c:pt>
                <c:pt idx="29">
                  <c:v>4.7909742014025605E+19</c:v>
                </c:pt>
                <c:pt idx="30">
                  <c:v>4.6899762786491023E+19</c:v>
                </c:pt>
                <c:pt idx="31">
                  <c:v>4.5911167132981182E+19</c:v>
                </c:pt>
                <c:pt idx="32">
                  <c:v>4.494350181430512E+19</c:v>
                </c:pt>
                <c:pt idx="33">
                  <c:v>4.3996323068737815E+19</c:v>
                </c:pt>
                <c:pt idx="34">
                  <c:v>4.3069196373293335E+19</c:v>
                </c:pt>
                <c:pt idx="35">
                  <c:v>4.216169620499814E+19</c:v>
                </c:pt>
                <c:pt idx="36">
                  <c:v>4.1273405802164421E+19</c:v>
                </c:pt>
                <c:pt idx="37">
                  <c:v>4.0403929865323635E+19</c:v>
                </c:pt>
                <c:pt idx="38">
                  <c:v>3.9552861282606506E+19</c:v>
                </c:pt>
                <c:pt idx="39">
                  <c:v>3.8719810101606212E+19</c:v>
                </c:pt>
                <c:pt idx="40">
                  <c:v>3.7904394622932607E+19</c:v>
                </c:pt>
                <c:pt idx="41">
                  <c:v>3.710624121558034E+19</c:v>
                </c:pt>
                <c:pt idx="42">
                  <c:v>3.6324984132296843E+19</c:v>
                </c:pt>
                <c:pt idx="43">
                  <c:v>3.5560265324950516E+19</c:v>
                </c:pt>
                <c:pt idx="44">
                  <c:v>3.4811734259898708E+19</c:v>
                </c:pt>
                <c:pt idx="45">
                  <c:v>3.4079047733355815E+19</c:v>
                </c:pt>
                <c:pt idx="46">
                  <c:v>3.3361869686761353E+19</c:v>
                </c:pt>
                <c:pt idx="47">
                  <c:v>3.2659871022148022E+19</c:v>
                </c:pt>
                <c:pt idx="48">
                  <c:v>3.1972729417509753E+19</c:v>
                </c:pt>
                <c:pt idx="49">
                  <c:v>3.1300139149779128E+19</c:v>
                </c:pt>
                <c:pt idx="50">
                  <c:v>3.0641785360041153E+19</c:v>
                </c:pt>
                <c:pt idx="51">
                  <c:v>2.999736646054366E+19</c:v>
                </c:pt>
                <c:pt idx="52">
                  <c:v>2.9366587246400373E+19</c:v>
                </c:pt>
                <c:pt idx="53">
                  <c:v>2.874915875279618E+19</c:v>
                </c:pt>
                <c:pt idx="54">
                  <c:v>2.8144798112192434E+19</c:v>
                </c:pt>
                <c:pt idx="55">
                  <c:v>2.7553228411532259E+19</c:v>
                </c:pt>
                <c:pt idx="56">
                  <c:v>2.6974178549445833E+19</c:v>
                </c:pt>
                <c:pt idx="57">
                  <c:v>2.6407383093455684E+19</c:v>
                </c:pt>
                <c:pt idx="58">
                  <c:v>2.585258213718197E+19</c:v>
                </c:pt>
                <c:pt idx="59">
                  <c:v>2.5309521157547827E+19</c:v>
                </c:pt>
                <c:pt idx="60">
                  <c:v>2.4777950871984574E+19</c:v>
                </c:pt>
                <c:pt idx="61">
                  <c:v>2.4257634835576541E+19</c:v>
                </c:pt>
                <c:pt idx="62">
                  <c:v>2.3748329537637671E+19</c:v>
                </c:pt>
                <c:pt idx="63">
                  <c:v>2.3249801731416486E+19</c:v>
                </c:pt>
                <c:pt idx="64">
                  <c:v>2.2761823106650128E+19</c:v>
                </c:pt>
                <c:pt idx="65">
                  <c:v>2.2284170179126759E+19</c:v>
                </c:pt>
                <c:pt idx="66">
                  <c:v>2.1816624180248011E+19</c:v>
                </c:pt>
                <c:pt idx="67">
                  <c:v>2.1358970946591379E+19</c:v>
                </c:pt>
                <c:pt idx="68">
                  <c:v>2.0911000809472659E+19</c:v>
                </c:pt>
                <c:pt idx="69">
                  <c:v>2.0472508484508369E+19</c:v>
                </c:pt>
                <c:pt idx="70">
                  <c:v>2.0043292961178141E+19</c:v>
                </c:pt>
                <c:pt idx="71">
                  <c:v>1.9623157392387215E+19</c:v>
                </c:pt>
                <c:pt idx="72">
                  <c:v>1.9211908984028762E+19</c:v>
                </c:pt>
                <c:pt idx="73">
                  <c:v>1.8809364870653096E+19</c:v>
                </c:pt>
                <c:pt idx="74">
                  <c:v>1.8415336722063604E+19</c:v>
                </c:pt>
                <c:pt idx="75">
                  <c:v>1.8029644146195816E+19</c:v>
                </c:pt>
                <c:pt idx="76">
                  <c:v>1.7652110568845099E+19</c:v>
                </c:pt>
                <c:pt idx="77">
                  <c:v>1.7282563148254206E+19</c:v>
                </c:pt>
                <c:pt idx="78">
                  <c:v>1.6920832689700876E+19</c:v>
                </c:pt>
                <c:pt idx="79">
                  <c:v>1.6566753560085393E+19</c:v>
                </c:pt>
                <c:pt idx="80">
                  <c:v>1.6220163602518149E+19</c:v>
                </c:pt>
                <c:pt idx="81">
                  <c:v>1.588090405090722E+19</c:v>
                </c:pt>
                <c:pt idx="82">
                  <c:v>1.554881944454595E+19</c:v>
                </c:pt>
                <c:pt idx="83">
                  <c:v>1.5223757542700495E+19</c:v>
                </c:pt>
                <c:pt idx="84">
                  <c:v>1.4905569239197424E+19</c:v>
                </c:pt>
                <c:pt idx="85">
                  <c:v>1.4594113106690859E+19</c:v>
                </c:pt>
                <c:pt idx="86">
                  <c:v>1.4289243491340442E+19</c:v>
                </c:pt>
                <c:pt idx="87">
                  <c:v>1.3990820878654276E+19</c:v>
                </c:pt>
                <c:pt idx="88">
                  <c:v>1.3698708706853534E+19</c:v>
                </c:pt>
                <c:pt idx="89">
                  <c:v>1.3412773300814555E+19</c:v>
                </c:pt>
                <c:pt idx="90">
                  <c:v>1.3132883806010974E+19</c:v>
                </c:pt>
                <c:pt idx="91">
                  <c:v>1.2858912122455824E+19</c:v>
                </c:pt>
                <c:pt idx="92">
                  <c:v>1.2590732838643671E+19</c:v>
                </c:pt>
                <c:pt idx="93">
                  <c:v>1.2328223165492701E+19</c:v>
                </c:pt>
                <c:pt idx="94">
                  <c:v>1.2071262870286868E+19</c:v>
                </c:pt>
                <c:pt idx="95">
                  <c:v>1.1819734210617989E+19</c:v>
                </c:pt>
                <c:pt idx="96">
                  <c:v>1.1573521868327852E+19</c:v>
                </c:pt>
                <c:pt idx="97">
                  <c:v>1.1332516464059711E+19</c:v>
                </c:pt>
                <c:pt idx="98">
                  <c:v>1.1096605349643246E+19</c:v>
                </c:pt>
                <c:pt idx="99">
                  <c:v>1.0865680625072339E+19</c:v>
                </c:pt>
                <c:pt idx="100">
                  <c:v>1.0639636673950966E+19</c:v>
                </c:pt>
                <c:pt idx="101">
                  <c:v>1.041837011240414E+19</c:v>
                </c:pt>
                <c:pt idx="102">
                  <c:v>1.0201779737988913E+19</c:v>
                </c:pt>
                <c:pt idx="103">
                  <c:v>9.9897664786053448E+18</c:v>
                </c:pt>
                <c:pt idx="104">
                  <c:v>9.7822333414074634E+18</c:v>
                </c:pt>
                <c:pt idx="105">
                  <c:v>9.5790853617142702E+18</c:v>
                </c:pt>
                <c:pt idx="106">
                  <c:v>9.380229551920681E+18</c:v>
                </c:pt>
                <c:pt idx="107">
                  <c:v>9.1855748504085309E+18</c:v>
                </c:pt>
                <c:pt idx="108">
                  <c:v>8.9950320704575355E+18</c:v>
                </c:pt>
                <c:pt idx="109">
                  <c:v>8.8085166184078367E+18</c:v>
                </c:pt>
                <c:pt idx="110">
                  <c:v>8.6259413724692152E+18</c:v>
                </c:pt>
                <c:pt idx="111">
                  <c:v>8.4472228830710344E+18</c:v>
                </c:pt>
                <c:pt idx="112">
                  <c:v>8.2722794667704658E+18</c:v>
                </c:pt>
                <c:pt idx="113">
                  <c:v>8.101031166740396E+18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'U235'!$O$2</c:f>
              <c:strCache>
                <c:ptCount val="1"/>
                <c:pt idx="0">
                  <c:v> Exact Simpl. - U235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'U235'!$N$3:$N$137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'U235'!$O$3:$O$137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8.7053382330057064E+19</c:v>
                </c:pt>
                <c:pt idx="2">
                  <c:v>8.5209347666220237E+19</c:v>
                </c:pt>
                <c:pt idx="3">
                  <c:v>8.3404374825720037E+19</c:v>
                </c:pt>
                <c:pt idx="4">
                  <c:v>8.1637636369640964E+19</c:v>
                </c:pt>
                <c:pt idx="5">
                  <c:v>7.9908322386543198E+19</c:v>
                </c:pt>
                <c:pt idx="6">
                  <c:v>7.8215640121181553E+19</c:v>
                </c:pt>
                <c:pt idx="7">
                  <c:v>7.6558813611089199E+19</c:v>
                </c:pt>
                <c:pt idx="8">
                  <c:v>7.493708333085945E+19</c:v>
                </c:pt>
                <c:pt idx="9">
                  <c:v>7.3349705843962864E+19</c:v>
                </c:pt>
                <c:pt idx="10">
                  <c:v>7.1795953461939675E+19</c:v>
                </c:pt>
                <c:pt idx="11">
                  <c:v>7.0275113910811517E+19</c:v>
                </c:pt>
                <c:pt idx="12">
                  <c:v>6.878649000455952E+19</c:v>
                </c:pt>
                <c:pt idx="13">
                  <c:v>6.7329399325519053E+19</c:v>
                </c:pt>
                <c:pt idx="14">
                  <c:v>6.5903173911544521E+19</c:v>
                </c:pt>
                <c:pt idx="15">
                  <c:v>6.4507159949801021E+19</c:v>
                </c:pt>
                <c:pt idx="16">
                  <c:v>6.3140717477042233E+19</c:v>
                </c:pt>
                <c:pt idx="17">
                  <c:v>6.1803220086237323E+19</c:v>
                </c:pt>
                <c:pt idx="18">
                  <c:v>6.0494054639412314E+19</c:v>
                </c:pt>
                <c:pt idx="19">
                  <c:v>5.9212620986574242E+19</c:v>
                </c:pt>
                <c:pt idx="20">
                  <c:v>5.7958331690589307E+19</c:v>
                </c:pt>
                <c:pt idx="21">
                  <c:v>5.6730611757888913E+19</c:v>
                </c:pt>
                <c:pt idx="22">
                  <c:v>5.5528898374880059E+19</c:v>
                </c:pt>
                <c:pt idx="23">
                  <c:v>5.4352640649939304E+19</c:v>
                </c:pt>
                <c:pt idx="24">
                  <c:v>5.3201299360872022E+19</c:v>
                </c:pt>
                <c:pt idx="25">
                  <c:v>5.2074346707721232E+19</c:v>
                </c:pt>
                <c:pt idx="26">
                  <c:v>5.0971266070812557E+19</c:v>
                </c:pt>
                <c:pt idx="27">
                  <c:v>4.9891551773924458E+19</c:v>
                </c:pt>
                <c:pt idx="28">
                  <c:v>4.8834708852475322E+19</c:v>
                </c:pt>
                <c:pt idx="29">
                  <c:v>4.7800252826620822E+19</c:v>
                </c:pt>
                <c:pt idx="30">
                  <c:v>4.6787709479157817E+19</c:v>
                </c:pt>
                <c:pt idx="31">
                  <c:v>4.5796614638132847E+19</c:v>
                </c:pt>
                <c:pt idx="32">
                  <c:v>4.4826513964055585E+19</c:v>
                </c:pt>
                <c:pt idx="33">
                  <c:v>4.3876962741619704E+19</c:v>
                </c:pt>
                <c:pt idx="34">
                  <c:v>4.2947525675835679E+19</c:v>
                </c:pt>
                <c:pt idx="35">
                  <c:v>4.2037776692482064E+19</c:v>
                </c:pt>
                <c:pt idx="36">
                  <c:v>4.1147298742783795E+19</c:v>
                </c:pt>
                <c:pt idx="37">
                  <c:v>4.0275683612227936E+19</c:v>
                </c:pt>
                <c:pt idx="38">
                  <c:v>3.9422531733429191E+19</c:v>
                </c:pt>
                <c:pt idx="39">
                  <c:v>3.8587452002959606E+19</c:v>
                </c:pt>
                <c:pt idx="40">
                  <c:v>3.7770061602058101E+19</c:v>
                </c:pt>
                <c:pt idx="41">
                  <c:v>3.69699858211381E+19</c:v>
                </c:pt>
                <c:pt idx="42">
                  <c:v>3.6186857888012456E+19</c:v>
                </c:pt>
                <c:pt idx="43">
                  <c:v>3.5420318799757042E+19</c:v>
                </c:pt>
                <c:pt idx="44">
                  <c:v>3.4670017158136033E+19</c:v>
                </c:pt>
                <c:pt idx="45">
                  <c:v>3.393560900851327E+19</c:v>
                </c:pt>
                <c:pt idx="46">
                  <c:v>3.3216757682175943E+19</c:v>
                </c:pt>
                <c:pt idx="47">
                  <c:v>3.251313364199834E+19</c:v>
                </c:pt>
                <c:pt idx="48">
                  <c:v>3.1824414331374805E+19</c:v>
                </c:pt>
                <c:pt idx="49">
                  <c:v>3.1150284026352775E+19</c:v>
                </c:pt>
                <c:pt idx="50">
                  <c:v>3.0490433690898047E+19</c:v>
                </c:pt>
                <c:pt idx="51">
                  <c:v>2.9844560835225891E+19</c:v>
                </c:pt>
                <c:pt idx="52">
                  <c:v>2.9212369377133162E+19</c:v>
                </c:pt>
                <c:pt idx="53">
                  <c:v>2.8593569506267722E+19</c:v>
                </c:pt>
                <c:pt idx="54">
                  <c:v>2.7987877551273116E+19</c:v>
                </c:pt>
                <c:pt idx="55">
                  <c:v>2.7395015849747378E+19</c:v>
                </c:pt>
                <c:pt idx="56">
                  <c:v>2.681471262095657E+19</c:v>
                </c:pt>
                <c:pt idx="57">
                  <c:v>2.6246701841244516E+19</c:v>
                </c:pt>
                <c:pt idx="58">
                  <c:v>2.5690723122081833E+19</c:v>
                </c:pt>
                <c:pt idx="59">
                  <c:v>2.5146521590698074E+19</c:v>
                </c:pt>
                <c:pt idx="60">
                  <c:v>2.4613847773242532E+19</c:v>
                </c:pt>
                <c:pt idx="61">
                  <c:v>2.4092457480419983E+19</c:v>
                </c:pt>
                <c:pt idx="62">
                  <c:v>2.3582111695548965E+19</c:v>
                </c:pt>
                <c:pt idx="63">
                  <c:v>2.3082576464991371E+19</c:v>
                </c:pt>
                <c:pt idx="64">
                  <c:v>2.2593622790902915E+19</c:v>
                </c:pt>
                <c:pt idx="65">
                  <c:v>2.2115026526255616E+19</c:v>
                </c:pt>
                <c:pt idx="66">
                  <c:v>2.1646568272083845E+19</c:v>
                </c:pt>
                <c:pt idx="67">
                  <c:v>2.118803327690709E+19</c:v>
                </c:pt>
                <c:pt idx="68">
                  <c:v>2.073921133828318E+19</c:v>
                </c:pt>
                <c:pt idx="69">
                  <c:v>2.0299896706446901E+19</c:v>
                </c:pt>
                <c:pt idx="70">
                  <c:v>1.9869887989989822E+19</c:v>
                </c:pt>
                <c:pt idx="71">
                  <c:v>1.9448988063538082E+19</c:v>
                </c:pt>
                <c:pt idx="72">
                  <c:v>1.9037003977385812E+19</c:v>
                </c:pt>
                <c:pt idx="73">
                  <c:v>1.8633746869042786E+19</c:v>
                </c:pt>
                <c:pt idx="74">
                  <c:v>1.8239031876655733E+19</c:v>
                </c:pt>
                <c:pt idx="75">
                  <c:v>1.785267805426364E+19</c:v>
                </c:pt>
                <c:pt idx="76">
                  <c:v>1.7474508288848167E+19</c:v>
                </c:pt>
                <c:pt idx="77">
                  <c:v>1.7104349219141188E+19</c:v>
                </c:pt>
                <c:pt idx="78">
                  <c:v>1.6742031156152195E+19</c:v>
                </c:pt>
                <c:pt idx="79">
                  <c:v>1.6387388005379164E+19</c:v>
                </c:pt>
                <c:pt idx="80">
                  <c:v>1.6040257190667223E+19</c:v>
                </c:pt>
                <c:pt idx="81">
                  <c:v>1.570047957968018E+19</c:v>
                </c:pt>
                <c:pt idx="82">
                  <c:v>1.5367899410950814E+19</c:v>
                </c:pt>
                <c:pt idx="83">
                  <c:v>1.5042364222476397E+19</c:v>
                </c:pt>
                <c:pt idx="84">
                  <c:v>1.4723724781826793E+19</c:v>
                </c:pt>
                <c:pt idx="85">
                  <c:v>1.4411835017733075E+19</c:v>
                </c:pt>
                <c:pt idx="86">
                  <c:v>1.4106551953125243E+19</c:v>
                </c:pt>
                <c:pt idx="87">
                  <c:v>1.3807735639588434E+19</c:v>
                </c:pt>
                <c:pt idx="88">
                  <c:v>1.3515249093207515E+19</c:v>
                </c:pt>
                <c:pt idx="89">
                  <c:v>1.3228958231770661E+19</c:v>
                </c:pt>
                <c:pt idx="90">
                  <c:v>1.2948731813303153E+19</c:v>
                </c:pt>
                <c:pt idx="91">
                  <c:v>1.2674441375903187E+19</c:v>
                </c:pt>
                <c:pt idx="92">
                  <c:v>1.2405961178852149E+19</c:v>
                </c:pt>
                <c:pt idx="93">
                  <c:v>1.2143168144972313E+19</c:v>
                </c:pt>
                <c:pt idx="94">
                  <c:v>1.1885941804205576E+19</c:v>
                </c:pt>
                <c:pt idx="95">
                  <c:v>1.1634164238387382E+19</c:v>
                </c:pt>
                <c:pt idx="96">
                  <c:v>1.1387720027190438E+19</c:v>
                </c:pt>
                <c:pt idx="97">
                  <c:v>1.1146496195213521E+19</c:v>
                </c:pt>
                <c:pt idx="98">
                  <c:v>1.0910382160191103E+19</c:v>
                </c:pt>
                <c:pt idx="99">
                  <c:v>1.0679269682300021E+19</c:v>
                </c:pt>
                <c:pt idx="100">
                  <c:v>1.0453052814539979E+19</c:v>
                </c:pt>
                <c:pt idx="101">
                  <c:v>1.0231627854165137E+19</c:v>
                </c:pt>
                <c:pt idx="102">
                  <c:v>1.0014893295144511E+19</c:v>
                </c:pt>
                <c:pt idx="103">
                  <c:v>9.8027497816293908E+18</c:v>
                </c:pt>
                <c:pt idx="104">
                  <c:v>9.5951000624064573E+18</c:v>
                </c:pt>
                <c:pt idx="105">
                  <c:v>9.39184894631569E+18</c:v>
                </c:pt>
                <c:pt idx="106">
                  <c:v>9.1929032586126889E+18</c:v>
                </c:pt>
                <c:pt idx="107">
                  <c:v>8.9981717982553221E+18</c:v>
                </c:pt>
                <c:pt idx="108">
                  <c:v>8.8075652960951798E+18</c:v>
                </c:pt>
                <c:pt idx="109">
                  <c:v>8.6209963739546542E+18</c:v>
                </c:pt>
                <c:pt idx="110">
                  <c:v>8.438379504570879E+18</c:v>
                </c:pt>
                <c:pt idx="111">
                  <c:v>8.2596309723881574E+18</c:v>
                </c:pt>
                <c:pt idx="112">
                  <c:v>8.0846688351809382E+18</c:v>
                </c:pt>
                <c:pt idx="113">
                  <c:v>7.9134128864897004E+18</c:v>
                </c:pt>
                <c:pt idx="114">
                  <c:v>7.7457846188525732E+18</c:v>
                </c:pt>
                <c:pt idx="115">
                  <c:v>7.5817071878157957E+18</c:v>
                </c:pt>
                <c:pt idx="116">
                  <c:v>7.4211053767065457E+18</c:v>
                </c:pt>
                <c:pt idx="117">
                  <c:v>7.263905562151979E+18</c:v>
                </c:pt>
                <c:pt idx="118">
                  <c:v>7.1100356803286692E+18</c:v>
                </c:pt>
                <c:pt idx="119">
                  <c:v>6.9594251939269734E+18</c:v>
                </c:pt>
                <c:pt idx="120">
                  <c:v>6.8120050598151987E+18</c:v>
                </c:pt>
                <c:pt idx="121">
                  <c:v>6.6677076973887191E+18</c:v>
                </c:pt>
                <c:pt idx="122">
                  <c:v>6.5264669575895603E+18</c:v>
                </c:pt>
                <c:pt idx="123">
                  <c:v>6.3882180925822147E+18</c:v>
                </c:pt>
                <c:pt idx="124">
                  <c:v>6.2528977260718408E+18</c:v>
                </c:pt>
                <c:pt idx="125">
                  <c:v>6.1204438242511667E+18</c:v>
                </c:pt>
                <c:pt idx="126">
                  <c:v>5.990795667362858E+18</c:v>
                </c:pt>
                <c:pt idx="127">
                  <c:v>5.8638938218642452E+18</c:v>
                </c:pt>
                <c:pt idx="128">
                  <c:v>5.739680113181696E+18</c:v>
                </c:pt>
                <c:pt idx="129">
                  <c:v>5.6180975990421228E+18</c:v>
                </c:pt>
                <c:pt idx="130">
                  <c:v>5.4990905433693972E+18</c:v>
                </c:pt>
                <c:pt idx="131">
                  <c:v>5.3826043907337267E+18</c:v>
                </c:pt>
                <c:pt idx="132">
                  <c:v>5.2685857413422469E+18</c:v>
                </c:pt>
                <c:pt idx="133">
                  <c:v>5.1569823265593948E+18</c:v>
                </c:pt>
                <c:pt idx="134">
                  <c:v>5.0477429849458299E+18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91520"/>
        <c:axId val="66493440"/>
      </c:scatterChart>
      <c:valAx>
        <c:axId val="66491520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'U235'!$B$11</c:f>
              <c:strCache>
                <c:ptCount val="1"/>
                <c:pt idx="0">
                  <c:v>Temps (années)</c:v>
                </c:pt>
              </c:strCache>
            </c:strRef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66493440"/>
        <c:crosses val="autoZero"/>
        <c:crossBetween val="midCat"/>
      </c:valAx>
      <c:valAx>
        <c:axId val="66493440"/>
        <c:scaling>
          <c:orientation val="minMax"/>
        </c:scaling>
        <c:delete val="0"/>
        <c:axPos val="l"/>
        <c:majorGridlines/>
        <c:title>
          <c:tx>
            <c:strRef>
              <c:f>'U235'!$B$12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2.6442978102155332E-2"/>
              <c:y val="0.19154838184516818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66491520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'U238'!$O$2</c:f>
              <c:strCache>
                <c:ptCount val="1"/>
                <c:pt idx="0">
                  <c:v> Exact Simpl. - U238</c:v>
                </c:pt>
              </c:strCache>
            </c:strRef>
          </c:tx>
          <c:marker>
            <c:symbol val="none"/>
          </c:marker>
          <c:xVal>
            <c:numRef>
              <c:f>'U238'!$N$3:$N$137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'U238'!$O$3:$O$137</c:f>
              <c:numCache>
                <c:formatCode>0.0000E+00</c:formatCode>
                <c:ptCount val="135"/>
                <c:pt idx="0">
                  <c:v>1.6799927091276066E+22</c:v>
                </c:pt>
                <c:pt idx="1">
                  <c:v>1.6752064971806066E+22</c:v>
                </c:pt>
                <c:pt idx="2">
                  <c:v>1.6704339209027838E+22</c:v>
                </c:pt>
                <c:pt idx="3">
                  <c:v>1.6656749414468249E+22</c:v>
                </c:pt>
                <c:pt idx="4">
                  <c:v>1.660929520076091E+22</c:v>
                </c:pt>
                <c:pt idx="5">
                  <c:v>1.6561976181643016E+22</c:v>
                </c:pt>
                <c:pt idx="6">
                  <c:v>1.6514791971952207E+22</c:v>
                </c:pt>
                <c:pt idx="7">
                  <c:v>1.6467742187623425E+22</c:v>
                </c:pt>
                <c:pt idx="8">
                  <c:v>1.6420826445685803E+22</c:v>
                </c:pt>
                <c:pt idx="9">
                  <c:v>1.6374044364259528E+22</c:v>
                </c:pt>
                <c:pt idx="10">
                  <c:v>1.6327395562552748E+22</c:v>
                </c:pt>
                <c:pt idx="11">
                  <c:v>1.6280879660858471E+22</c:v>
                </c:pt>
                <c:pt idx="12">
                  <c:v>1.6234496280551462E+22</c:v>
                </c:pt>
                <c:pt idx="13">
                  <c:v>1.6188245044085173E+22</c:v>
                </c:pt>
                <c:pt idx="14">
                  <c:v>1.6142125574988667E+22</c:v>
                </c:pt>
                <c:pt idx="15">
                  <c:v>1.6096137497863558E+22</c:v>
                </c:pt>
                <c:pt idx="16">
                  <c:v>1.6050280438380938E+22</c:v>
                </c:pt>
                <c:pt idx="17">
                  <c:v>1.6004554023278358E+22</c:v>
                </c:pt>
                <c:pt idx="18">
                  <c:v>1.5958957880356763E+22</c:v>
                </c:pt>
                <c:pt idx="19">
                  <c:v>1.5913491638477476E+22</c:v>
                </c:pt>
                <c:pt idx="20">
                  <c:v>1.5868154927559177E+22</c:v>
                </c:pt>
                <c:pt idx="21">
                  <c:v>1.5822947378574892E+22</c:v>
                </c:pt>
                <c:pt idx="22">
                  <c:v>1.5777868623548976E+22</c:v>
                </c:pt>
                <c:pt idx="23">
                  <c:v>1.5732918295554135E+22</c:v>
                </c:pt>
                <c:pt idx="24">
                  <c:v>1.5688096028708431E+22</c:v>
                </c:pt>
                <c:pt idx="25">
                  <c:v>1.5643401458172304E+22</c:v>
                </c:pt>
                <c:pt idx="26">
                  <c:v>1.5598834220145595E+22</c:v>
                </c:pt>
                <c:pt idx="27">
                  <c:v>1.5554393951864609E+22</c:v>
                </c:pt>
                <c:pt idx="28">
                  <c:v>1.5510080291599131E+22</c:v>
                </c:pt>
                <c:pt idx="29">
                  <c:v>1.5465892878649506E+22</c:v>
                </c:pt>
                <c:pt idx="30">
                  <c:v>1.5421831353343691E+22</c:v>
                </c:pt>
                <c:pt idx="31">
                  <c:v>1.5377895357034325E+22</c:v>
                </c:pt>
                <c:pt idx="32">
                  <c:v>1.5334084532095821E+22</c:v>
                </c:pt>
                <c:pt idx="33">
                  <c:v>1.5290398521921443E+22</c:v>
                </c:pt>
                <c:pt idx="34">
                  <c:v>1.5246836970920421E+22</c:v>
                </c:pt>
                <c:pt idx="35">
                  <c:v>1.5203399524515026E+22</c:v>
                </c:pt>
                <c:pt idx="36">
                  <c:v>1.5160085829137721E+22</c:v>
                </c:pt>
                <c:pt idx="37">
                  <c:v>1.5116895532228253E+22</c:v>
                </c:pt>
                <c:pt idx="38">
                  <c:v>1.5073828282230796E+22</c:v>
                </c:pt>
                <c:pt idx="39">
                  <c:v>1.5030883728591096E+22</c:v>
                </c:pt>
                <c:pt idx="40">
                  <c:v>1.4988061521753596E+22</c:v>
                </c:pt>
                <c:pt idx="41">
                  <c:v>1.4945361313158622E+22</c:v>
                </c:pt>
                <c:pt idx="42">
                  <c:v>1.4902782755239511E+22</c:v>
                </c:pt>
                <c:pt idx="43">
                  <c:v>1.4860325501419815E+22</c:v>
                </c:pt>
                <c:pt idx="44">
                  <c:v>1.4817989206110452E+22</c:v>
                </c:pt>
                <c:pt idx="45">
                  <c:v>1.4775773524706908E+22</c:v>
                </c:pt>
                <c:pt idx="46">
                  <c:v>1.4733678113586439E+22</c:v>
                </c:pt>
                <c:pt idx="47">
                  <c:v>1.4691702630105253E+22</c:v>
                </c:pt>
                <c:pt idx="48">
                  <c:v>1.4649846732595736E+22</c:v>
                </c:pt>
                <c:pt idx="49">
                  <c:v>1.4608110080363667E+22</c:v>
                </c:pt>
                <c:pt idx="50">
                  <c:v>1.4566492333685451E+22</c:v>
                </c:pt>
                <c:pt idx="51">
                  <c:v>1.4524993153805335E+22</c:v>
                </c:pt>
                <c:pt idx="52">
                  <c:v>1.4483612202932673E+22</c:v>
                </c:pt>
                <c:pt idx="53">
                  <c:v>1.4442349144239172E+22</c:v>
                </c:pt>
                <c:pt idx="54">
                  <c:v>1.4401203641856129E+22</c:v>
                </c:pt>
                <c:pt idx="55">
                  <c:v>1.4360175360871728E+22</c:v>
                </c:pt>
                <c:pt idx="56">
                  <c:v>1.4319263967328294E+22</c:v>
                </c:pt>
                <c:pt idx="57">
                  <c:v>1.4278469128219582E+22</c:v>
                </c:pt>
                <c:pt idx="58">
                  <c:v>1.4237790511488058E+22</c:v>
                </c:pt>
                <c:pt idx="59">
                  <c:v>1.4197227786022211E+22</c:v>
                </c:pt>
                <c:pt idx="60">
                  <c:v>1.4156780621653845E+22</c:v>
                </c:pt>
                <c:pt idx="61">
                  <c:v>1.4116448689155398E+22</c:v>
                </c:pt>
                <c:pt idx="62">
                  <c:v>1.407623166023726E+22</c:v>
                </c:pt>
                <c:pt idx="63">
                  <c:v>1.4036129207545097E+22</c:v>
                </c:pt>
                <c:pt idx="64">
                  <c:v>1.3996141004657198E+22</c:v>
                </c:pt>
                <c:pt idx="65">
                  <c:v>1.3956266726081801E+22</c:v>
                </c:pt>
                <c:pt idx="66">
                  <c:v>1.3916506047254465E+22</c:v>
                </c:pt>
                <c:pt idx="67">
                  <c:v>1.3876858644535404E+22</c:v>
                </c:pt>
                <c:pt idx="68">
                  <c:v>1.3837324195206875E+22</c:v>
                </c:pt>
                <c:pt idx="69">
                  <c:v>1.3797902377470535E+22</c:v>
                </c:pt>
                <c:pt idx="70">
                  <c:v>1.3758592870444826E+22</c:v>
                </c:pt>
                <c:pt idx="71">
                  <c:v>1.3719395354162374E+22</c:v>
                </c:pt>
                <c:pt idx="72">
                  <c:v>1.3680309509567365E+22</c:v>
                </c:pt>
                <c:pt idx="73">
                  <c:v>1.3641335018512965E+22</c:v>
                </c:pt>
                <c:pt idx="74">
                  <c:v>1.3602471563758727E+22</c:v>
                </c:pt>
                <c:pt idx="75">
                  <c:v>1.356371882896799E+22</c:v>
                </c:pt>
                <c:pt idx="76">
                  <c:v>1.352507649870534E+22</c:v>
                </c:pt>
                <c:pt idx="77">
                  <c:v>1.3486544258434008E+22</c:v>
                </c:pt>
                <c:pt idx="78">
                  <c:v>1.3448121794513326E+22</c:v>
                </c:pt>
                <c:pt idx="79">
                  <c:v>1.340980879419618E+22</c:v>
                </c:pt>
                <c:pt idx="80">
                  <c:v>1.3371604945626445E+22</c:v>
                </c:pt>
                <c:pt idx="81">
                  <c:v>1.333350993783647E+22</c:v>
                </c:pt>
                <c:pt idx="82">
                  <c:v>1.3295523460744521E+22</c:v>
                </c:pt>
                <c:pt idx="83">
                  <c:v>1.3257645205152281E+22</c:v>
                </c:pt>
                <c:pt idx="84">
                  <c:v>1.321987486274232E+22</c:v>
                </c:pt>
                <c:pt idx="85">
                  <c:v>1.318221212607559E+22</c:v>
                </c:pt>
                <c:pt idx="86">
                  <c:v>1.3144656688588916E+22</c:v>
                </c:pt>
                <c:pt idx="87">
                  <c:v>1.3107208244592506E+22</c:v>
                </c:pt>
                <c:pt idx="88">
                  <c:v>1.3069866489267473E+22</c:v>
                </c:pt>
                <c:pt idx="89">
                  <c:v>1.303263111866333E+22</c:v>
                </c:pt>
                <c:pt idx="90">
                  <c:v>1.2995501829695532E+22</c:v>
                </c:pt>
                <c:pt idx="91">
                  <c:v>1.2958478320143012E+22</c:v>
                </c:pt>
                <c:pt idx="92">
                  <c:v>1.2921560288645712E+22</c:v>
                </c:pt>
                <c:pt idx="93">
                  <c:v>1.2884747434702129E+22</c:v>
                </c:pt>
                <c:pt idx="94">
                  <c:v>1.2848039458666883E+22</c:v>
                </c:pt>
                <c:pt idx="95">
                  <c:v>1.2811436061748252E+22</c:v>
                </c:pt>
                <c:pt idx="96">
                  <c:v>1.2774936946005777E+22</c:v>
                </c:pt>
                <c:pt idx="97">
                  <c:v>1.2738541814347798E+22</c:v>
                </c:pt>
                <c:pt idx="98">
                  <c:v>1.2702250370529061E+22</c:v>
                </c:pt>
                <c:pt idx="99">
                  <c:v>1.2666062319148302E+22</c:v>
                </c:pt>
                <c:pt idx="100">
                  <c:v>1.2629977365645835E+22</c:v>
                </c:pt>
                <c:pt idx="101">
                  <c:v>1.2593995216301161E+22</c:v>
                </c:pt>
                <c:pt idx="102">
                  <c:v>1.2558115578230574E+22</c:v>
                </c:pt>
                <c:pt idx="103">
                  <c:v>1.2522338159384783E+22</c:v>
                </c:pt>
                <c:pt idx="104">
                  <c:v>1.2486662668546524E+22</c:v>
                </c:pt>
                <c:pt idx="105">
                  <c:v>1.2451088815328204E+22</c:v>
                </c:pt>
                <c:pt idx="106">
                  <c:v>1.2415616310169521E+22</c:v>
                </c:pt>
                <c:pt idx="107">
                  <c:v>1.2380244864335115E+22</c:v>
                </c:pt>
                <c:pt idx="108">
                  <c:v>1.2344974189912226E+22</c:v>
                </c:pt>
                <c:pt idx="109">
                  <c:v>1.2309803999808339E+22</c:v>
                </c:pt>
                <c:pt idx="110">
                  <c:v>1.2274734007748846E+22</c:v>
                </c:pt>
                <c:pt idx="111">
                  <c:v>1.2239763928274726E+22</c:v>
                </c:pt>
                <c:pt idx="112">
                  <c:v>1.2204893476740215E+22</c:v>
                </c:pt>
                <c:pt idx="113">
                  <c:v>1.2170122369310485E+22</c:v>
                </c:pt>
                <c:pt idx="114">
                  <c:v>1.2135450322959348E+22</c:v>
                </c:pt>
                <c:pt idx="115">
                  <c:v>1.2100877055466934E+22</c:v>
                </c:pt>
                <c:pt idx="116">
                  <c:v>1.2066402285417409E+22</c:v>
                </c:pt>
                <c:pt idx="117">
                  <c:v>1.2032025732196673E+22</c:v>
                </c:pt>
                <c:pt idx="118">
                  <c:v>1.1997747115990085E+22</c:v>
                </c:pt>
                <c:pt idx="119">
                  <c:v>1.196356615778018E+22</c:v>
                </c:pt>
                <c:pt idx="120">
                  <c:v>1.1929482579344399E+22</c:v>
                </c:pt>
                <c:pt idx="121">
                  <c:v>1.1895496103252822E+22</c:v>
                </c:pt>
                <c:pt idx="122">
                  <c:v>1.186160645286592E+22</c:v>
                </c:pt>
                <c:pt idx="123">
                  <c:v>1.1827813352332287E+22</c:v>
                </c:pt>
                <c:pt idx="124">
                  <c:v>1.179411652658641E+22</c:v>
                </c:pt>
                <c:pt idx="125">
                  <c:v>1.1760515701346417E+22</c:v>
                </c:pt>
                <c:pt idx="126">
                  <c:v>1.1727010603111857E+22</c:v>
                </c:pt>
                <c:pt idx="127">
                  <c:v>1.1693600959161463E+22</c:v>
                </c:pt>
                <c:pt idx="128">
                  <c:v>1.1660286497550942E+22</c:v>
                </c:pt>
                <c:pt idx="129">
                  <c:v>1.1627066947110749E+22</c:v>
                </c:pt>
                <c:pt idx="130">
                  <c:v>1.1593942037443891E+22</c:v>
                </c:pt>
                <c:pt idx="131">
                  <c:v>1.1560911498923727E+22</c:v>
                </c:pt>
                <c:pt idx="132">
                  <c:v>1.1527975062691755E+22</c:v>
                </c:pt>
                <c:pt idx="133">
                  <c:v>1.1495132460655447E+22</c:v>
                </c:pt>
                <c:pt idx="134">
                  <c:v>1.1462383425486059E+22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'U238'!$M$2</c:f>
              <c:strCache>
                <c:ptCount val="1"/>
                <c:pt idx="0">
                  <c:v>O5 - U238</c:v>
                </c:pt>
              </c:strCache>
            </c:strRef>
          </c:tx>
          <c:marker>
            <c:symbol val="none"/>
          </c:marker>
          <c:xVal>
            <c:numRef>
              <c:f>'U238'!$L$3:$L$123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'U238'!$M$3:$M$116</c:f>
              <c:numCache>
                <c:formatCode>0.0000E+00</c:formatCode>
                <c:ptCount val="114"/>
                <c:pt idx="0">
                  <c:v>1.6799927091276064E+22</c:v>
                </c:pt>
                <c:pt idx="1">
                  <c:v>1.675206497968709E+22</c:v>
                </c:pt>
                <c:pt idx="2">
                  <c:v>1.6704339224817908E+22</c:v>
                </c:pt>
                <c:pt idx="3">
                  <c:v>1.6656749438194034E+22</c:v>
                </c:pt>
                <c:pt idx="4">
                  <c:v>1.6609295232447757E+22</c:v>
                </c:pt>
                <c:pt idx="5">
                  <c:v>1.6561976221314947E+22</c:v>
                </c:pt>
                <c:pt idx="6">
                  <c:v>1.6514792019631901E+22</c:v>
                </c:pt>
                <c:pt idx="7">
                  <c:v>1.646774224333214E+22</c:v>
                </c:pt>
                <c:pt idx="8">
                  <c:v>1.6420826509443242E+22</c:v>
                </c:pt>
                <c:pt idx="9">
                  <c:v>1.637404443608366E+22</c:v>
                </c:pt>
                <c:pt idx="10">
                  <c:v>1.6327395642459575E+22</c:v>
                </c:pt>
                <c:pt idx="11">
                  <c:v>1.6280879748861668E+22</c:v>
                </c:pt>
                <c:pt idx="12">
                  <c:v>1.6234496376661975E+22</c:v>
                </c:pt>
                <c:pt idx="13">
                  <c:v>1.618824514833397E+22</c:v>
                </c:pt>
                <c:pt idx="14">
                  <c:v>1.6142125687390417E+22</c:v>
                </c:pt>
                <c:pt idx="15">
                  <c:v>1.6096137618432041E+22</c:v>
                </c:pt>
                <c:pt idx="16">
                  <c:v>1.6050280567129082E+22</c:v>
                </c:pt>
                <c:pt idx="17">
                  <c:v>1.60045541602182E+22</c:v>
                </c:pt>
                <c:pt idx="18">
                  <c:v>1.5958958025499415E+22</c:v>
                </c:pt>
                <c:pt idx="19">
                  <c:v>1.5913491791833058E+22</c:v>
                </c:pt>
                <c:pt idx="20">
                  <c:v>1.5868155089136669E+22</c:v>
                </c:pt>
                <c:pt idx="21">
                  <c:v>1.5822947548381944E+22</c:v>
                </c:pt>
                <c:pt idx="22">
                  <c:v>1.5777868801591663E+22</c:v>
                </c:pt>
                <c:pt idx="23">
                  <c:v>1.5732918481836627E+22</c:v>
                </c:pt>
                <c:pt idx="24">
                  <c:v>1.568809622323257E+22</c:v>
                </c:pt>
                <c:pt idx="25">
                  <c:v>1.5643401660959549E+22</c:v>
                </c:pt>
                <c:pt idx="26">
                  <c:v>1.5598834431201976E+22</c:v>
                </c:pt>
                <c:pt idx="27">
                  <c:v>1.5554394171195582E+22</c:v>
                </c:pt>
                <c:pt idx="28">
                  <c:v>1.5510080519209591E+22</c:v>
                </c:pt>
                <c:pt idx="29">
                  <c:v>1.5465893114543767E+22</c:v>
                </c:pt>
                <c:pt idx="30">
                  <c:v>1.5421831597525425E+22</c:v>
                </c:pt>
                <c:pt idx="31">
                  <c:v>1.5377895609506487E+22</c:v>
                </c:pt>
                <c:pt idx="32">
                  <c:v>1.5334084792860505E+22</c:v>
                </c:pt>
                <c:pt idx="33">
                  <c:v>1.5290398790979701E+22</c:v>
                </c:pt>
                <c:pt idx="34">
                  <c:v>1.5246837248271994E+22</c:v>
                </c:pt>
                <c:pt idx="35">
                  <c:v>1.5203399810158034E+22</c:v>
                </c:pt>
                <c:pt idx="36">
                  <c:v>1.5160086123068244E+22</c:v>
                </c:pt>
                <c:pt idx="37">
                  <c:v>1.5116895834461507E+22</c:v>
                </c:pt>
                <c:pt idx="38">
                  <c:v>1.5073828592767302E+22</c:v>
                </c:pt>
                <c:pt idx="39">
                  <c:v>1.5030884047430997E+22</c:v>
                </c:pt>
                <c:pt idx="40">
                  <c:v>1.4988061848896688E+22</c:v>
                </c:pt>
                <c:pt idx="41">
                  <c:v>1.4945361648604297E+22</c:v>
                </c:pt>
                <c:pt idx="42">
                  <c:v>1.4902783098986724E+22</c:v>
                </c:pt>
                <c:pt idx="43">
                  <c:v>1.4860325853466976E+22</c:v>
                </c:pt>
                <c:pt idx="44">
                  <c:v>1.4817989566455307E+22</c:v>
                </c:pt>
                <c:pt idx="45">
                  <c:v>1.4775773893346342E+22</c:v>
                </c:pt>
                <c:pt idx="46">
                  <c:v>1.4733678490516218E+22</c:v>
                </c:pt>
                <c:pt idx="47">
                  <c:v>1.4691703015319712E+22</c:v>
                </c:pt>
                <c:pt idx="48">
                  <c:v>1.4649847126087382E+22</c:v>
                </c:pt>
                <c:pt idx="49">
                  <c:v>1.4608110482143614E+22</c:v>
                </c:pt>
                <c:pt idx="50">
                  <c:v>1.4566492743750732E+22</c:v>
                </c:pt>
                <c:pt idx="51">
                  <c:v>1.4524993572152766E+22</c:v>
                </c:pt>
                <c:pt idx="52">
                  <c:v>1.4483612629558828E+22</c:v>
                </c:pt>
                <c:pt idx="53">
                  <c:v>1.4442349579140357E+22</c:v>
                </c:pt>
                <c:pt idx="54">
                  <c:v>1.4401204085028333E+22</c:v>
                </c:pt>
                <c:pt idx="55">
                  <c:v>1.4360175812310519E+22</c:v>
                </c:pt>
                <c:pt idx="56">
                  <c:v>1.4319264427028693E+22</c:v>
                </c:pt>
                <c:pt idx="57">
                  <c:v>1.4278469596175869E+22</c:v>
                </c:pt>
                <c:pt idx="58">
                  <c:v>1.4237790987693536E+22</c:v>
                </c:pt>
                <c:pt idx="59">
                  <c:v>1.4197228270468886E+22</c:v>
                </c:pt>
                <c:pt idx="60">
                  <c:v>1.4156781114332042E+22</c:v>
                </c:pt>
                <c:pt idx="61">
                  <c:v>1.4116449190073487E+22</c:v>
                </c:pt>
                <c:pt idx="62">
                  <c:v>1.4076232169390103E+22</c:v>
                </c:pt>
                <c:pt idx="63">
                  <c:v>1.4036129724927406E+22</c:v>
                </c:pt>
                <c:pt idx="64">
                  <c:v>1.3996141530263528E+22</c:v>
                </c:pt>
                <c:pt idx="65">
                  <c:v>1.395626725990653E+22</c:v>
                </c:pt>
                <c:pt idx="66">
                  <c:v>1.3916506589291707E+22</c:v>
                </c:pt>
                <c:pt idx="67">
                  <c:v>1.3876859194778952E+22</c:v>
                </c:pt>
                <c:pt idx="68">
                  <c:v>1.3837324753650045E+22</c:v>
                </c:pt>
                <c:pt idx="69">
                  <c:v>1.3797902944105983E+22</c:v>
                </c:pt>
                <c:pt idx="70">
                  <c:v>1.3758593445264324E+22</c:v>
                </c:pt>
                <c:pt idx="71">
                  <c:v>1.3719395937156493E+22</c:v>
                </c:pt>
                <c:pt idx="72">
                  <c:v>1.3680310100725101E+22</c:v>
                </c:pt>
                <c:pt idx="73">
                  <c:v>1.3641335617840795E+22</c:v>
                </c:pt>
                <c:pt idx="74">
                  <c:v>1.3602472171250125E+22</c:v>
                </c:pt>
                <c:pt idx="75">
                  <c:v>1.3563719444616337E+22</c:v>
                </c:pt>
                <c:pt idx="76">
                  <c:v>1.3525077122503896E+22</c:v>
                </c:pt>
                <c:pt idx="77">
                  <c:v>1.3486544890375904E+22</c:v>
                </c:pt>
                <c:pt idx="78">
                  <c:v>1.344812243459149E+22</c:v>
                </c:pt>
                <c:pt idx="79">
                  <c:v>1.3409809442403248E+22</c:v>
                </c:pt>
                <c:pt idx="80">
                  <c:v>1.337160560195464E+22</c:v>
                </c:pt>
                <c:pt idx="81">
                  <c:v>1.3333510602277404E+22</c:v>
                </c:pt>
                <c:pt idx="82">
                  <c:v>1.3295524133288985E+22</c:v>
                </c:pt>
                <c:pt idx="83">
                  <c:v>1.3257645885789934E+22</c:v>
                </c:pt>
                <c:pt idx="84">
                  <c:v>1.3219875551461331E+22</c:v>
                </c:pt>
                <c:pt idx="85">
                  <c:v>1.3182212822881039E+22</c:v>
                </c:pt>
                <c:pt idx="86">
                  <c:v>1.3144657393473351E+22</c:v>
                </c:pt>
                <c:pt idx="87">
                  <c:v>1.3107208957548407E+22</c:v>
                </c:pt>
                <c:pt idx="88">
                  <c:v>1.3069867210287228E+22</c:v>
                </c:pt>
                <c:pt idx="89">
                  <c:v>1.3032631847739212E+22</c:v>
                </c:pt>
                <c:pt idx="90">
                  <c:v>1.2995502566819657E+22</c:v>
                </c:pt>
                <c:pt idx="91">
                  <c:v>1.2958479065307222E+22</c:v>
                </c:pt>
                <c:pt idx="92">
                  <c:v>1.292156104184146E+22</c:v>
                </c:pt>
                <c:pt idx="93">
                  <c:v>1.2884748195920311E+22</c:v>
                </c:pt>
                <c:pt idx="94">
                  <c:v>1.2848040227897604E+22</c:v>
                </c:pt>
                <c:pt idx="95">
                  <c:v>1.2811436838980552E+22</c:v>
                </c:pt>
                <c:pt idx="96">
                  <c:v>1.277493773122725E+22</c:v>
                </c:pt>
                <c:pt idx="97">
                  <c:v>1.2738542607562405E+22</c:v>
                </c:pt>
                <c:pt idx="98">
                  <c:v>1.2702251171728662E+22</c:v>
                </c:pt>
                <c:pt idx="99">
                  <c:v>1.2666063128324697E+22</c:v>
                </c:pt>
                <c:pt idx="100">
                  <c:v>1.2629978182790756E+22</c:v>
                </c:pt>
                <c:pt idx="101">
                  <c:v>1.2593996041406235E+22</c:v>
                </c:pt>
                <c:pt idx="102">
                  <c:v>1.2558116411287271E+22</c:v>
                </c:pt>
                <c:pt idx="103">
                  <c:v>1.2522339000384326E+22</c:v>
                </c:pt>
                <c:pt idx="104">
                  <c:v>1.2486663517479778E+22</c:v>
                </c:pt>
                <c:pt idx="105">
                  <c:v>1.2451089672185485E+22</c:v>
                </c:pt>
                <c:pt idx="106">
                  <c:v>1.2415617174940391E+22</c:v>
                </c:pt>
                <c:pt idx="107">
                  <c:v>1.238024573700811E+22</c:v>
                </c:pt>
                <c:pt idx="108">
                  <c:v>1.2344975070474501E+22</c:v>
                </c:pt>
                <c:pt idx="109">
                  <c:v>1.2309804888262852E+22</c:v>
                </c:pt>
                <c:pt idx="110">
                  <c:v>1.2274734904086874E+22</c:v>
                </c:pt>
                <c:pt idx="111">
                  <c:v>1.2239764832487486E+22</c:v>
                </c:pt>
                <c:pt idx="112">
                  <c:v>1.2204894388818859E+22</c:v>
                </c:pt>
                <c:pt idx="113">
                  <c:v>1.2170123289246074E+22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'U238'!$Q$2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'U238'!$P$3:$P$52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'U238'!$Q$3:$Q$52</c:f>
              <c:numCache>
                <c:formatCode>0.0000E+00</c:formatCode>
                <c:ptCount val="50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'U238'!$S$2</c:f>
              <c:strCache>
                <c:ptCount val="1"/>
                <c:pt idx="0">
                  <c:v>VESTA - U238 </c:v>
                </c:pt>
              </c:strCache>
            </c:strRef>
          </c:tx>
          <c:marker>
            <c:symbol val="none"/>
          </c:marker>
          <c:xVal>
            <c:numRef>
              <c:f>'U238'!$R$3:$R$10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'U238'!$S$3:$S$9</c:f>
              <c:numCache>
                <c:formatCode>0.0000E+00</c:formatCode>
                <c:ptCount val="7"/>
                <c:pt idx="0">
                  <c:v>1.6799927091276064E+22</c:v>
                </c:pt>
                <c:pt idx="1">
                  <c:v>1.6722149651038675E+22</c:v>
                </c:pt>
                <c:pt idx="2">
                  <c:v>1.6583878646172205E+22</c:v>
                </c:pt>
                <c:pt idx="3">
                  <c:v>1.6272768885222648E+22</c:v>
                </c:pt>
                <c:pt idx="4">
                  <c:v>1.5754252616973387E+22</c:v>
                </c:pt>
                <c:pt idx="5">
                  <c:v>1.4302407065875455E+22</c:v>
                </c:pt>
                <c:pt idx="6">
                  <c:v>1.2167848428249331E+22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'U238'!$K$2</c:f>
              <c:strCache>
                <c:ptCount val="1"/>
                <c:pt idx="0">
                  <c:v>RK1 - U238</c:v>
                </c:pt>
              </c:strCache>
            </c:strRef>
          </c:tx>
          <c:marker>
            <c:symbol val="none"/>
          </c:marker>
          <c:xVal>
            <c:numRef>
              <c:f>'U238'!$J$3:$J$137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'U238'!$K$3:$K$137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054016"/>
        <c:axId val="90068096"/>
      </c:scatterChart>
      <c:valAx>
        <c:axId val="90054016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90068096"/>
        <c:crosses val="autoZero"/>
        <c:crossBetween val="midCat"/>
      </c:valAx>
      <c:valAx>
        <c:axId val="90068096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900540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54816"/>
        <c:axId val="68760704"/>
      </c:scatterChart>
      <c:valAx>
        <c:axId val="6875481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68760704"/>
        <c:crosses val="autoZero"/>
        <c:crossBetween val="midCat"/>
      </c:valAx>
      <c:valAx>
        <c:axId val="68760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7548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92320"/>
        <c:axId val="68793856"/>
      </c:scatterChart>
      <c:valAx>
        <c:axId val="6879232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68793856"/>
        <c:crosses val="autoZero"/>
        <c:crossBetween val="midCat"/>
      </c:valAx>
      <c:valAx>
        <c:axId val="68793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7923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849664"/>
        <c:axId val="90851200"/>
      </c:scatterChart>
      <c:valAx>
        <c:axId val="9084966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90851200"/>
        <c:crosses val="autoZero"/>
        <c:crossBetween val="midCat"/>
      </c:valAx>
      <c:valAx>
        <c:axId val="90851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08496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'U238'!$B$10</c:f>
          <c:strCache>
            <c:ptCount val="1"/>
            <c:pt idx="0">
              <c:v>Comparaison des modèles pour le U238</c:v>
            </c:pt>
          </c:strCache>
        </c:strRef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'U238'!$S$2</c:f>
              <c:strCache>
                <c:ptCount val="1"/>
                <c:pt idx="0">
                  <c:v>VESTA - U238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'U238'!$S$3:$S$9</c:f>
              <c:numCache>
                <c:formatCode>0.0000E+00</c:formatCode>
                <c:ptCount val="7"/>
                <c:pt idx="0">
                  <c:v>1.6799927091276064E+22</c:v>
                </c:pt>
                <c:pt idx="1">
                  <c:v>1.6722149651038675E+22</c:v>
                </c:pt>
                <c:pt idx="2">
                  <c:v>1.6583878646172205E+22</c:v>
                </c:pt>
                <c:pt idx="3">
                  <c:v>1.6272768885222648E+22</c:v>
                </c:pt>
                <c:pt idx="4">
                  <c:v>1.5754252616973387E+22</c:v>
                </c:pt>
                <c:pt idx="5">
                  <c:v>1.4302407065875455E+22</c:v>
                </c:pt>
                <c:pt idx="6">
                  <c:v>1.2167848428249331E+22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'U238'!$Q$2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'U238'!$P$3:$P$511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'U238'!$Q$3:$Q$52</c:f>
              <c:numCache>
                <c:formatCode>0.0000E+00</c:formatCode>
                <c:ptCount val="50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'U238'!$K$2</c:f>
              <c:strCache>
                <c:ptCount val="1"/>
                <c:pt idx="0">
                  <c:v>RK1 - U238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'U238'!$K$3:$K$137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'U238'!$M$2</c:f>
              <c:strCache>
                <c:ptCount val="1"/>
                <c:pt idx="0">
                  <c:v>O5 - U238</c:v>
                </c:pt>
              </c:strCache>
            </c:strRef>
          </c:tx>
          <c:marker>
            <c:symbol val="none"/>
          </c:marker>
          <c:xVal>
            <c:numRef>
              <c:f>'U238'!$L$3:$L$123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'U238'!$M$3:$M$116</c:f>
              <c:numCache>
                <c:formatCode>0.0000E+00</c:formatCode>
                <c:ptCount val="114"/>
                <c:pt idx="0">
                  <c:v>1.6799927091276064E+22</c:v>
                </c:pt>
                <c:pt idx="1">
                  <c:v>1.675206497968709E+22</c:v>
                </c:pt>
                <c:pt idx="2">
                  <c:v>1.6704339224817908E+22</c:v>
                </c:pt>
                <c:pt idx="3">
                  <c:v>1.6656749438194034E+22</c:v>
                </c:pt>
                <c:pt idx="4">
                  <c:v>1.6609295232447757E+22</c:v>
                </c:pt>
                <c:pt idx="5">
                  <c:v>1.6561976221314947E+22</c:v>
                </c:pt>
                <c:pt idx="6">
                  <c:v>1.6514792019631901E+22</c:v>
                </c:pt>
                <c:pt idx="7">
                  <c:v>1.646774224333214E+22</c:v>
                </c:pt>
                <c:pt idx="8">
                  <c:v>1.6420826509443242E+22</c:v>
                </c:pt>
                <c:pt idx="9">
                  <c:v>1.637404443608366E+22</c:v>
                </c:pt>
                <c:pt idx="10">
                  <c:v>1.6327395642459575E+22</c:v>
                </c:pt>
                <c:pt idx="11">
                  <c:v>1.6280879748861668E+22</c:v>
                </c:pt>
                <c:pt idx="12">
                  <c:v>1.6234496376661975E+22</c:v>
                </c:pt>
                <c:pt idx="13">
                  <c:v>1.618824514833397E+22</c:v>
                </c:pt>
                <c:pt idx="14">
                  <c:v>1.6142125687390417E+22</c:v>
                </c:pt>
                <c:pt idx="15">
                  <c:v>1.6096137618432041E+22</c:v>
                </c:pt>
                <c:pt idx="16">
                  <c:v>1.6050280567129082E+22</c:v>
                </c:pt>
                <c:pt idx="17">
                  <c:v>1.60045541602182E+22</c:v>
                </c:pt>
                <c:pt idx="18">
                  <c:v>1.5958958025499415E+22</c:v>
                </c:pt>
                <c:pt idx="19">
                  <c:v>1.5913491791833058E+22</c:v>
                </c:pt>
                <c:pt idx="20">
                  <c:v>1.5868155089136669E+22</c:v>
                </c:pt>
                <c:pt idx="21">
                  <c:v>1.5822947548381944E+22</c:v>
                </c:pt>
                <c:pt idx="22">
                  <c:v>1.5777868801591663E+22</c:v>
                </c:pt>
                <c:pt idx="23">
                  <c:v>1.5732918481836627E+22</c:v>
                </c:pt>
                <c:pt idx="24">
                  <c:v>1.568809622323257E+22</c:v>
                </c:pt>
                <c:pt idx="25">
                  <c:v>1.5643401660959549E+22</c:v>
                </c:pt>
                <c:pt idx="26">
                  <c:v>1.5598834431201976E+22</c:v>
                </c:pt>
                <c:pt idx="27">
                  <c:v>1.5554394171195582E+22</c:v>
                </c:pt>
                <c:pt idx="28">
                  <c:v>1.5510080519209591E+22</c:v>
                </c:pt>
                <c:pt idx="29">
                  <c:v>1.5465893114543767E+22</c:v>
                </c:pt>
                <c:pt idx="30">
                  <c:v>1.5421831597525425E+22</c:v>
                </c:pt>
                <c:pt idx="31">
                  <c:v>1.5377895609506487E+22</c:v>
                </c:pt>
                <c:pt idx="32">
                  <c:v>1.5334084792860505E+22</c:v>
                </c:pt>
                <c:pt idx="33">
                  <c:v>1.5290398790979701E+22</c:v>
                </c:pt>
                <c:pt idx="34">
                  <c:v>1.5246837248271994E+22</c:v>
                </c:pt>
                <c:pt idx="35">
                  <c:v>1.5203399810158034E+22</c:v>
                </c:pt>
                <c:pt idx="36">
                  <c:v>1.5160086123068244E+22</c:v>
                </c:pt>
                <c:pt idx="37">
                  <c:v>1.5116895834461507E+22</c:v>
                </c:pt>
                <c:pt idx="38">
                  <c:v>1.5073828592767302E+22</c:v>
                </c:pt>
                <c:pt idx="39">
                  <c:v>1.5030884047430997E+22</c:v>
                </c:pt>
                <c:pt idx="40">
                  <c:v>1.4988061848896688E+22</c:v>
                </c:pt>
                <c:pt idx="41">
                  <c:v>1.4945361648604297E+22</c:v>
                </c:pt>
                <c:pt idx="42">
                  <c:v>1.4902783098986724E+22</c:v>
                </c:pt>
                <c:pt idx="43">
                  <c:v>1.4860325853466976E+22</c:v>
                </c:pt>
                <c:pt idx="44">
                  <c:v>1.4817989566455307E+22</c:v>
                </c:pt>
                <c:pt idx="45">
                  <c:v>1.4775773893346342E+22</c:v>
                </c:pt>
                <c:pt idx="46">
                  <c:v>1.4733678490516218E+22</c:v>
                </c:pt>
                <c:pt idx="47">
                  <c:v>1.4691703015319712E+22</c:v>
                </c:pt>
                <c:pt idx="48">
                  <c:v>1.4649847126087382E+22</c:v>
                </c:pt>
                <c:pt idx="49">
                  <c:v>1.4608110482143614E+22</c:v>
                </c:pt>
                <c:pt idx="50">
                  <c:v>1.4566492743750732E+22</c:v>
                </c:pt>
                <c:pt idx="51">
                  <c:v>1.4524993572152766E+22</c:v>
                </c:pt>
                <c:pt idx="52">
                  <c:v>1.4483612629558828E+22</c:v>
                </c:pt>
                <c:pt idx="53">
                  <c:v>1.4442349579140357E+22</c:v>
                </c:pt>
                <c:pt idx="54">
                  <c:v>1.4401204085028333E+22</c:v>
                </c:pt>
                <c:pt idx="55">
                  <c:v>1.4360175812310519E+22</c:v>
                </c:pt>
                <c:pt idx="56">
                  <c:v>1.4319264427028693E+22</c:v>
                </c:pt>
                <c:pt idx="57">
                  <c:v>1.4278469596175869E+22</c:v>
                </c:pt>
                <c:pt idx="58">
                  <c:v>1.4237790987693536E+22</c:v>
                </c:pt>
                <c:pt idx="59">
                  <c:v>1.4197228270468886E+22</c:v>
                </c:pt>
                <c:pt idx="60">
                  <c:v>1.4156781114332042E+22</c:v>
                </c:pt>
                <c:pt idx="61">
                  <c:v>1.4116449190073487E+22</c:v>
                </c:pt>
                <c:pt idx="62">
                  <c:v>1.4076232169390103E+22</c:v>
                </c:pt>
                <c:pt idx="63">
                  <c:v>1.4036129724927406E+22</c:v>
                </c:pt>
                <c:pt idx="64">
                  <c:v>1.3996141530263528E+22</c:v>
                </c:pt>
                <c:pt idx="65">
                  <c:v>1.395626725990653E+22</c:v>
                </c:pt>
                <c:pt idx="66">
                  <c:v>1.3916506589291707E+22</c:v>
                </c:pt>
                <c:pt idx="67">
                  <c:v>1.3876859194778952E+22</c:v>
                </c:pt>
                <c:pt idx="68">
                  <c:v>1.3837324753650045E+22</c:v>
                </c:pt>
                <c:pt idx="69">
                  <c:v>1.3797902944105983E+22</c:v>
                </c:pt>
                <c:pt idx="70">
                  <c:v>1.3758593445264324E+22</c:v>
                </c:pt>
                <c:pt idx="71">
                  <c:v>1.3719395937156493E+22</c:v>
                </c:pt>
                <c:pt idx="72">
                  <c:v>1.3680310100725101E+22</c:v>
                </c:pt>
                <c:pt idx="73">
                  <c:v>1.3641335617840795E+22</c:v>
                </c:pt>
                <c:pt idx="74">
                  <c:v>1.3602472171250125E+22</c:v>
                </c:pt>
                <c:pt idx="75">
                  <c:v>1.3563719444616337E+22</c:v>
                </c:pt>
                <c:pt idx="76">
                  <c:v>1.3525077122503896E+22</c:v>
                </c:pt>
                <c:pt idx="77">
                  <c:v>1.3486544890375904E+22</c:v>
                </c:pt>
                <c:pt idx="78">
                  <c:v>1.344812243459149E+22</c:v>
                </c:pt>
                <c:pt idx="79">
                  <c:v>1.3409809442403248E+22</c:v>
                </c:pt>
                <c:pt idx="80">
                  <c:v>1.337160560195464E+22</c:v>
                </c:pt>
                <c:pt idx="81">
                  <c:v>1.3333510602277404E+22</c:v>
                </c:pt>
                <c:pt idx="82">
                  <c:v>1.3295524133288985E+22</c:v>
                </c:pt>
                <c:pt idx="83">
                  <c:v>1.3257645885789934E+22</c:v>
                </c:pt>
                <c:pt idx="84">
                  <c:v>1.3219875551461331E+22</c:v>
                </c:pt>
                <c:pt idx="85">
                  <c:v>1.3182212822881039E+22</c:v>
                </c:pt>
                <c:pt idx="86">
                  <c:v>1.3144657393473351E+22</c:v>
                </c:pt>
                <c:pt idx="87">
                  <c:v>1.3107208957548407E+22</c:v>
                </c:pt>
                <c:pt idx="88">
                  <c:v>1.3069867210287228E+22</c:v>
                </c:pt>
                <c:pt idx="89">
                  <c:v>1.3032631847739212E+22</c:v>
                </c:pt>
                <c:pt idx="90">
                  <c:v>1.2995502566819657E+22</c:v>
                </c:pt>
                <c:pt idx="91">
                  <c:v>1.2958479065307222E+22</c:v>
                </c:pt>
                <c:pt idx="92">
                  <c:v>1.292156104184146E+22</c:v>
                </c:pt>
                <c:pt idx="93">
                  <c:v>1.2884748195920311E+22</c:v>
                </c:pt>
                <c:pt idx="94">
                  <c:v>1.2848040227897604E+22</c:v>
                </c:pt>
                <c:pt idx="95">
                  <c:v>1.2811436838980552E+22</c:v>
                </c:pt>
                <c:pt idx="96">
                  <c:v>1.277493773122725E+22</c:v>
                </c:pt>
                <c:pt idx="97">
                  <c:v>1.2738542607562405E+22</c:v>
                </c:pt>
                <c:pt idx="98">
                  <c:v>1.2702251171728662E+22</c:v>
                </c:pt>
                <c:pt idx="99">
                  <c:v>1.2666063128324697E+22</c:v>
                </c:pt>
                <c:pt idx="100">
                  <c:v>1.2629978182790756E+22</c:v>
                </c:pt>
                <c:pt idx="101">
                  <c:v>1.2593996041406235E+22</c:v>
                </c:pt>
                <c:pt idx="102">
                  <c:v>1.2558116411287271E+22</c:v>
                </c:pt>
                <c:pt idx="103">
                  <c:v>1.2522339000384326E+22</c:v>
                </c:pt>
                <c:pt idx="104">
                  <c:v>1.2486663517479778E+22</c:v>
                </c:pt>
                <c:pt idx="105">
                  <c:v>1.2451089672185485E+22</c:v>
                </c:pt>
                <c:pt idx="106">
                  <c:v>1.2415617174940391E+22</c:v>
                </c:pt>
                <c:pt idx="107">
                  <c:v>1.238024573700811E+22</c:v>
                </c:pt>
                <c:pt idx="108">
                  <c:v>1.2344975070474501E+22</c:v>
                </c:pt>
                <c:pt idx="109">
                  <c:v>1.2309804888262852E+22</c:v>
                </c:pt>
                <c:pt idx="110">
                  <c:v>1.2274734904086874E+22</c:v>
                </c:pt>
                <c:pt idx="111">
                  <c:v>1.2239764832487486E+22</c:v>
                </c:pt>
                <c:pt idx="112">
                  <c:v>1.2204894388818859E+22</c:v>
                </c:pt>
                <c:pt idx="113">
                  <c:v>1.2170123289246074E+22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'U238'!$O$2</c:f>
              <c:strCache>
                <c:ptCount val="1"/>
                <c:pt idx="0">
                  <c:v> Exact Simpl. - U238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'U238'!$O$3:$O$137</c:f>
              <c:numCache>
                <c:formatCode>0.0000E+00</c:formatCode>
                <c:ptCount val="135"/>
                <c:pt idx="0">
                  <c:v>1.6799927091276066E+22</c:v>
                </c:pt>
                <c:pt idx="1">
                  <c:v>1.6752064971806066E+22</c:v>
                </c:pt>
                <c:pt idx="2">
                  <c:v>1.6704339209027838E+22</c:v>
                </c:pt>
                <c:pt idx="3">
                  <c:v>1.6656749414468249E+22</c:v>
                </c:pt>
                <c:pt idx="4">
                  <c:v>1.660929520076091E+22</c:v>
                </c:pt>
                <c:pt idx="5">
                  <c:v>1.6561976181643016E+22</c:v>
                </c:pt>
                <c:pt idx="6">
                  <c:v>1.6514791971952207E+22</c:v>
                </c:pt>
                <c:pt idx="7">
                  <c:v>1.6467742187623425E+22</c:v>
                </c:pt>
                <c:pt idx="8">
                  <c:v>1.6420826445685803E+22</c:v>
                </c:pt>
                <c:pt idx="9">
                  <c:v>1.6374044364259528E+22</c:v>
                </c:pt>
                <c:pt idx="10">
                  <c:v>1.6327395562552748E+22</c:v>
                </c:pt>
                <c:pt idx="11">
                  <c:v>1.6280879660858471E+22</c:v>
                </c:pt>
                <c:pt idx="12">
                  <c:v>1.6234496280551462E+22</c:v>
                </c:pt>
                <c:pt idx="13">
                  <c:v>1.6188245044085173E+22</c:v>
                </c:pt>
                <c:pt idx="14">
                  <c:v>1.6142125574988667E+22</c:v>
                </c:pt>
                <c:pt idx="15">
                  <c:v>1.6096137497863558E+22</c:v>
                </c:pt>
                <c:pt idx="16">
                  <c:v>1.6050280438380938E+22</c:v>
                </c:pt>
                <c:pt idx="17">
                  <c:v>1.6004554023278358E+22</c:v>
                </c:pt>
                <c:pt idx="18">
                  <c:v>1.5958957880356763E+22</c:v>
                </c:pt>
                <c:pt idx="19">
                  <c:v>1.5913491638477476E+22</c:v>
                </c:pt>
                <c:pt idx="20">
                  <c:v>1.5868154927559177E+22</c:v>
                </c:pt>
                <c:pt idx="21">
                  <c:v>1.5822947378574892E+22</c:v>
                </c:pt>
                <c:pt idx="22">
                  <c:v>1.5777868623548976E+22</c:v>
                </c:pt>
                <c:pt idx="23">
                  <c:v>1.5732918295554135E+22</c:v>
                </c:pt>
                <c:pt idx="24">
                  <c:v>1.5688096028708431E+22</c:v>
                </c:pt>
                <c:pt idx="25">
                  <c:v>1.5643401458172304E+22</c:v>
                </c:pt>
                <c:pt idx="26">
                  <c:v>1.5598834220145595E+22</c:v>
                </c:pt>
                <c:pt idx="27">
                  <c:v>1.5554393951864609E+22</c:v>
                </c:pt>
                <c:pt idx="28">
                  <c:v>1.5510080291599131E+22</c:v>
                </c:pt>
                <c:pt idx="29">
                  <c:v>1.5465892878649506E+22</c:v>
                </c:pt>
                <c:pt idx="30">
                  <c:v>1.5421831353343691E+22</c:v>
                </c:pt>
                <c:pt idx="31">
                  <c:v>1.5377895357034325E+22</c:v>
                </c:pt>
                <c:pt idx="32">
                  <c:v>1.5334084532095821E+22</c:v>
                </c:pt>
                <c:pt idx="33">
                  <c:v>1.5290398521921443E+22</c:v>
                </c:pt>
                <c:pt idx="34">
                  <c:v>1.5246836970920421E+22</c:v>
                </c:pt>
                <c:pt idx="35">
                  <c:v>1.5203399524515026E+22</c:v>
                </c:pt>
                <c:pt idx="36">
                  <c:v>1.5160085829137721E+22</c:v>
                </c:pt>
                <c:pt idx="37">
                  <c:v>1.5116895532228253E+22</c:v>
                </c:pt>
                <c:pt idx="38">
                  <c:v>1.5073828282230796E+22</c:v>
                </c:pt>
                <c:pt idx="39">
                  <c:v>1.5030883728591096E+22</c:v>
                </c:pt>
                <c:pt idx="40">
                  <c:v>1.4988061521753596E+22</c:v>
                </c:pt>
                <c:pt idx="41">
                  <c:v>1.4945361313158622E+22</c:v>
                </c:pt>
                <c:pt idx="42">
                  <c:v>1.4902782755239511E+22</c:v>
                </c:pt>
                <c:pt idx="43">
                  <c:v>1.4860325501419815E+22</c:v>
                </c:pt>
                <c:pt idx="44">
                  <c:v>1.4817989206110452E+22</c:v>
                </c:pt>
                <c:pt idx="45">
                  <c:v>1.4775773524706908E+22</c:v>
                </c:pt>
                <c:pt idx="46">
                  <c:v>1.4733678113586439E+22</c:v>
                </c:pt>
                <c:pt idx="47">
                  <c:v>1.4691702630105253E+22</c:v>
                </c:pt>
                <c:pt idx="48">
                  <c:v>1.4649846732595736E+22</c:v>
                </c:pt>
                <c:pt idx="49">
                  <c:v>1.4608110080363667E+22</c:v>
                </c:pt>
                <c:pt idx="50">
                  <c:v>1.4566492333685451E+22</c:v>
                </c:pt>
                <c:pt idx="51">
                  <c:v>1.4524993153805335E+22</c:v>
                </c:pt>
                <c:pt idx="52">
                  <c:v>1.4483612202932673E+22</c:v>
                </c:pt>
                <c:pt idx="53">
                  <c:v>1.4442349144239172E+22</c:v>
                </c:pt>
                <c:pt idx="54">
                  <c:v>1.4401203641856129E+22</c:v>
                </c:pt>
                <c:pt idx="55">
                  <c:v>1.4360175360871728E+22</c:v>
                </c:pt>
                <c:pt idx="56">
                  <c:v>1.4319263967328294E+22</c:v>
                </c:pt>
                <c:pt idx="57">
                  <c:v>1.4278469128219582E+22</c:v>
                </c:pt>
                <c:pt idx="58">
                  <c:v>1.4237790511488058E+22</c:v>
                </c:pt>
                <c:pt idx="59">
                  <c:v>1.4197227786022211E+22</c:v>
                </c:pt>
                <c:pt idx="60">
                  <c:v>1.4156780621653845E+22</c:v>
                </c:pt>
                <c:pt idx="61">
                  <c:v>1.4116448689155398E+22</c:v>
                </c:pt>
                <c:pt idx="62">
                  <c:v>1.407623166023726E+22</c:v>
                </c:pt>
                <c:pt idx="63">
                  <c:v>1.4036129207545097E+22</c:v>
                </c:pt>
                <c:pt idx="64">
                  <c:v>1.3996141004657198E+22</c:v>
                </c:pt>
                <c:pt idx="65">
                  <c:v>1.3956266726081801E+22</c:v>
                </c:pt>
                <c:pt idx="66">
                  <c:v>1.3916506047254465E+22</c:v>
                </c:pt>
                <c:pt idx="67">
                  <c:v>1.3876858644535404E+22</c:v>
                </c:pt>
                <c:pt idx="68">
                  <c:v>1.3837324195206875E+22</c:v>
                </c:pt>
                <c:pt idx="69">
                  <c:v>1.3797902377470535E+22</c:v>
                </c:pt>
                <c:pt idx="70">
                  <c:v>1.3758592870444826E+22</c:v>
                </c:pt>
                <c:pt idx="71">
                  <c:v>1.3719395354162374E+22</c:v>
                </c:pt>
                <c:pt idx="72">
                  <c:v>1.3680309509567365E+22</c:v>
                </c:pt>
                <c:pt idx="73">
                  <c:v>1.3641335018512965E+22</c:v>
                </c:pt>
                <c:pt idx="74">
                  <c:v>1.3602471563758727E+22</c:v>
                </c:pt>
                <c:pt idx="75">
                  <c:v>1.356371882896799E+22</c:v>
                </c:pt>
                <c:pt idx="76">
                  <c:v>1.352507649870534E+22</c:v>
                </c:pt>
                <c:pt idx="77">
                  <c:v>1.3486544258434008E+22</c:v>
                </c:pt>
                <c:pt idx="78">
                  <c:v>1.3448121794513326E+22</c:v>
                </c:pt>
                <c:pt idx="79">
                  <c:v>1.340980879419618E+22</c:v>
                </c:pt>
                <c:pt idx="80">
                  <c:v>1.3371604945626445E+22</c:v>
                </c:pt>
                <c:pt idx="81">
                  <c:v>1.333350993783647E+22</c:v>
                </c:pt>
                <c:pt idx="82">
                  <c:v>1.3295523460744521E+22</c:v>
                </c:pt>
                <c:pt idx="83">
                  <c:v>1.3257645205152281E+22</c:v>
                </c:pt>
                <c:pt idx="84">
                  <c:v>1.321987486274232E+22</c:v>
                </c:pt>
                <c:pt idx="85">
                  <c:v>1.318221212607559E+22</c:v>
                </c:pt>
                <c:pt idx="86">
                  <c:v>1.3144656688588916E+22</c:v>
                </c:pt>
                <c:pt idx="87">
                  <c:v>1.3107208244592506E+22</c:v>
                </c:pt>
                <c:pt idx="88">
                  <c:v>1.3069866489267473E+22</c:v>
                </c:pt>
                <c:pt idx="89">
                  <c:v>1.303263111866333E+22</c:v>
                </c:pt>
                <c:pt idx="90">
                  <c:v>1.2995501829695532E+22</c:v>
                </c:pt>
                <c:pt idx="91">
                  <c:v>1.2958478320143012E+22</c:v>
                </c:pt>
                <c:pt idx="92">
                  <c:v>1.2921560288645712E+22</c:v>
                </c:pt>
                <c:pt idx="93">
                  <c:v>1.2884747434702129E+22</c:v>
                </c:pt>
                <c:pt idx="94">
                  <c:v>1.2848039458666883E+22</c:v>
                </c:pt>
                <c:pt idx="95">
                  <c:v>1.2811436061748252E+22</c:v>
                </c:pt>
                <c:pt idx="96">
                  <c:v>1.2774936946005777E+22</c:v>
                </c:pt>
                <c:pt idx="97">
                  <c:v>1.2738541814347798E+22</c:v>
                </c:pt>
                <c:pt idx="98">
                  <c:v>1.2702250370529061E+22</c:v>
                </c:pt>
                <c:pt idx="99">
                  <c:v>1.2666062319148302E+22</c:v>
                </c:pt>
                <c:pt idx="100">
                  <c:v>1.2629977365645835E+22</c:v>
                </c:pt>
                <c:pt idx="101">
                  <c:v>1.2593995216301161E+22</c:v>
                </c:pt>
                <c:pt idx="102">
                  <c:v>1.2558115578230574E+22</c:v>
                </c:pt>
                <c:pt idx="103">
                  <c:v>1.2522338159384783E+22</c:v>
                </c:pt>
                <c:pt idx="104">
                  <c:v>1.2486662668546524E+22</c:v>
                </c:pt>
                <c:pt idx="105">
                  <c:v>1.2451088815328204E+22</c:v>
                </c:pt>
                <c:pt idx="106">
                  <c:v>1.2415616310169521E+22</c:v>
                </c:pt>
                <c:pt idx="107">
                  <c:v>1.2380244864335115E+22</c:v>
                </c:pt>
                <c:pt idx="108">
                  <c:v>1.2344974189912226E+22</c:v>
                </c:pt>
                <c:pt idx="109">
                  <c:v>1.2309803999808339E+22</c:v>
                </c:pt>
                <c:pt idx="110">
                  <c:v>1.2274734007748846E+22</c:v>
                </c:pt>
                <c:pt idx="111">
                  <c:v>1.2239763928274726E+22</c:v>
                </c:pt>
                <c:pt idx="112">
                  <c:v>1.2204893476740215E+22</c:v>
                </c:pt>
                <c:pt idx="113">
                  <c:v>1.2170122369310485E+22</c:v>
                </c:pt>
                <c:pt idx="114">
                  <c:v>1.2135450322959348E+22</c:v>
                </c:pt>
                <c:pt idx="115">
                  <c:v>1.2100877055466934E+22</c:v>
                </c:pt>
                <c:pt idx="116">
                  <c:v>1.2066402285417409E+22</c:v>
                </c:pt>
                <c:pt idx="117">
                  <c:v>1.2032025732196673E+22</c:v>
                </c:pt>
                <c:pt idx="118">
                  <c:v>1.1997747115990085E+22</c:v>
                </c:pt>
                <c:pt idx="119">
                  <c:v>1.196356615778018E+22</c:v>
                </c:pt>
                <c:pt idx="120">
                  <c:v>1.1929482579344399E+22</c:v>
                </c:pt>
                <c:pt idx="121">
                  <c:v>1.1895496103252822E+22</c:v>
                </c:pt>
                <c:pt idx="122">
                  <c:v>1.186160645286592E+22</c:v>
                </c:pt>
                <c:pt idx="123">
                  <c:v>1.1827813352332287E+22</c:v>
                </c:pt>
                <c:pt idx="124">
                  <c:v>1.179411652658641E+22</c:v>
                </c:pt>
                <c:pt idx="125">
                  <c:v>1.1760515701346417E+22</c:v>
                </c:pt>
                <c:pt idx="126">
                  <c:v>1.1727010603111857E+22</c:v>
                </c:pt>
                <c:pt idx="127">
                  <c:v>1.1693600959161463E+22</c:v>
                </c:pt>
                <c:pt idx="128">
                  <c:v>1.1660286497550942E+22</c:v>
                </c:pt>
                <c:pt idx="129">
                  <c:v>1.1627066947110749E+22</c:v>
                </c:pt>
                <c:pt idx="130">
                  <c:v>1.1593942037443891E+22</c:v>
                </c:pt>
                <c:pt idx="131">
                  <c:v>1.1560911498923727E+22</c:v>
                </c:pt>
                <c:pt idx="132">
                  <c:v>1.1527975062691755E+22</c:v>
                </c:pt>
                <c:pt idx="133">
                  <c:v>1.1495132460655447E+22</c:v>
                </c:pt>
                <c:pt idx="134">
                  <c:v>1.1462383425486059E+22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891008"/>
        <c:axId val="90892928"/>
      </c:scatterChart>
      <c:valAx>
        <c:axId val="90891008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'U238'!$B$11</c:f>
              <c:strCache>
                <c:ptCount val="1"/>
                <c:pt idx="0">
                  <c:v>Temps (années)</c:v>
                </c:pt>
              </c:strCache>
            </c:strRef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90892928"/>
        <c:crosses val="autoZero"/>
        <c:crossBetween val="midCat"/>
      </c:valAx>
      <c:valAx>
        <c:axId val="90892928"/>
        <c:scaling>
          <c:orientation val="minMax"/>
          <c:min val="1E+22"/>
        </c:scaling>
        <c:delete val="0"/>
        <c:axPos val="l"/>
        <c:majorGridlines/>
        <c:title>
          <c:tx>
            <c:strRef>
              <c:f>'U238'!$B$12</c:f>
              <c:strCache>
                <c:ptCount val="1"/>
                <c:pt idx="0">
                  <c:v>Concentration en at/cm3</c:v>
                </c:pt>
              </c:strCache>
            </c:strRef>
          </c:tx>
          <c:layout>
            <c:manualLayout>
              <c:xMode val="edge"/>
              <c:yMode val="edge"/>
              <c:x val="2.831601316669909E-2"/>
              <c:y val="0.20254602702130078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90891008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13" Type="http://schemas.openxmlformats.org/officeDocument/2006/relationships/chart" Target="../charts/chart28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5" Type="http://schemas.openxmlformats.org/officeDocument/2006/relationships/chart" Target="../charts/chart20.xml"/><Relationship Id="rId10" Type="http://schemas.openxmlformats.org/officeDocument/2006/relationships/chart" Target="../charts/chart25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Relationship Id="rId14" Type="http://schemas.openxmlformats.org/officeDocument/2006/relationships/chart" Target="../charts/chart2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5" Type="http://schemas.openxmlformats.org/officeDocument/2006/relationships/chart" Target="../charts/chart43.xml"/><Relationship Id="rId4" Type="http://schemas.openxmlformats.org/officeDocument/2006/relationships/chart" Target="../charts/chart4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5" Type="http://schemas.openxmlformats.org/officeDocument/2006/relationships/chart" Target="../charts/chart48.xml"/><Relationship Id="rId4" Type="http://schemas.openxmlformats.org/officeDocument/2006/relationships/chart" Target="../charts/chart47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5" Type="http://schemas.openxmlformats.org/officeDocument/2006/relationships/chart" Target="../charts/chart53.xml"/><Relationship Id="rId4" Type="http://schemas.openxmlformats.org/officeDocument/2006/relationships/chart" Target="../charts/chart5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chart" Target="../charts/chart54.xml"/><Relationship Id="rId5" Type="http://schemas.openxmlformats.org/officeDocument/2006/relationships/chart" Target="../charts/chart58.xml"/><Relationship Id="rId4" Type="http://schemas.openxmlformats.org/officeDocument/2006/relationships/chart" Target="../charts/chart57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1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Relationship Id="rId5" Type="http://schemas.openxmlformats.org/officeDocument/2006/relationships/chart" Target="../charts/chart68.xml"/><Relationship Id="rId4" Type="http://schemas.openxmlformats.org/officeDocument/2006/relationships/chart" Target="../charts/chart6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5" Type="http://schemas.openxmlformats.org/officeDocument/2006/relationships/chart" Target="../charts/chart73.xml"/><Relationship Id="rId4" Type="http://schemas.openxmlformats.org/officeDocument/2006/relationships/chart" Target="../charts/chart72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6.xml"/><Relationship Id="rId2" Type="http://schemas.openxmlformats.org/officeDocument/2006/relationships/chart" Target="../charts/chart75.xml"/><Relationship Id="rId1" Type="http://schemas.openxmlformats.org/officeDocument/2006/relationships/chart" Target="../charts/chart74.xml"/><Relationship Id="rId5" Type="http://schemas.openxmlformats.org/officeDocument/2006/relationships/chart" Target="../charts/chart78.xml"/><Relationship Id="rId4" Type="http://schemas.openxmlformats.org/officeDocument/2006/relationships/chart" Target="../charts/chart7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806823</xdr:colOff>
      <xdr:row>6</xdr:row>
      <xdr:rowOff>60032</xdr:rowOff>
    </xdr:from>
    <xdr:to>
      <xdr:col>42</xdr:col>
      <xdr:colOff>112058</xdr:colOff>
      <xdr:row>27</xdr:row>
      <xdr:rowOff>123264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627531</xdr:colOff>
      <xdr:row>35</xdr:row>
      <xdr:rowOff>113177</xdr:rowOff>
    </xdr:from>
    <xdr:to>
      <xdr:col>15</xdr:col>
      <xdr:colOff>123266</xdr:colOff>
      <xdr:row>50</xdr:row>
      <xdr:rowOff>144553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100854</xdr:colOff>
      <xdr:row>37</xdr:row>
      <xdr:rowOff>12325</xdr:rowOff>
    </xdr:from>
    <xdr:to>
      <xdr:col>42</xdr:col>
      <xdr:colOff>1030942</xdr:colOff>
      <xdr:row>52</xdr:row>
      <xdr:rowOff>43702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78441</xdr:colOff>
      <xdr:row>40</xdr:row>
      <xdr:rowOff>79562</xdr:rowOff>
    </xdr:from>
    <xdr:to>
      <xdr:col>47</xdr:col>
      <xdr:colOff>1120587</xdr:colOff>
      <xdr:row>55</xdr:row>
      <xdr:rowOff>110939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43</xdr:col>
      <xdr:colOff>336176</xdr:colOff>
      <xdr:row>20</xdr:row>
      <xdr:rowOff>23531</xdr:rowOff>
    </xdr:from>
    <xdr:to>
      <xdr:col>47</xdr:col>
      <xdr:colOff>616322</xdr:colOff>
      <xdr:row>36</xdr:row>
      <xdr:rowOff>1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134472</xdr:colOff>
      <xdr:row>20</xdr:row>
      <xdr:rowOff>12326</xdr:rowOff>
    </xdr:from>
    <xdr:to>
      <xdr:col>43</xdr:col>
      <xdr:colOff>2</xdr:colOff>
      <xdr:row>35</xdr:row>
      <xdr:rowOff>32497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39</xdr:col>
      <xdr:colOff>324969</xdr:colOff>
      <xdr:row>54</xdr:row>
      <xdr:rowOff>1120</xdr:rowOff>
    </xdr:from>
    <xdr:to>
      <xdr:col>43</xdr:col>
      <xdr:colOff>190499</xdr:colOff>
      <xdr:row>69</xdr:row>
      <xdr:rowOff>54908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47</xdr:col>
      <xdr:colOff>597832</xdr:colOff>
      <xdr:row>20</xdr:row>
      <xdr:rowOff>48187</xdr:rowOff>
    </xdr:from>
    <xdr:to>
      <xdr:col>50</xdr:col>
      <xdr:colOff>647700</xdr:colOff>
      <xdr:row>38</xdr:row>
      <xdr:rowOff>0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515469</xdr:colOff>
      <xdr:row>55</xdr:row>
      <xdr:rowOff>12327</xdr:rowOff>
    </xdr:from>
    <xdr:to>
      <xdr:col>47</xdr:col>
      <xdr:colOff>380998</xdr:colOff>
      <xdr:row>70</xdr:row>
      <xdr:rowOff>66115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44</xdr:col>
      <xdr:colOff>11205</xdr:colOff>
      <xdr:row>69</xdr:row>
      <xdr:rowOff>101974</xdr:rowOff>
    </xdr:from>
    <xdr:to>
      <xdr:col>47</xdr:col>
      <xdr:colOff>1053352</xdr:colOff>
      <xdr:row>84</xdr:row>
      <xdr:rowOff>155762</xdr:rowOff>
    </xdr:to>
    <xdr:graphicFrame macro="">
      <xdr:nvGraphicFramePr>
        <xdr:cNvPr id="17" name="Graphique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43</xdr:col>
      <xdr:colOff>1038225</xdr:colOff>
      <xdr:row>17</xdr:row>
      <xdr:rowOff>80962</xdr:rowOff>
    </xdr:from>
    <xdr:to>
      <xdr:col>47</xdr:col>
      <xdr:colOff>847725</xdr:colOff>
      <xdr:row>34</xdr:row>
      <xdr:rowOff>71437</xdr:rowOff>
    </xdr:to>
    <xdr:graphicFrame macro="">
      <xdr:nvGraphicFramePr>
        <xdr:cNvPr id="20" name="Graphique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41</xdr:col>
      <xdr:colOff>1076325</xdr:colOff>
      <xdr:row>5</xdr:row>
      <xdr:rowOff>157162</xdr:rowOff>
    </xdr:from>
    <xdr:to>
      <xdr:col>45</xdr:col>
      <xdr:colOff>885825</xdr:colOff>
      <xdr:row>22</xdr:row>
      <xdr:rowOff>147637</xdr:rowOff>
    </xdr:to>
    <xdr:graphicFrame macro="">
      <xdr:nvGraphicFramePr>
        <xdr:cNvPr id="21" name="Graphique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5</xdr:col>
      <xdr:colOff>971550</xdr:colOff>
      <xdr:row>35</xdr:row>
      <xdr:rowOff>57150</xdr:rowOff>
    </xdr:to>
    <xdr:graphicFrame macro="">
      <xdr:nvGraphicFramePr>
        <xdr:cNvPr id="22" name="Graphique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302559</xdr:colOff>
      <xdr:row>5</xdr:row>
      <xdr:rowOff>1120</xdr:rowOff>
    </xdr:from>
    <xdr:to>
      <xdr:col>11</xdr:col>
      <xdr:colOff>448236</xdr:colOff>
      <xdr:row>19</xdr:row>
      <xdr:rowOff>77320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611522</xdr:colOff>
      <xdr:row>5</xdr:row>
      <xdr:rowOff>13126</xdr:rowOff>
    </xdr:from>
    <xdr:to>
      <xdr:col>21</xdr:col>
      <xdr:colOff>253734</xdr:colOff>
      <xdr:row>19</xdr:row>
      <xdr:rowOff>89326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22411</xdr:colOff>
      <xdr:row>20</xdr:row>
      <xdr:rowOff>156882</xdr:rowOff>
    </xdr:from>
    <xdr:to>
      <xdr:col>16</xdr:col>
      <xdr:colOff>2241</xdr:colOff>
      <xdr:row>42</xdr:row>
      <xdr:rowOff>18770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369794</xdr:colOff>
      <xdr:row>21</xdr:row>
      <xdr:rowOff>0</xdr:rowOff>
    </xdr:from>
    <xdr:to>
      <xdr:col>26</xdr:col>
      <xdr:colOff>517712</xdr:colOff>
      <xdr:row>42</xdr:row>
      <xdr:rowOff>52388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43</xdr:row>
      <xdr:rowOff>0</xdr:rowOff>
    </xdr:from>
    <xdr:to>
      <xdr:col>15</xdr:col>
      <xdr:colOff>584948</xdr:colOff>
      <xdr:row>64</xdr:row>
      <xdr:rowOff>52388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369794</xdr:colOff>
      <xdr:row>43</xdr:row>
      <xdr:rowOff>0</xdr:rowOff>
    </xdr:from>
    <xdr:to>
      <xdr:col>26</xdr:col>
      <xdr:colOff>517712</xdr:colOff>
      <xdr:row>64</xdr:row>
      <xdr:rowOff>52388</xdr:rowOff>
    </xdr:to>
    <xdr:graphicFrame macro="">
      <xdr:nvGraphicFramePr>
        <xdr:cNvPr id="7" name="Graphique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65</xdr:row>
      <xdr:rowOff>0</xdr:rowOff>
    </xdr:from>
    <xdr:to>
      <xdr:col>15</xdr:col>
      <xdr:colOff>584948</xdr:colOff>
      <xdr:row>86</xdr:row>
      <xdr:rowOff>52388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369794</xdr:colOff>
      <xdr:row>65</xdr:row>
      <xdr:rowOff>0</xdr:rowOff>
    </xdr:from>
    <xdr:to>
      <xdr:col>26</xdr:col>
      <xdr:colOff>517712</xdr:colOff>
      <xdr:row>86</xdr:row>
      <xdr:rowOff>52388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87</xdr:row>
      <xdr:rowOff>0</xdr:rowOff>
    </xdr:from>
    <xdr:to>
      <xdr:col>15</xdr:col>
      <xdr:colOff>584948</xdr:colOff>
      <xdr:row>108</xdr:row>
      <xdr:rowOff>52388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369794</xdr:colOff>
      <xdr:row>87</xdr:row>
      <xdr:rowOff>0</xdr:rowOff>
    </xdr:from>
    <xdr:to>
      <xdr:col>26</xdr:col>
      <xdr:colOff>517712</xdr:colOff>
      <xdr:row>108</xdr:row>
      <xdr:rowOff>52388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285751</xdr:colOff>
      <xdr:row>12</xdr:row>
      <xdr:rowOff>13607</xdr:rowOff>
    </xdr:from>
    <xdr:to>
      <xdr:col>37</xdr:col>
      <xdr:colOff>405741</xdr:colOff>
      <xdr:row>38</xdr:row>
      <xdr:rowOff>69274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27</xdr:col>
      <xdr:colOff>380999</xdr:colOff>
      <xdr:row>43</xdr:row>
      <xdr:rowOff>34636</xdr:rowOff>
    </xdr:from>
    <xdr:to>
      <xdr:col>37</xdr:col>
      <xdr:colOff>484908</xdr:colOff>
      <xdr:row>64</xdr:row>
      <xdr:rowOff>86591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39</xdr:col>
      <xdr:colOff>612321</xdr:colOff>
      <xdr:row>3</xdr:row>
      <xdr:rowOff>172810</xdr:rowOff>
    </xdr:from>
    <xdr:to>
      <xdr:col>45</xdr:col>
      <xdr:colOff>380999</xdr:colOff>
      <xdr:row>18</xdr:row>
      <xdr:rowOff>58510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49</xdr:col>
      <xdr:colOff>353785</xdr:colOff>
      <xdr:row>4</xdr:row>
      <xdr:rowOff>23132</xdr:rowOff>
    </xdr:from>
    <xdr:to>
      <xdr:col>55</xdr:col>
      <xdr:colOff>81642</xdr:colOff>
      <xdr:row>18</xdr:row>
      <xdr:rowOff>99332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470649</xdr:colOff>
      <xdr:row>5</xdr:row>
      <xdr:rowOff>145677</xdr:rowOff>
    </xdr:from>
    <xdr:to>
      <xdr:col>12</xdr:col>
      <xdr:colOff>392208</xdr:colOff>
      <xdr:row>29</xdr:row>
      <xdr:rowOff>33619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30</xdr:row>
      <xdr:rowOff>0</xdr:rowOff>
    </xdr:from>
    <xdr:to>
      <xdr:col>12</xdr:col>
      <xdr:colOff>806263</xdr:colOff>
      <xdr:row>50</xdr:row>
      <xdr:rowOff>147918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51</xdr:row>
      <xdr:rowOff>0</xdr:rowOff>
    </xdr:from>
    <xdr:to>
      <xdr:col>12</xdr:col>
      <xdr:colOff>749113</xdr:colOff>
      <xdr:row>72</xdr:row>
      <xdr:rowOff>149599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13</xdr:col>
      <xdr:colOff>280147</xdr:colOff>
      <xdr:row>97</xdr:row>
      <xdr:rowOff>89647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98</xdr:row>
      <xdr:rowOff>0</xdr:rowOff>
    </xdr:from>
    <xdr:to>
      <xdr:col>10</xdr:col>
      <xdr:colOff>753595</xdr:colOff>
      <xdr:row>120</xdr:row>
      <xdr:rowOff>170330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122</xdr:row>
      <xdr:rowOff>0</xdr:rowOff>
    </xdr:from>
    <xdr:to>
      <xdr:col>11</xdr:col>
      <xdr:colOff>8404</xdr:colOff>
      <xdr:row>143</xdr:row>
      <xdr:rowOff>149598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51</xdr:row>
      <xdr:rowOff>0</xdr:rowOff>
    </xdr:from>
    <xdr:to>
      <xdr:col>23</xdr:col>
      <xdr:colOff>834838</xdr:colOff>
      <xdr:row>71</xdr:row>
      <xdr:rowOff>109818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made/Documents/projects/physor-smr-fbo/Philippe/Eq%20de%20bateman%20avec%20flux-annex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made/Documents/projects/physor-smr-fbo/Philippe/matrix18/matrix.xl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RK1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made/Documents/projects/physor-smr-fbo/Philippe/Eq%20de%20bateman%20avec%20flux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dd"/>
      <sheetName val="micro"/>
      <sheetName val="dens"/>
      <sheetName val="V.Pu_dragon"/>
      <sheetName val="all"/>
      <sheetName val="Dragon_vs_RK1"/>
      <sheetName val="explication des écarts"/>
    </sheetNames>
    <sheetDataSet>
      <sheetData sheetId="0"/>
      <sheetData sheetId="1"/>
      <sheetData sheetId="2"/>
      <sheetData sheetId="3" refreshError="1"/>
      <sheetData sheetId="4" refreshError="1"/>
      <sheetData sheetId="5">
        <row r="43">
          <cell r="AJ43">
            <v>2.1652186908494884E-2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trix"/>
      <sheetName val="Functions"/>
    </sheetNames>
    <definedNames>
      <definedName name="M_ID"/>
      <definedName name="MatCharPoly"/>
      <definedName name="Poly_Roots"/>
      <definedName name="SYSLINSING"/>
    </definedNames>
    <sheetDataSet>
      <sheetData sheetId="0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K1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nnées"/>
      <sheetName val="Eq_de_Bateman_avec_RK1"/>
      <sheetName val="Pu238"/>
      <sheetName val="Pu239"/>
      <sheetName val="Pu240"/>
      <sheetName val="Pu241"/>
      <sheetName val="Pu242"/>
      <sheetName val="Am241"/>
      <sheetName val="U235"/>
      <sheetName val="U238"/>
      <sheetName val="M.Pu"/>
      <sheetName val="V.Pu"/>
    </sheetNames>
    <sheetDataSet>
      <sheetData sheetId="0"/>
      <sheetData sheetId="1">
        <row r="1">
          <cell r="F1" t="str">
            <v>t(y)</v>
          </cell>
          <cell r="G1" t="str">
            <v>t(s)</v>
          </cell>
        </row>
        <row r="2">
          <cell r="F2">
            <v>0</v>
          </cell>
          <cell r="G2">
            <v>0</v>
          </cell>
        </row>
        <row r="3">
          <cell r="F3">
            <v>8.3333333333333329E-2</v>
          </cell>
          <cell r="G3">
            <v>2628000</v>
          </cell>
        </row>
        <row r="4">
          <cell r="F4">
            <v>0.16666666666666666</v>
          </cell>
          <cell r="G4">
            <v>5256000</v>
          </cell>
        </row>
        <row r="5">
          <cell r="F5">
            <v>0.25</v>
          </cell>
          <cell r="G5">
            <v>7884000</v>
          </cell>
        </row>
        <row r="6">
          <cell r="F6">
            <v>0.33333333333333331</v>
          </cell>
          <cell r="G6">
            <v>10512000</v>
          </cell>
        </row>
        <row r="7">
          <cell r="F7">
            <v>0.41666666666666669</v>
          </cell>
          <cell r="G7">
            <v>13140000</v>
          </cell>
        </row>
        <row r="8">
          <cell r="F8">
            <v>0.5</v>
          </cell>
          <cell r="G8">
            <v>15768000</v>
          </cell>
        </row>
        <row r="9">
          <cell r="F9">
            <v>0.58333333333333337</v>
          </cell>
          <cell r="G9">
            <v>18396000</v>
          </cell>
        </row>
        <row r="10">
          <cell r="F10">
            <v>0.66666666666666663</v>
          </cell>
          <cell r="G10">
            <v>21024000</v>
          </cell>
        </row>
        <row r="11">
          <cell r="F11">
            <v>0.75</v>
          </cell>
          <cell r="G11">
            <v>23652000</v>
          </cell>
        </row>
        <row r="12">
          <cell r="F12">
            <v>0.83333333333333337</v>
          </cell>
          <cell r="G12">
            <v>26280000</v>
          </cell>
        </row>
        <row r="13">
          <cell r="F13">
            <v>0.91666666666666663</v>
          </cell>
          <cell r="G13">
            <v>28908000</v>
          </cell>
        </row>
        <row r="14">
          <cell r="F14">
            <v>1</v>
          </cell>
          <cell r="G14">
            <v>31536000</v>
          </cell>
        </row>
        <row r="15">
          <cell r="F15">
            <v>1.0833333333333333</v>
          </cell>
          <cell r="G15">
            <v>34164000</v>
          </cell>
        </row>
        <row r="16">
          <cell r="F16">
            <v>1.1666666666666667</v>
          </cell>
          <cell r="G16">
            <v>36792000</v>
          </cell>
        </row>
        <row r="17">
          <cell r="F17">
            <v>1.25</v>
          </cell>
          <cell r="G17">
            <v>39420000</v>
          </cell>
        </row>
        <row r="18">
          <cell r="F18">
            <v>1.3333333333333333</v>
          </cell>
          <cell r="G18">
            <v>42048000</v>
          </cell>
        </row>
        <row r="19">
          <cell r="F19">
            <v>1.4166666666666667</v>
          </cell>
          <cell r="G19">
            <v>44676000</v>
          </cell>
        </row>
        <row r="20">
          <cell r="F20">
            <v>1.5</v>
          </cell>
          <cell r="G20">
            <v>47304000</v>
          </cell>
        </row>
        <row r="21">
          <cell r="F21">
            <v>1.5833333333333333</v>
          </cell>
          <cell r="G21">
            <v>49932000</v>
          </cell>
        </row>
        <row r="22">
          <cell r="F22">
            <v>1.6666666666666667</v>
          </cell>
          <cell r="G22">
            <v>52560000</v>
          </cell>
        </row>
        <row r="23">
          <cell r="F23">
            <v>1.75</v>
          </cell>
          <cell r="G23">
            <v>55188000</v>
          </cell>
        </row>
        <row r="24">
          <cell r="F24">
            <v>1.8333333333333333</v>
          </cell>
          <cell r="G24">
            <v>57816000</v>
          </cell>
        </row>
        <row r="25">
          <cell r="F25">
            <v>1.9166666666666667</v>
          </cell>
          <cell r="G25">
            <v>60444000</v>
          </cell>
        </row>
        <row r="26">
          <cell r="F26">
            <v>2</v>
          </cell>
          <cell r="G26">
            <v>63072000</v>
          </cell>
        </row>
        <row r="27">
          <cell r="F27">
            <v>2.0833333333333335</v>
          </cell>
          <cell r="G27">
            <v>65700000</v>
          </cell>
        </row>
        <row r="28">
          <cell r="F28">
            <v>2.1666666666666665</v>
          </cell>
          <cell r="G28">
            <v>68328000</v>
          </cell>
        </row>
        <row r="29">
          <cell r="F29">
            <v>2.25</v>
          </cell>
          <cell r="G29">
            <v>70956000</v>
          </cell>
        </row>
        <row r="30">
          <cell r="F30">
            <v>2.3333333333333335</v>
          </cell>
          <cell r="G30">
            <v>73584000</v>
          </cell>
        </row>
        <row r="31">
          <cell r="F31">
            <v>2.4166666666666665</v>
          </cell>
          <cell r="G31">
            <v>76212000</v>
          </cell>
        </row>
        <row r="32">
          <cell r="F32">
            <v>2.5</v>
          </cell>
          <cell r="G32">
            <v>78840000</v>
          </cell>
        </row>
        <row r="33">
          <cell r="F33">
            <v>2.5833333333333335</v>
          </cell>
          <cell r="G33">
            <v>81468000</v>
          </cell>
        </row>
        <row r="34">
          <cell r="F34">
            <v>2.6666666666666665</v>
          </cell>
          <cell r="G34">
            <v>84096000</v>
          </cell>
        </row>
        <row r="35">
          <cell r="F35">
            <v>2.75</v>
          </cell>
          <cell r="G35">
            <v>86724000</v>
          </cell>
        </row>
        <row r="36">
          <cell r="F36">
            <v>2.8333333333333335</v>
          </cell>
          <cell r="G36">
            <v>89352000</v>
          </cell>
        </row>
        <row r="37">
          <cell r="F37">
            <v>2.9166666666666665</v>
          </cell>
          <cell r="G37">
            <v>91980000</v>
          </cell>
        </row>
        <row r="38">
          <cell r="F38">
            <v>3</v>
          </cell>
          <cell r="G38">
            <v>94608000</v>
          </cell>
        </row>
        <row r="39">
          <cell r="F39">
            <v>3.0833333333333335</v>
          </cell>
          <cell r="G39">
            <v>97236000</v>
          </cell>
        </row>
        <row r="40">
          <cell r="F40">
            <v>3.1666666666666665</v>
          </cell>
          <cell r="G40">
            <v>99864000</v>
          </cell>
        </row>
        <row r="41">
          <cell r="F41">
            <v>3.25</v>
          </cell>
          <cell r="G41">
            <v>102492000</v>
          </cell>
        </row>
        <row r="42">
          <cell r="F42">
            <v>3.3333333333333335</v>
          </cell>
          <cell r="G42">
            <v>105120000</v>
          </cell>
        </row>
        <row r="43">
          <cell r="F43">
            <v>3.4166666666666665</v>
          </cell>
          <cell r="G43">
            <v>107748000</v>
          </cell>
        </row>
        <row r="44">
          <cell r="F44">
            <v>3.5</v>
          </cell>
          <cell r="G44">
            <v>110376000</v>
          </cell>
        </row>
        <row r="45">
          <cell r="F45">
            <v>3.5833333333333335</v>
          </cell>
          <cell r="G45">
            <v>113004000</v>
          </cell>
        </row>
        <row r="46">
          <cell r="F46">
            <v>3.6666666666666665</v>
          </cell>
          <cell r="G46">
            <v>115632000</v>
          </cell>
        </row>
        <row r="47">
          <cell r="F47">
            <v>3.75</v>
          </cell>
          <cell r="G47">
            <v>118260000</v>
          </cell>
        </row>
        <row r="48">
          <cell r="F48">
            <v>3.8333333333333335</v>
          </cell>
          <cell r="G48">
            <v>120888000</v>
          </cell>
        </row>
        <row r="49">
          <cell r="F49">
            <v>3.9166666666666665</v>
          </cell>
          <cell r="G49">
            <v>123516000</v>
          </cell>
        </row>
        <row r="50">
          <cell r="F50">
            <v>4</v>
          </cell>
          <cell r="G50">
            <v>126144000</v>
          </cell>
        </row>
        <row r="51">
          <cell r="F51">
            <v>4.083333333333333</v>
          </cell>
          <cell r="G51">
            <v>128772000</v>
          </cell>
        </row>
        <row r="52">
          <cell r="F52">
            <v>4.166666666666667</v>
          </cell>
          <cell r="G52">
            <v>131400000</v>
          </cell>
        </row>
        <row r="53">
          <cell r="F53">
            <v>4.25</v>
          </cell>
          <cell r="G53">
            <v>134028000</v>
          </cell>
        </row>
        <row r="54">
          <cell r="F54">
            <v>4.333333333333333</v>
          </cell>
          <cell r="G54">
            <v>136656000</v>
          </cell>
        </row>
        <row r="55">
          <cell r="F55">
            <v>4.416666666666667</v>
          </cell>
          <cell r="G55">
            <v>139284000</v>
          </cell>
        </row>
        <row r="56">
          <cell r="F56">
            <v>4.5</v>
          </cell>
          <cell r="G56">
            <v>141912000</v>
          </cell>
        </row>
        <row r="57">
          <cell r="F57">
            <v>4.583333333333333</v>
          </cell>
          <cell r="G57">
            <v>144540000</v>
          </cell>
        </row>
        <row r="58">
          <cell r="F58">
            <v>4.666666666666667</v>
          </cell>
          <cell r="G58">
            <v>147168000</v>
          </cell>
        </row>
        <row r="59">
          <cell r="F59">
            <v>4.75</v>
          </cell>
          <cell r="G59">
            <v>149796000</v>
          </cell>
        </row>
        <row r="60">
          <cell r="F60">
            <v>4.833333333333333</v>
          </cell>
          <cell r="G60">
            <v>152424000</v>
          </cell>
        </row>
        <row r="61">
          <cell r="F61">
            <v>4.916666666666667</v>
          </cell>
          <cell r="G61">
            <v>155052000</v>
          </cell>
        </row>
        <row r="62">
          <cell r="F62">
            <v>5</v>
          </cell>
          <cell r="G62">
            <v>157680000</v>
          </cell>
        </row>
        <row r="63">
          <cell r="F63">
            <v>5.083333333333333</v>
          </cell>
          <cell r="G63">
            <v>160308000</v>
          </cell>
        </row>
        <row r="64">
          <cell r="F64">
            <v>5.166666666666667</v>
          </cell>
          <cell r="G64">
            <v>162936000</v>
          </cell>
        </row>
        <row r="65">
          <cell r="F65">
            <v>5.25</v>
          </cell>
          <cell r="G65">
            <v>165564000</v>
          </cell>
        </row>
        <row r="66">
          <cell r="F66">
            <v>5.333333333333333</v>
          </cell>
          <cell r="G66">
            <v>168192000</v>
          </cell>
        </row>
        <row r="67">
          <cell r="F67">
            <v>5.416666666666667</v>
          </cell>
          <cell r="G67">
            <v>170820000</v>
          </cell>
        </row>
        <row r="68">
          <cell r="F68">
            <v>5.5</v>
          </cell>
          <cell r="G68">
            <v>173448000</v>
          </cell>
        </row>
        <row r="69">
          <cell r="F69">
            <v>5.583333333333333</v>
          </cell>
          <cell r="G69">
            <v>176076000</v>
          </cell>
        </row>
        <row r="70">
          <cell r="F70">
            <v>5.666666666666667</v>
          </cell>
          <cell r="G70">
            <v>178704000</v>
          </cell>
        </row>
        <row r="71">
          <cell r="F71">
            <v>5.75</v>
          </cell>
          <cell r="G71">
            <v>181332000</v>
          </cell>
        </row>
        <row r="72">
          <cell r="F72">
            <v>5.833333333333333</v>
          </cell>
          <cell r="G72">
            <v>183960000</v>
          </cell>
        </row>
        <row r="73">
          <cell r="F73">
            <v>5.916666666666667</v>
          </cell>
          <cell r="G73">
            <v>186588000</v>
          </cell>
        </row>
        <row r="74">
          <cell r="F74">
            <v>6</v>
          </cell>
          <cell r="G74">
            <v>189216000</v>
          </cell>
        </row>
        <row r="75">
          <cell r="F75">
            <v>6.083333333333333</v>
          </cell>
          <cell r="G75">
            <v>191844000</v>
          </cell>
        </row>
        <row r="76">
          <cell r="F76">
            <v>6.166666666666667</v>
          </cell>
          <cell r="G76">
            <v>194472000</v>
          </cell>
        </row>
        <row r="77">
          <cell r="F77">
            <v>6.25</v>
          </cell>
          <cell r="G77">
            <v>197100000</v>
          </cell>
        </row>
        <row r="78">
          <cell r="F78">
            <v>6.333333333333333</v>
          </cell>
          <cell r="G78">
            <v>199728000</v>
          </cell>
        </row>
        <row r="79">
          <cell r="F79">
            <v>6.416666666666667</v>
          </cell>
          <cell r="G79">
            <v>202356000</v>
          </cell>
        </row>
        <row r="80">
          <cell r="F80">
            <v>6.5</v>
          </cell>
          <cell r="G80">
            <v>204984000</v>
          </cell>
        </row>
        <row r="81">
          <cell r="F81">
            <v>6.583333333333333</v>
          </cell>
          <cell r="G81">
            <v>207612000</v>
          </cell>
        </row>
        <row r="82">
          <cell r="F82">
            <v>6.666666666666667</v>
          </cell>
          <cell r="G82">
            <v>210240000</v>
          </cell>
        </row>
        <row r="83">
          <cell r="F83">
            <v>6.75</v>
          </cell>
          <cell r="G83">
            <v>212868000</v>
          </cell>
        </row>
        <row r="84">
          <cell r="F84">
            <v>6.833333333333333</v>
          </cell>
          <cell r="G84">
            <v>215496000</v>
          </cell>
        </row>
        <row r="85">
          <cell r="F85">
            <v>6.916666666666667</v>
          </cell>
          <cell r="G85">
            <v>218124000</v>
          </cell>
        </row>
        <row r="86">
          <cell r="F86">
            <v>7</v>
          </cell>
          <cell r="G86">
            <v>220752000</v>
          </cell>
        </row>
        <row r="87">
          <cell r="F87">
            <v>7.083333333333333</v>
          </cell>
          <cell r="G87">
            <v>223380000</v>
          </cell>
        </row>
        <row r="88">
          <cell r="F88">
            <v>7.166666666666667</v>
          </cell>
          <cell r="G88">
            <v>226008000</v>
          </cell>
        </row>
        <row r="89">
          <cell r="F89">
            <v>7.25</v>
          </cell>
          <cell r="G89">
            <v>228636000</v>
          </cell>
        </row>
        <row r="90">
          <cell r="F90">
            <v>7.333333333333333</v>
          </cell>
          <cell r="G90">
            <v>231264000</v>
          </cell>
        </row>
        <row r="91">
          <cell r="F91">
            <v>7.416666666666667</v>
          </cell>
          <cell r="G91">
            <v>233892000</v>
          </cell>
        </row>
        <row r="92">
          <cell r="F92">
            <v>7.5</v>
          </cell>
          <cell r="G92">
            <v>236520000</v>
          </cell>
        </row>
        <row r="93">
          <cell r="F93">
            <v>7.583333333333333</v>
          </cell>
          <cell r="G93">
            <v>239148000</v>
          </cell>
        </row>
        <row r="94">
          <cell r="F94">
            <v>7.666666666666667</v>
          </cell>
          <cell r="G94">
            <v>241776000</v>
          </cell>
        </row>
        <row r="95">
          <cell r="F95">
            <v>7.75</v>
          </cell>
          <cell r="G95">
            <v>244404000</v>
          </cell>
        </row>
        <row r="96">
          <cell r="F96">
            <v>7.833333333333333</v>
          </cell>
          <cell r="G96">
            <v>247032000</v>
          </cell>
        </row>
        <row r="97">
          <cell r="F97">
            <v>7.916666666666667</v>
          </cell>
          <cell r="G97">
            <v>249660000</v>
          </cell>
        </row>
        <row r="98">
          <cell r="F98">
            <v>8</v>
          </cell>
          <cell r="G98">
            <v>252288000</v>
          </cell>
        </row>
        <row r="99">
          <cell r="F99">
            <v>8.0833333333333339</v>
          </cell>
          <cell r="G99">
            <v>254916000</v>
          </cell>
        </row>
        <row r="100">
          <cell r="F100">
            <v>8.1666666666666661</v>
          </cell>
          <cell r="G100">
            <v>257544000</v>
          </cell>
        </row>
        <row r="101">
          <cell r="F101">
            <v>8.25</v>
          </cell>
          <cell r="G101">
            <v>260172000</v>
          </cell>
        </row>
        <row r="102">
          <cell r="F102">
            <v>8.3333333333333339</v>
          </cell>
          <cell r="G102">
            <v>262800000</v>
          </cell>
        </row>
        <row r="103">
          <cell r="F103">
            <v>8.4166666666666661</v>
          </cell>
          <cell r="G103">
            <v>265428000</v>
          </cell>
        </row>
        <row r="104">
          <cell r="F104">
            <v>8.5</v>
          </cell>
          <cell r="G104">
            <v>268056000</v>
          </cell>
        </row>
        <row r="105">
          <cell r="F105">
            <v>8.5833333333333339</v>
          </cell>
          <cell r="G105">
            <v>270684000</v>
          </cell>
        </row>
        <row r="106">
          <cell r="F106">
            <v>8.6666666666666661</v>
          </cell>
          <cell r="G106">
            <v>273312000</v>
          </cell>
        </row>
        <row r="107">
          <cell r="F107">
            <v>8.75</v>
          </cell>
          <cell r="G107">
            <v>275940000</v>
          </cell>
        </row>
        <row r="108">
          <cell r="F108">
            <v>8.8333333333333339</v>
          </cell>
          <cell r="G108">
            <v>278568000</v>
          </cell>
        </row>
        <row r="109">
          <cell r="F109">
            <v>8.9166666666666661</v>
          </cell>
          <cell r="G109">
            <v>281196000</v>
          </cell>
        </row>
        <row r="110">
          <cell r="F110">
            <v>9</v>
          </cell>
          <cell r="G110">
            <v>283824000</v>
          </cell>
        </row>
        <row r="111">
          <cell r="F111">
            <v>9.0833333333333339</v>
          </cell>
          <cell r="G111">
            <v>286452000</v>
          </cell>
        </row>
        <row r="112">
          <cell r="F112">
            <v>9.1666666666666661</v>
          </cell>
          <cell r="G112">
            <v>289080000</v>
          </cell>
        </row>
        <row r="113">
          <cell r="F113">
            <v>9.25</v>
          </cell>
          <cell r="G113">
            <v>291708000</v>
          </cell>
        </row>
        <row r="114">
          <cell r="F114">
            <v>9.3333333333333339</v>
          </cell>
          <cell r="G114">
            <v>294336000</v>
          </cell>
        </row>
        <row r="115">
          <cell r="F115">
            <v>9.4166666666666661</v>
          </cell>
          <cell r="G115">
            <v>296964000</v>
          </cell>
        </row>
        <row r="116">
          <cell r="F116">
            <v>9.5</v>
          </cell>
          <cell r="G116">
            <v>299592000</v>
          </cell>
        </row>
        <row r="117">
          <cell r="F117">
            <v>9.5833333333333339</v>
          </cell>
          <cell r="G117">
            <v>302220000</v>
          </cell>
        </row>
        <row r="118">
          <cell r="F118">
            <v>9.6666666666666661</v>
          </cell>
          <cell r="G118">
            <v>304848000</v>
          </cell>
        </row>
        <row r="119">
          <cell r="F119">
            <v>9.75</v>
          </cell>
          <cell r="G119">
            <v>307476000</v>
          </cell>
        </row>
        <row r="120">
          <cell r="F120">
            <v>9.8333333333333339</v>
          </cell>
          <cell r="G120">
            <v>310104000</v>
          </cell>
        </row>
        <row r="121">
          <cell r="F121">
            <v>9.9166666666666661</v>
          </cell>
          <cell r="G121">
            <v>312732000</v>
          </cell>
        </row>
        <row r="122">
          <cell r="F122">
            <v>10</v>
          </cell>
          <cell r="G122">
            <v>315360000</v>
          </cell>
        </row>
        <row r="123">
          <cell r="F123">
            <v>10.083333333333334</v>
          </cell>
          <cell r="G123">
            <v>317988000</v>
          </cell>
        </row>
        <row r="124">
          <cell r="F124">
            <v>10.166666666666666</v>
          </cell>
          <cell r="G124">
            <v>320616000</v>
          </cell>
        </row>
        <row r="125">
          <cell r="F125">
            <v>10.25</v>
          </cell>
          <cell r="G125">
            <v>323244000</v>
          </cell>
        </row>
        <row r="126">
          <cell r="F126">
            <v>10.333333333333334</v>
          </cell>
          <cell r="G126">
            <v>325872000</v>
          </cell>
        </row>
        <row r="127">
          <cell r="F127">
            <v>10.416666666666666</v>
          </cell>
          <cell r="G127">
            <v>328500000</v>
          </cell>
        </row>
        <row r="128">
          <cell r="F128">
            <v>10.5</v>
          </cell>
          <cell r="G128">
            <v>331128000</v>
          </cell>
        </row>
        <row r="129">
          <cell r="F129">
            <v>10.583333333333334</v>
          </cell>
          <cell r="G129">
            <v>333756000</v>
          </cell>
        </row>
        <row r="130">
          <cell r="F130">
            <v>10.666666666666666</v>
          </cell>
          <cell r="G130">
            <v>336384000</v>
          </cell>
        </row>
        <row r="131">
          <cell r="F131">
            <v>10.75</v>
          </cell>
          <cell r="G131">
            <v>339012000</v>
          </cell>
        </row>
        <row r="132">
          <cell r="F132">
            <v>10.833333333333334</v>
          </cell>
          <cell r="G132">
            <v>341640000</v>
          </cell>
        </row>
        <row r="133">
          <cell r="F133">
            <v>10.916666666666666</v>
          </cell>
          <cell r="G133">
            <v>344268000</v>
          </cell>
        </row>
        <row r="134">
          <cell r="F134">
            <v>11</v>
          </cell>
          <cell r="G134">
            <v>346896000</v>
          </cell>
        </row>
        <row r="135">
          <cell r="F135">
            <v>11.083333333333334</v>
          </cell>
          <cell r="G135">
            <v>349524000</v>
          </cell>
        </row>
        <row r="136">
          <cell r="F136">
            <v>11.166666666666666</v>
          </cell>
          <cell r="G136">
            <v>352152000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103"/>
  <sheetViews>
    <sheetView zoomScale="70" zoomScaleNormal="70" workbookViewId="0">
      <selection activeCell="F39" sqref="F39:F40"/>
    </sheetView>
  </sheetViews>
  <sheetFormatPr baseColWidth="10" defaultColWidth="16.25" defaultRowHeight="14.25"/>
  <cols>
    <col min="1" max="1" width="16.25" style="6"/>
    <col min="2" max="2" width="39.5" style="6" customWidth="1"/>
    <col min="3" max="6" width="17.125" style="6" customWidth="1"/>
    <col min="7" max="7" width="23.5" style="6" customWidth="1"/>
    <col min="8" max="10" width="19.125" style="6" customWidth="1"/>
    <col min="11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66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 t="e">
        <f t="shared" ref="H10:H17" ca="1" si="1">INDIRECT("Eq_de_Bateman_avec_RK1!"&amp;O10&amp;P10)</f>
        <v>#REF!</v>
      </c>
      <c r="I10" s="89" t="e">
        <f ca="1">H10*1000/E10/C$8*6.02214129E+23</f>
        <v>#REF!</v>
      </c>
      <c r="J10" s="80" t="e">
        <f t="shared" ref="J10:J15" ca="1" si="2">H10/(SUM(H$10:H$15))*100</f>
        <v>#REF!</v>
      </c>
      <c r="K10" s="95" t="e">
        <f ca="1">SUM(D10:D15)-SUM(H10:H15)</f>
        <v>#REF!</v>
      </c>
      <c r="O10" s="6" t="s">
        <v>120</v>
      </c>
      <c r="P10" s="6">
        <f>P$9</f>
        <v>14</v>
      </c>
    </row>
    <row r="11" spans="1:16" ht="15">
      <c r="A11" s="167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99"/>
      <c r="H11" s="80" t="e">
        <f t="shared" ca="1" si="1"/>
        <v>#REF!</v>
      </c>
      <c r="I11" s="89" t="e">
        <f t="shared" ref="I11:I17" ca="1" si="4">H11*1000/E11/C$8*6.02214129E+23</f>
        <v>#REF!</v>
      </c>
      <c r="J11" s="80" t="e">
        <f t="shared" ca="1" si="2"/>
        <v>#REF!</v>
      </c>
      <c r="O11" s="6" t="s">
        <v>121</v>
      </c>
      <c r="P11" s="6">
        <f t="shared" ref="P11:P17" si="5">P$9</f>
        <v>14</v>
      </c>
    </row>
    <row r="12" spans="1:16" ht="15">
      <c r="A12" s="167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0"/>
      <c r="H12" s="80" t="e">
        <f t="shared" ca="1" si="1"/>
        <v>#REF!</v>
      </c>
      <c r="I12" s="89" t="e">
        <f t="shared" ca="1" si="4"/>
        <v>#REF!</v>
      </c>
      <c r="J12" s="80" t="e">
        <f t="shared" ca="1" si="2"/>
        <v>#REF!</v>
      </c>
      <c r="O12" s="6" t="s">
        <v>122</v>
      </c>
      <c r="P12" s="6">
        <f t="shared" si="5"/>
        <v>14</v>
      </c>
    </row>
    <row r="13" spans="1:16" ht="15">
      <c r="A13" s="167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 t="e">
        <f t="shared" ca="1" si="1"/>
        <v>#REF!</v>
      </c>
      <c r="I13" s="89" t="e">
        <f t="shared" ca="1" si="4"/>
        <v>#REF!</v>
      </c>
      <c r="J13" s="80" t="e">
        <f t="shared" ca="1" si="2"/>
        <v>#REF!</v>
      </c>
      <c r="O13" s="6" t="s">
        <v>123</v>
      </c>
      <c r="P13" s="6">
        <f t="shared" si="5"/>
        <v>14</v>
      </c>
    </row>
    <row r="14" spans="1:16" ht="15">
      <c r="A14" s="167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 t="e">
        <f t="shared" ca="1" si="1"/>
        <v>#REF!</v>
      </c>
      <c r="I14" s="89" t="e">
        <f t="shared" ca="1" si="4"/>
        <v>#REF!</v>
      </c>
      <c r="J14" s="80" t="e">
        <f t="shared" ca="1" si="2"/>
        <v>#REF!</v>
      </c>
      <c r="O14" s="6" t="s">
        <v>124</v>
      </c>
      <c r="P14" s="6">
        <f t="shared" si="5"/>
        <v>14</v>
      </c>
    </row>
    <row r="15" spans="1:16" ht="15">
      <c r="A15" s="167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 t="e">
        <f t="shared" ca="1" si="1"/>
        <v>#REF!</v>
      </c>
      <c r="I15" s="89" t="e">
        <f t="shared" ca="1" si="4"/>
        <v>#REF!</v>
      </c>
      <c r="J15" s="80" t="e">
        <f t="shared" ca="1" si="2"/>
        <v>#REF!</v>
      </c>
      <c r="O15" s="6" t="s">
        <v>125</v>
      </c>
      <c r="P15" s="6">
        <f t="shared" si="5"/>
        <v>14</v>
      </c>
    </row>
    <row r="16" spans="1:16" ht="15">
      <c r="A16" s="167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 t="e">
        <f t="shared" ca="1" si="1"/>
        <v>#REF!</v>
      </c>
      <c r="I16" s="89" t="e">
        <f t="shared" ca="1" si="4"/>
        <v>#REF!</v>
      </c>
      <c r="O16" s="6" t="s">
        <v>128</v>
      </c>
      <c r="P16" s="6">
        <f t="shared" si="5"/>
        <v>14</v>
      </c>
    </row>
    <row r="17" spans="1:16" ht="15">
      <c r="A17" s="167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 t="e">
        <f t="shared" ca="1" si="1"/>
        <v>#REF!</v>
      </c>
      <c r="I17" s="89" t="e">
        <f t="shared" ca="1" si="4"/>
        <v>#REF!</v>
      </c>
      <c r="O17" s="6" t="s">
        <v>129</v>
      </c>
      <c r="P17" s="6">
        <f t="shared" si="5"/>
        <v>14</v>
      </c>
    </row>
    <row r="18" spans="1:16" ht="15">
      <c r="A18" s="167"/>
      <c r="B18" s="45" t="s">
        <v>53</v>
      </c>
      <c r="C18" s="91">
        <f>SUM(K44:K51)</f>
        <v>5.5321754341282909E-3</v>
      </c>
      <c r="D18" s="11"/>
      <c r="E18" s="11"/>
      <c r="F18" s="11"/>
      <c r="G18" s="11" t="e">
        <f ca="1">H18/C18</f>
        <v>#REF!</v>
      </c>
      <c r="H18" s="92" t="e">
        <f ca="1">SUMPRODUCT(I10:I17,G44:G51)*1E-24</f>
        <v>#REF!</v>
      </c>
    </row>
    <row r="19" spans="1:16" ht="15">
      <c r="A19" s="167"/>
      <c r="B19" s="45" t="s">
        <v>130</v>
      </c>
      <c r="C19" s="91">
        <f>SUM(L44:L51)</f>
        <v>1.1501445805447414E-2</v>
      </c>
      <c r="D19" s="11">
        <f>C8*1000*F10*E10/6.02214129E+23/1000000</f>
        <v>19.041708027546775</v>
      </c>
      <c r="E19" s="11"/>
      <c r="F19" s="11"/>
      <c r="G19" s="11" t="e">
        <f t="shared" ref="G19:G21" ca="1" si="6">H19/C19</f>
        <v>#REF!</v>
      </c>
      <c r="H19" s="92" t="e">
        <f ca="1">SUMPRODUCT(I10:I17,I44:I51)*1E-24</f>
        <v>#REF!</v>
      </c>
    </row>
    <row r="20" spans="1:16" ht="15">
      <c r="A20" s="167"/>
      <c r="B20" s="98" t="s">
        <v>142</v>
      </c>
      <c r="C20" s="91">
        <f>C19-C18</f>
        <v>5.9692703713191235E-3</v>
      </c>
      <c r="D20" s="11"/>
      <c r="E20" s="11"/>
      <c r="F20" s="11"/>
      <c r="G20" s="11" t="e">
        <f t="shared" ca="1" si="6"/>
        <v>#REF!</v>
      </c>
      <c r="H20" s="92" t="e">
        <f ca="1">H19-H18</f>
        <v>#REF!</v>
      </c>
    </row>
    <row r="21" spans="1:16" ht="15">
      <c r="A21" s="167"/>
      <c r="B21" s="45" t="s">
        <v>131</v>
      </c>
      <c r="C21" s="91">
        <f>SUM(M44:M51)</f>
        <v>1.6162653839845637E-2</v>
      </c>
      <c r="D21" s="11"/>
      <c r="E21" s="11"/>
      <c r="F21" s="11"/>
      <c r="G21" s="11" t="e">
        <f t="shared" ca="1" si="6"/>
        <v>#REF!</v>
      </c>
      <c r="H21" s="92" t="e">
        <f ca="1">SUMPRODUCT(I10:I17,J44:J51)*1E-24</f>
        <v>#REF!</v>
      </c>
      <c r="J21" s="7"/>
    </row>
    <row r="22" spans="1:16" ht="15">
      <c r="A22" s="168"/>
      <c r="B22" s="45" t="s">
        <v>134</v>
      </c>
      <c r="C22" s="91">
        <f>C21/C19</f>
        <v>1.4052714861457278</v>
      </c>
      <c r="D22" s="11"/>
      <c r="E22" s="11"/>
      <c r="F22" s="11"/>
      <c r="G22" s="11"/>
      <c r="H22" s="93" t="e">
        <f ca="1">H21/H19</f>
        <v>#REF!</v>
      </c>
      <c r="I22" s="90" t="e">
        <f ca="1">(H22-C22)/(C22*H22)</f>
        <v>#REF!</v>
      </c>
      <c r="J22" s="7"/>
    </row>
    <row r="23" spans="1:16" ht="15" customHeight="1">
      <c r="A23" s="165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65"/>
      <c r="B24" s="45" t="s">
        <v>58</v>
      </c>
      <c r="C24" s="76">
        <v>83</v>
      </c>
      <c r="I24" s="7"/>
    </row>
    <row r="25" spans="1:16" ht="15.75" customHeight="1" thickBot="1">
      <c r="A25" s="165"/>
      <c r="B25" s="45" t="s">
        <v>71</v>
      </c>
      <c r="C25" s="46">
        <f>C24/100*C23</f>
        <v>2490</v>
      </c>
      <c r="E25" s="9" t="s">
        <v>57</v>
      </c>
      <c r="G25" s="162" t="s">
        <v>141</v>
      </c>
      <c r="H25" s="163"/>
      <c r="I25" s="163"/>
      <c r="J25" s="164" t="s">
        <v>144</v>
      </c>
      <c r="K25" s="164"/>
    </row>
    <row r="26" spans="1:16" ht="15.75" thickBot="1">
      <c r="A26" s="165"/>
      <c r="B26" s="45" t="s">
        <v>46</v>
      </c>
      <c r="C26" s="76">
        <f>365*20</f>
        <v>7300</v>
      </c>
      <c r="E26" s="9" t="s">
        <v>49</v>
      </c>
      <c r="H26" s="104" t="s">
        <v>145</v>
      </c>
      <c r="I26" s="104" t="s">
        <v>146</v>
      </c>
      <c r="L26" s="96"/>
    </row>
    <row r="27" spans="1:16" ht="15.75" thickBot="1">
      <c r="A27" s="165"/>
      <c r="B27" s="45" t="s">
        <v>47</v>
      </c>
      <c r="C27" s="46">
        <f>(C25*C26)/(C7/1000)</f>
        <v>572745.99660037016</v>
      </c>
      <c r="E27" s="9" t="s">
        <v>50</v>
      </c>
      <c r="G27" s="45" t="s">
        <v>7</v>
      </c>
      <c r="H27" s="94">
        <v>0</v>
      </c>
      <c r="I27" s="94">
        <v>0</v>
      </c>
      <c r="J27" s="97">
        <v>7.1771044355892211E-6</v>
      </c>
      <c r="K27" s="97">
        <v>8.1878948066105295E-15</v>
      </c>
    </row>
    <row r="28" spans="1:16" ht="15">
      <c r="A28" s="165"/>
      <c r="B28" s="45" t="s">
        <v>56</v>
      </c>
      <c r="C28" s="47">
        <f>C25*1000000/B41</f>
        <v>7.6633916492691538E+19</v>
      </c>
      <c r="G28" s="45" t="s">
        <v>9</v>
      </c>
      <c r="H28" s="94">
        <v>0</v>
      </c>
      <c r="I28" s="94">
        <v>0</v>
      </c>
      <c r="J28" s="97">
        <v>1.8155401136570395E-3</v>
      </c>
      <c r="K28" s="97">
        <v>2.184547681638449E-11</v>
      </c>
    </row>
    <row r="29" spans="1:16" ht="15">
      <c r="A29" s="165"/>
      <c r="B29" s="45" t="s">
        <v>54</v>
      </c>
      <c r="C29" s="47">
        <f>C28/C8</f>
        <v>19137759891119.809</v>
      </c>
      <c r="G29" s="45" t="s">
        <v>10</v>
      </c>
      <c r="H29" s="94">
        <v>0</v>
      </c>
      <c r="I29" s="94">
        <v>0</v>
      </c>
      <c r="J29" s="97">
        <v>1.4150651647143464E-4</v>
      </c>
      <c r="K29" s="97">
        <v>8.6921442266074678E-11</v>
      </c>
    </row>
    <row r="30" spans="1:16" ht="15">
      <c r="A30" s="165"/>
      <c r="B30" s="45" t="s">
        <v>59</v>
      </c>
      <c r="C30" s="47">
        <f>C29/C18</f>
        <v>3459355206463252.5</v>
      </c>
      <c r="G30" s="45" t="s">
        <v>11</v>
      </c>
      <c r="H30" s="94">
        <v>0</v>
      </c>
      <c r="I30" s="94">
        <v>0</v>
      </c>
      <c r="J30" s="97">
        <v>1.7429731674126897E-4</v>
      </c>
      <c r="K30" s="97">
        <v>1.9440782317303729E-10</v>
      </c>
      <c r="O30" s="12"/>
      <c r="P30" s="11"/>
    </row>
    <row r="31" spans="1:16" ht="15">
      <c r="A31" s="165"/>
      <c r="B31" s="45" t="s">
        <v>51</v>
      </c>
      <c r="C31" s="46">
        <f>C25*1000000/C8</f>
        <v>621.82678779614412</v>
      </c>
      <c r="G31" s="45" t="s">
        <v>13</v>
      </c>
      <c r="H31" s="94">
        <v>0</v>
      </c>
      <c r="I31" s="94">
        <v>0</v>
      </c>
      <c r="J31" s="97">
        <v>7.2495921405943409E-6</v>
      </c>
      <c r="K31" s="97">
        <v>-9.2952243124777567E-11</v>
      </c>
      <c r="O31" s="12"/>
      <c r="P31" s="11"/>
    </row>
    <row r="32" spans="1:16" ht="15" customHeight="1">
      <c r="A32" s="165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7">
        <v>4.6745820803106852E-6</v>
      </c>
      <c r="K32" s="97">
        <v>0</v>
      </c>
      <c r="O32" s="12"/>
      <c r="P32" s="11"/>
    </row>
    <row r="33" spans="1:16" ht="15">
      <c r="A33" s="165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7">
        <v>7.7513940822150629E-5</v>
      </c>
      <c r="K33" s="97">
        <v>0</v>
      </c>
      <c r="O33" s="12"/>
      <c r="P33" s="11"/>
    </row>
    <row r="34" spans="1:16" ht="15">
      <c r="A34" s="165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7">
        <v>-1.9484219875957887E-5</v>
      </c>
      <c r="K34" s="97">
        <v>-2.2093516320942364E-3</v>
      </c>
      <c r="O34" s="12"/>
      <c r="P34" s="11"/>
    </row>
    <row r="35" spans="1:16" ht="15.75" thickBot="1">
      <c r="P35" s="12"/>
    </row>
    <row r="36" spans="1:16" ht="15.75" thickBot="1">
      <c r="G36" s="102" t="s">
        <v>143</v>
      </c>
      <c r="H36" s="103">
        <f>[1]Dragon_vs_RK1!$AJ$43</f>
        <v>2.1652186908494884E-2</v>
      </c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202.8</v>
      </c>
      <c r="B41" s="58">
        <f>A41*1000000*1.602176565E-19</f>
        <v>3.2492140738200003E-11</v>
      </c>
    </row>
    <row r="42" spans="1:16" ht="15" thickBot="1"/>
    <row r="43" spans="1:16" ht="60.75" thickBot="1"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45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1.2575000000000001</v>
      </c>
      <c r="H44" s="81">
        <f t="shared" si="9"/>
        <v>0.49969000000000002</v>
      </c>
      <c r="I44" s="82">
        <f>H44+G44</f>
        <v>1.75719</v>
      </c>
      <c r="J44" s="81">
        <v>3.7700999999999998</v>
      </c>
      <c r="K44" s="72">
        <f t="shared" ref="K44:K51" si="10">G44*1E-24*F10</f>
        <v>1.5130663019492684E-5</v>
      </c>
      <c r="L44" s="72">
        <f t="shared" ref="L44:L51" si="11">I44*1E-24*F10</f>
        <v>2.1143101193814989E-5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1.7582</v>
      </c>
      <c r="H45" s="81">
        <f t="shared" si="9"/>
        <v>0.46005000000000001</v>
      </c>
      <c r="I45" s="84">
        <f t="shared" ref="I45:I51" si="13">H45+G45</f>
        <v>2.2182499999999998</v>
      </c>
      <c r="J45" s="83">
        <v>5.1894</v>
      </c>
      <c r="K45" s="72">
        <f t="shared" si="10"/>
        <v>3.8297112399999999E-3</v>
      </c>
      <c r="L45" s="72">
        <f t="shared" si="11"/>
        <v>4.8317921499999991E-3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0.41238999999999998</v>
      </c>
      <c r="H46" s="81">
        <f t="shared" si="9"/>
        <v>0.45652999999999999</v>
      </c>
      <c r="I46" s="84">
        <f t="shared" si="13"/>
        <v>0.86891999999999991</v>
      </c>
      <c r="J46" s="83">
        <v>1.2642</v>
      </c>
      <c r="K46" s="72">
        <f t="shared" si="10"/>
        <v>2.9834769327898079E-4</v>
      </c>
      <c r="L46" s="72">
        <f t="shared" si="11"/>
        <v>6.2862891351383879E-4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2.4380000000000002</v>
      </c>
      <c r="H47" s="81">
        <f t="shared" si="9"/>
        <v>0.44950000000000001</v>
      </c>
      <c r="I47" s="84">
        <f t="shared" si="13"/>
        <v>2.8875000000000002</v>
      </c>
      <c r="J47" s="83">
        <v>7.2667000000000002</v>
      </c>
      <c r="K47" s="72">
        <f t="shared" si="10"/>
        <v>3.674574210770122E-4</v>
      </c>
      <c r="L47" s="72">
        <f t="shared" si="11"/>
        <v>4.3520644108280255E-4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0.29929</v>
      </c>
      <c r="H48" s="81">
        <f t="shared" si="9"/>
        <v>0.44868000000000002</v>
      </c>
      <c r="I48" s="84">
        <f t="shared" si="13"/>
        <v>0.74797000000000002</v>
      </c>
      <c r="J48" s="83">
        <v>0.93701999999999996</v>
      </c>
      <c r="K48" s="72">
        <f t="shared" si="10"/>
        <v>1.5284949707183427E-5</v>
      </c>
      <c r="L48" s="72">
        <f t="shared" si="11"/>
        <v>3.8199351239540211E-5</v>
      </c>
      <c r="M48" s="72">
        <f t="shared" si="12"/>
        <v>4.7854267014016555E-5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0.30307000000000001</v>
      </c>
      <c r="H49" s="81">
        <f t="shared" si="9"/>
        <v>1.6906000000000001</v>
      </c>
      <c r="I49" s="84">
        <f t="shared" si="13"/>
        <v>1.9936700000000001</v>
      </c>
      <c r="J49" s="83">
        <v>1.0602</v>
      </c>
      <c r="K49" s="72">
        <f t="shared" si="10"/>
        <v>9.8560425889905738E-6</v>
      </c>
      <c r="L49" s="72">
        <f t="shared" si="11"/>
        <v>6.4835504762572463E-5</v>
      </c>
      <c r="M49" s="72">
        <f t="shared" si="12"/>
        <v>3.4478425290684679E-5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1.8373999999999999</v>
      </c>
      <c r="H50" s="81">
        <f t="shared" si="9"/>
        <v>0.51766999999999996</v>
      </c>
      <c r="I50" s="84">
        <f t="shared" si="13"/>
        <v>2.35507</v>
      </c>
      <c r="J50" s="83">
        <v>4.5256999999999996</v>
      </c>
      <c r="K50" s="72">
        <f t="shared" si="10"/>
        <v>1.6341343941698178E-4</v>
      </c>
      <c r="L50" s="72">
        <f t="shared" si="11"/>
        <v>2.0945362401640977E-4</v>
      </c>
      <c r="M50" s="72">
        <f t="shared" si="12"/>
        <v>4.0250364796420727E-4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4.9582000000000001E-2</v>
      </c>
      <c r="H51" s="81">
        <f t="shared" si="9"/>
        <v>0.26423999999999997</v>
      </c>
      <c r="I51" s="84">
        <f t="shared" si="13"/>
        <v>0.31382199999999999</v>
      </c>
      <c r="J51" s="83">
        <v>0.13804</v>
      </c>
      <c r="K51" s="72">
        <f t="shared" si="10"/>
        <v>8.3297398503964976E-4</v>
      </c>
      <c r="L51" s="72">
        <f t="shared" si="11"/>
        <v>5.2721867196384364E-3</v>
      </c>
      <c r="M51" s="72">
        <f t="shared" si="12"/>
        <v>2.319061935679748E-3</v>
      </c>
    </row>
    <row r="53" spans="1:13">
      <c r="F53" s="10"/>
      <c r="G53" s="10"/>
    </row>
    <row r="54" spans="1:13">
      <c r="F54" s="10"/>
      <c r="G54" s="10"/>
    </row>
    <row r="55" spans="1:13">
      <c r="F55" s="10"/>
      <c r="G55" s="10"/>
    </row>
    <row r="56" spans="1:13">
      <c r="F56" s="10"/>
      <c r="G56" s="10"/>
    </row>
    <row r="57" spans="1:13">
      <c r="F57" s="10"/>
      <c r="G57" s="10"/>
      <c r="H57" s="10"/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-1.113320079522917E-3</v>
      </c>
      <c r="H76" s="94">
        <f>D76/D86-1</f>
        <v>-4.7829654385719289E-3</v>
      </c>
      <c r="I76" s="94">
        <f>E76/E86-1</f>
        <v>-1.0608953957139677E-3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-1.1375270162666817E-3</v>
      </c>
      <c r="H77" s="94">
        <f t="shared" si="14"/>
        <v>-3.956091729159894E-3</v>
      </c>
      <c r="I77" s="94">
        <f t="shared" si="14"/>
        <v>-1.0790812394019245E-3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4.3648003103857747E-4</v>
      </c>
      <c r="H78" s="94">
        <f t="shared" si="14"/>
        <v>-2.6504282303463356E-3</v>
      </c>
      <c r="I78" s="94">
        <f t="shared" si="14"/>
        <v>4.7453337551406349E-4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-2.0098441345365314E-3</v>
      </c>
      <c r="H79" s="94">
        <f t="shared" si="14"/>
        <v>-3.3815350389322374E-3</v>
      </c>
      <c r="I79" s="94">
        <f t="shared" si="14"/>
        <v>-1.9540388055594438E-3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5.0118614053262789E-4</v>
      </c>
      <c r="H80" s="94">
        <f t="shared" si="14"/>
        <v>-3.4991530712311647E-3</v>
      </c>
      <c r="I80" s="94">
        <f t="shared" si="14"/>
        <v>5.015045135405849E-4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3.6295245322870429E-4</v>
      </c>
      <c r="H81" s="94">
        <f t="shared" si="14"/>
        <v>-3.0758310658938193E-3</v>
      </c>
      <c r="I81" s="94">
        <f t="shared" si="14"/>
        <v>4.7152018106366711E-4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-2.1225644933057231E-3</v>
      </c>
      <c r="H82" s="94">
        <f t="shared" si="14"/>
        <v>-3.8248304904668906E-3</v>
      </c>
      <c r="I82" s="94">
        <f t="shared" si="14"/>
        <v>-2.0769349742593146E-3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4.8404662982526325E-4</v>
      </c>
      <c r="H83" s="94">
        <f t="shared" si="14"/>
        <v>4.6170148349984341E-3</v>
      </c>
      <c r="I83" s="94">
        <f t="shared" si="14"/>
        <v>5.069892083726657E-4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1.2575000000000001</v>
      </c>
      <c r="D86" s="10">
        <v>0.49969000000000002</v>
      </c>
      <c r="E86" s="10">
        <v>3.7704</v>
      </c>
    </row>
    <row r="87" spans="1:9">
      <c r="B87" s="6" t="s">
        <v>9</v>
      </c>
      <c r="C87" s="10">
        <v>1.7582</v>
      </c>
      <c r="D87" s="10">
        <v>0.46005000000000001</v>
      </c>
      <c r="E87" s="10">
        <v>5.1896000000000004</v>
      </c>
    </row>
    <row r="88" spans="1:9">
      <c r="B88" s="6" t="s">
        <v>10</v>
      </c>
      <c r="C88" s="10">
        <v>0.41238999999999998</v>
      </c>
      <c r="D88" s="10">
        <v>0.45652999999999999</v>
      </c>
      <c r="E88" s="10">
        <v>1.2644</v>
      </c>
    </row>
    <row r="89" spans="1:9">
      <c r="B89" s="6" t="s">
        <v>11</v>
      </c>
      <c r="C89" s="10">
        <v>2.4380000000000002</v>
      </c>
      <c r="D89" s="10">
        <v>0.44950000000000001</v>
      </c>
      <c r="E89" s="10">
        <v>7.2670000000000003</v>
      </c>
    </row>
    <row r="90" spans="1:9">
      <c r="B90" s="6" t="s">
        <v>13</v>
      </c>
      <c r="C90" s="10">
        <v>0.29929</v>
      </c>
      <c r="D90" s="10">
        <v>0.44868000000000002</v>
      </c>
      <c r="E90" s="10">
        <v>0.93718000000000001</v>
      </c>
    </row>
    <row r="91" spans="1:9">
      <c r="B91" s="6" t="s">
        <v>14</v>
      </c>
      <c r="C91" s="10">
        <v>0.30307000000000001</v>
      </c>
      <c r="D91" s="10">
        <v>1.6906000000000001</v>
      </c>
      <c r="E91" s="10">
        <v>1.0604</v>
      </c>
    </row>
    <row r="92" spans="1:9">
      <c r="B92" s="6" t="s">
        <v>15</v>
      </c>
      <c r="C92" s="10">
        <v>1.8373999999999999</v>
      </c>
      <c r="D92" s="10">
        <v>0.51766999999999996</v>
      </c>
      <c r="E92" s="10">
        <v>4.5259</v>
      </c>
    </row>
    <row r="93" spans="1:9">
      <c r="B93" s="6" t="s">
        <v>16</v>
      </c>
      <c r="C93" s="10">
        <v>4.9582000000000001E-2</v>
      </c>
      <c r="D93" s="10">
        <v>0.26423999999999997</v>
      </c>
      <c r="E93" s="10">
        <v>0.13807</v>
      </c>
    </row>
    <row r="96" spans="1:9">
      <c r="C96" s="10"/>
      <c r="D96" s="10"/>
      <c r="E96" s="10"/>
    </row>
    <row r="97" spans="3:5">
      <c r="C97" s="10"/>
      <c r="D97" s="10"/>
      <c r="E97" s="10"/>
    </row>
    <row r="98" spans="3:5">
      <c r="C98" s="10"/>
      <c r="D98" s="10"/>
      <c r="E98" s="10"/>
    </row>
    <row r="99" spans="3:5">
      <c r="C99" s="10"/>
      <c r="D99" s="10"/>
      <c r="E99" s="10"/>
    </row>
    <row r="100" spans="3:5">
      <c r="C100" s="10"/>
      <c r="D100" s="10"/>
      <c r="E100" s="10"/>
    </row>
    <row r="101" spans="3:5">
      <c r="C101" s="10"/>
      <c r="D101" s="10"/>
      <c r="E101" s="10"/>
    </row>
    <row r="102" spans="3:5">
      <c r="C102" s="10"/>
      <c r="D102" s="10"/>
      <c r="E102" s="10"/>
    </row>
    <row r="103" spans="3:5">
      <c r="C103" s="10"/>
      <c r="D103" s="10"/>
      <c r="E103" s="10"/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zoomScale="70" zoomScaleNormal="70" workbookViewId="0">
      <selection activeCell="J2" sqref="J2:J136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45" t="s">
        <v>7</v>
      </c>
      <c r="B2" s="73">
        <f>Données!F10</f>
        <v>1.2032336397210882E+19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3459355206463252.5</v>
      </c>
      <c r="I2" s="39">
        <f>B2</f>
        <v>1.2032336397210882E+19</v>
      </c>
      <c r="J2" s="21">
        <f>-(Données!I$44*1E-24*H2+Données!F$44)*I2+(Données!H$49*1E-24*H2*S2)*0.71+Données!H$50*1E-24*H2*W2</f>
        <v>218149663401.18842</v>
      </c>
      <c r="K2" s="41">
        <f>B3</f>
        <v>2.1782E+21</v>
      </c>
      <c r="L2" s="23">
        <f>-(Données!I$45*1E-24*H2+Données!F$45)*K2+(I2*Données!H$44*1E-24*H2)+(Données!H$51*1E-24*H2)*Y2</f>
        <v>-1339258211660.3555</v>
      </c>
      <c r="M2" s="39">
        <f>B4</f>
        <v>7.2346005790387942E+20</v>
      </c>
      <c r="N2" s="21">
        <f>-(Données!I$46*1E-24*H2+Données!F$46)*M2+Données!H$45*1E-24*H2*K2</f>
        <v>1289479494840.3303</v>
      </c>
      <c r="O2" s="41">
        <f>B5</f>
        <v>1.5072084539664158E+20</v>
      </c>
      <c r="P2" s="23">
        <f>-(Données!I$47*1E-24*H2+Données!F$47)*O2+(Données!H$46*1E-24*H2)*M2</f>
        <v>-594232024107.375</v>
      </c>
      <c r="Q2" s="39">
        <f>B6</f>
        <v>5.1070699679853748E+19</v>
      </c>
      <c r="R2" s="43">
        <f>-(Données!I$48*1E-24*H2+Données!F$48)*Q2+Données!H$47*1E-24*H2*O2+(Données!H$49*1E-24*H2*S2)*0.85*0.16</f>
        <v>128086121598.48409</v>
      </c>
      <c r="S2" s="41">
        <f>B7</f>
        <v>3.2520680334545068E+19</v>
      </c>
      <c r="T2" s="22">
        <f>-(Données!I$49*1E-24*H2+Données!F$49)*S2+Données!F$47*O2</f>
        <v>5317062476.8708496</v>
      </c>
      <c r="U2" s="38">
        <f t="shared" ref="U2:U18" si="2">I2+K2+M2+O2+Q2+S2</f>
        <v>3.1480046197121304E+21</v>
      </c>
      <c r="V2" s="19"/>
      <c r="W2" s="39">
        <f>B8</f>
        <v>8.8937324162937733E+19</v>
      </c>
      <c r="X2" s="21">
        <f>-(Données!I$50*1E-24*H2+Données!F$50)*W2+Données!F$45*K2</f>
        <v>-722588761186.71912</v>
      </c>
      <c r="Y2" s="41">
        <f>B9</f>
        <v>1.6799927091276064E+22</v>
      </c>
      <c r="Z2" s="23">
        <f>-(Données!I$51*1E-24*H2+Données!F$51)*Y2+Données!F$48*Q2</f>
        <v>-18238363667308.918</v>
      </c>
      <c r="AA2" s="14">
        <f>W2+Y2</f>
        <v>1.6888864415439001E+22</v>
      </c>
    </row>
    <row r="3" spans="1:29" ht="15.75" thickBot="1">
      <c r="A3" s="45" t="s">
        <v>9</v>
      </c>
      <c r="B3" s="73">
        <f>Données!F11</f>
        <v>2.1782E+21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3459355206463252.5</v>
      </c>
      <c r="I3" s="40">
        <f>I2+J2*D$5</f>
        <v>1.2605633712629205E+19</v>
      </c>
      <c r="J3" s="21">
        <f>-(Données!I$44*1E-24*H3+Données!F$44)*I3+(Données!H$49*1E-24*H3*S3)*0.71+Données!H$50*1E-24*H3*W3</f>
        <v>211178404678.97675</v>
      </c>
      <c r="K3" s="42">
        <f>K2+L2*D$5</f>
        <v>2.1746804294197565E+21</v>
      </c>
      <c r="L3" s="23">
        <f>-(Données!I$45*1E-24*H3+Données!F$45)*K3+(I3*Données!H$44*1E-24*H3)+(Données!H$51*1E-24*H3)*Y3</f>
        <v>-1355069015527.6602</v>
      </c>
      <c r="M3" s="40">
        <f>M2+N2*D$5</f>
        <v>7.2684881001631986E+20</v>
      </c>
      <c r="N3" s="21">
        <f>-(Données!I$46*1E-24*H3+Données!F$46)*M3+Données!H$45*1E-24*H3*K3</f>
        <v>1273680569140.2478</v>
      </c>
      <c r="O3" s="42">
        <f>O2+P2*D$5</f>
        <v>1.4915920363728739E+20</v>
      </c>
      <c r="P3" s="23">
        <f>-(Données!I$47*1E-24*H3+Données!F$47)*O3+(Données!H$46*1E-24*H3)*M3</f>
        <v>-570885001089.8374</v>
      </c>
      <c r="Q3" s="40">
        <f>Q2+R2*D$5</f>
        <v>5.1407310007414563E+19</v>
      </c>
      <c r="R3" s="43">
        <f>-(Données!I$48*1E-24*H3+Données!F$48)*Q3+Données!H$47*1E-24*H3*O3+(Données!H$49*1E-24*H3*S3)*0.85*0.16</f>
        <v>124797916776.59067</v>
      </c>
      <c r="S3" s="42">
        <f>S2+T2*D$5</f>
        <v>3.2534653574734283E+19</v>
      </c>
      <c r="T3" s="22">
        <f>-(Données!I$49*1E-24*H3+Données!F$49)*S3+Données!F$47*O3</f>
        <v>2823877852.0651855</v>
      </c>
      <c r="U3" s="28">
        <f t="shared" si="2"/>
        <v>3.1472360403681422E+21</v>
      </c>
      <c r="V3" s="19"/>
      <c r="W3" s="40">
        <f t="shared" ref="W3:W18" si="3">W2+X2*D$5</f>
        <v>8.7038360898539028E+19</v>
      </c>
      <c r="X3" s="21">
        <f>-(Données!I$50*1E-24*H3+Données!F$50)*W3+Données!F$45*K3</f>
        <v>-707121071039.90039</v>
      </c>
      <c r="Y3" s="42">
        <f t="shared" ref="Y3:Y18" si="4">Y2+Z2*D$5</f>
        <v>1.6751996671558376E+22</v>
      </c>
      <c r="Z3" s="23">
        <f>-(Données!I$51*1E-24*H3+Données!F$51)*Y3+Données!F$48*Q3</f>
        <v>-18186329340271.965</v>
      </c>
      <c r="AA3" s="15">
        <f t="shared" ref="AA3:AA18" si="5">W3+Y3</f>
        <v>1.6839035032456915E+22</v>
      </c>
    </row>
    <row r="4" spans="1:29" ht="15.75" thickBot="1">
      <c r="A4" s="45" t="s">
        <v>10</v>
      </c>
      <c r="B4" s="73">
        <f>Données!F12</f>
        <v>7.2346005790387942E+20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3459355206463252.5</v>
      </c>
      <c r="I4" s="40">
        <f t="shared" ref="I4:I18" si="6">I3+J3*D$5</f>
        <v>1.3160610560125557E+19</v>
      </c>
      <c r="J4" s="21">
        <f>-(Données!I$44*1E-24*H4+Données!F$44)*I4+(Données!H$49*1E-24*H4*S4)*0.71+Données!H$50*1E-24*H4*W4</f>
        <v>204368690886.48206</v>
      </c>
      <c r="K4" s="42">
        <f t="shared" ref="K4:K18" si="7">K3+L3*D$5</f>
        <v>2.1711193080469499E+21</v>
      </c>
      <c r="L4" s="23">
        <f>-(Données!I$45*1E-24*H4+Données!F$45)*K4+(I4*Données!H$44*1E-24*H4)+(Données!H$51*1E-24*H4)*Y4</f>
        <v>-1370467601730.1973</v>
      </c>
      <c r="M4" s="40">
        <f t="shared" ref="M4:M18" si="8">M3+N3*D$5</f>
        <v>7.3019604255202043E+20</v>
      </c>
      <c r="N4" s="21">
        <f>-(Données!I$46*1E-24*H4+Données!F$46)*M4+Données!H$45*1E-24*H4*K4</f>
        <v>1257940459245.0232</v>
      </c>
      <c r="O4" s="42">
        <f t="shared" ref="O4:O18" si="9">O3+P3*D$5</f>
        <v>1.4765891785442329E+20</v>
      </c>
      <c r="P4" s="23">
        <f>-(Données!I$47*1E-24*H4+Données!F$47)*O4+(Données!H$46*1E-24*H4)*M4</f>
        <v>-548310569399.40137</v>
      </c>
      <c r="Q4" s="40">
        <f t="shared" ref="Q4:Q18" si="10">Q3+R3*D$5</f>
        <v>5.1735278932703445E+19</v>
      </c>
      <c r="R4" s="43">
        <f>-(Données!I$48*1E-24*H4+Données!F$48)*Q4+Données!H$47*1E-24*H4*O4+(Données!H$49*1E-24*H4*S4)*0.85*0.16</f>
        <v>121622267959.56395</v>
      </c>
      <c r="S4" s="42">
        <f t="shared" ref="S4:S18" si="11">S3+T3*D$5</f>
        <v>3.2542074725729509E+19</v>
      </c>
      <c r="T4" s="22">
        <f>-(Données!I$49*1E-24*H4+Données!F$49)*S4+Données!F$47*O4</f>
        <v>470356154.01608276</v>
      </c>
      <c r="U4" s="28">
        <f t="shared" si="2"/>
        <v>3.1464122326719518E+21</v>
      </c>
      <c r="V4" s="19"/>
      <c r="W4" s="40">
        <f t="shared" si="3"/>
        <v>8.5180046723846177E+19</v>
      </c>
      <c r="X4" s="21">
        <f>-(Données!I$50*1E-24*H4+Données!F$50)*W4+Données!F$45*K4</f>
        <v>-691984587869.4032</v>
      </c>
      <c r="Y4" s="42">
        <f t="shared" si="4"/>
        <v>1.6704202998052142E+22</v>
      </c>
      <c r="Z4" s="23">
        <f>-(Données!I$51*1E-24*H4+Données!F$51)*Y4+Données!F$48*Q4</f>
        <v>-18134443468406.238</v>
      </c>
      <c r="AA4" s="15">
        <f t="shared" si="5"/>
        <v>1.6789383044775987E+22</v>
      </c>
    </row>
    <row r="5" spans="1:29" ht="15.75" thickBot="1">
      <c r="A5" s="45" t="s">
        <v>11</v>
      </c>
      <c r="B5" s="73">
        <f>Données!F13</f>
        <v>1.5072084539664158E+20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3459355206463252.5</v>
      </c>
      <c r="I5" s="40">
        <f t="shared" si="6"/>
        <v>1.3697691479775232E+19</v>
      </c>
      <c r="J5" s="21">
        <f>-(Données!I$44*1E-24*H5+Données!F$44)*I5+(Données!H$49*1E-24*H5*S5)*0.71+Données!H$50*1E-24*H5*W5</f>
        <v>197717800272.28992</v>
      </c>
      <c r="K5" s="42">
        <f t="shared" si="7"/>
        <v>2.167517719189603E+21</v>
      </c>
      <c r="L5" s="23">
        <f>-(Données!I$45*1E-24*H5+Données!F$45)*K5+(I5*Données!H$44*1E-24*H5)+(Données!H$51*1E-24*H5)*Y5</f>
        <v>-1385461907017.2051</v>
      </c>
      <c r="M5" s="40">
        <f t="shared" si="8"/>
        <v>7.335019100789164E+20</v>
      </c>
      <c r="N5" s="21">
        <f>-(Données!I$46*1E-24*H5+Données!F$46)*M5+Données!H$45*1E-24*H5*K5</f>
        <v>1242260424079.7515</v>
      </c>
      <c r="O5" s="42">
        <f t="shared" si="9"/>
        <v>1.4621795767804166E+20</v>
      </c>
      <c r="P5" s="23">
        <f>-(Données!I$47*1E-24*H5+Données!F$47)*O5+(Données!H$46*1E-24*H5)*M5</f>
        <v>-526485088491.4021</v>
      </c>
      <c r="Q5" s="40">
        <f t="shared" si="10"/>
        <v>5.2054902252901179E+19</v>
      </c>
      <c r="R5" s="43">
        <f>-(Données!I$48*1E-24*H5+Données!F$48)*Q5+Données!H$47*1E-24*H5*O5+(Données!H$49*1E-24*H5*S5)*0.85*0.16</f>
        <v>118555544503.38852</v>
      </c>
      <c r="S5" s="42">
        <f t="shared" si="11"/>
        <v>3.2543310821702263E+19</v>
      </c>
      <c r="T5" s="22">
        <f>-(Données!I$49*1E-24*H5+Données!F$49)*S5+Données!F$47*O5</f>
        <v>-1749167928.177063</v>
      </c>
      <c r="U5" s="28">
        <f t="shared" si="2"/>
        <v>3.1455334915009392E+21</v>
      </c>
      <c r="V5" s="19"/>
      <c r="W5" s="40">
        <f t="shared" si="3"/>
        <v>8.3361511226925384E+19</v>
      </c>
      <c r="X5" s="21">
        <f>-(Données!I$50*1E-24*H5+Données!F$50)*W5+Données!F$45*K5</f>
        <v>-677172219420.99316</v>
      </c>
      <c r="Y5" s="42">
        <f t="shared" si="4"/>
        <v>1.665654568061717E+22</v>
      </c>
      <c r="Z5" s="23">
        <f>-(Données!I$51*1E-24*H5+Données!F$51)*Y5+Données!F$48*Q5</f>
        <v>-18082705628149.715</v>
      </c>
      <c r="AA5" s="15">
        <f t="shared" si="5"/>
        <v>1.6739907191844096E+22</v>
      </c>
    </row>
    <row r="6" spans="1:29" ht="15.75" thickBot="1">
      <c r="A6" s="45" t="s">
        <v>13</v>
      </c>
      <c r="B6" s="73">
        <f>Données!F14</f>
        <v>5.1070699679853748E+19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3459355206463252.5</v>
      </c>
      <c r="I6" s="40">
        <f t="shared" si="6"/>
        <v>1.4217293858890809E+19</v>
      </c>
      <c r="J6" s="21">
        <f>-(Données!I$44*1E-24*H6+Données!F$44)*I6+(Données!H$49*1E-24*H6*S6)*0.71+Données!H$50*1E-24*H6*W6</f>
        <v>191223027913.18884</v>
      </c>
      <c r="K6" s="42">
        <f t="shared" si="7"/>
        <v>2.1638767252979618E+21</v>
      </c>
      <c r="L6" s="23">
        <f>-(Données!I$45*1E-24*H6+Données!F$45)*K6+(I6*Données!H$44*1E-24*H6)+(Données!H$51*1E-24*H6)*Y6</f>
        <v>-1400059719409.082</v>
      </c>
      <c r="M6" s="40">
        <f t="shared" si="8"/>
        <v>7.3676657047339794E+20</v>
      </c>
      <c r="N6" s="21">
        <f>-(Données!I$46*1E-24*H6+Données!F$46)*M6+Données!H$45*1E-24*H6*K6</f>
        <v>1226641679418.8931</v>
      </c>
      <c r="O6" s="42">
        <f t="shared" si="9"/>
        <v>1.4483435486548625E+20</v>
      </c>
      <c r="P6" s="23">
        <f>-(Données!I$47*1E-24*H6+Données!F$47)*O6+(Données!H$46*1E-24*H6)*M6</f>
        <v>-505385628504.354</v>
      </c>
      <c r="Q6" s="40">
        <f t="shared" si="10"/>
        <v>5.2366466223856083E+19</v>
      </c>
      <c r="R6" s="43">
        <f>-(Données!I$48*1E-24*H6+Données!F$48)*Q6+Données!H$47*1E-24*H6*O6+(Données!H$49*1E-24*H6*S6)*0.85*0.16</f>
        <v>115594225217.57477</v>
      </c>
      <c r="S6" s="42">
        <f t="shared" si="11"/>
        <v>3.2538714008387015E+19</v>
      </c>
      <c r="T6" s="22">
        <f>-(Données!I$49*1E-24*H6+Données!F$49)*S6+Données!F$47*O6</f>
        <v>-3840160941.1465149</v>
      </c>
      <c r="U6" s="28">
        <f t="shared" si="2"/>
        <v>3.1446001247279802E+21</v>
      </c>
      <c r="V6" s="19"/>
      <c r="W6" s="40">
        <f t="shared" si="3"/>
        <v>8.1581902634287006E+19</v>
      </c>
      <c r="X6" s="21">
        <f>-(Données!I$50*1E-24*H6+Données!F$50)*W6+Données!F$45*K6</f>
        <v>-662677025307.29724</v>
      </c>
      <c r="Y6" s="42">
        <f t="shared" si="4"/>
        <v>1.6609024330226393E+22</v>
      </c>
      <c r="Z6" s="23">
        <f>-(Données!I$51*1E-24*H6+Données!F$51)*Y6+Données!F$48*Q6</f>
        <v>-18031115397149.367</v>
      </c>
      <c r="AA6" s="15">
        <f t="shared" si="5"/>
        <v>1.6690606232860679E+22</v>
      </c>
    </row>
    <row r="7" spans="1:29" ht="15.75" thickBot="1">
      <c r="A7" s="45" t="s">
        <v>14</v>
      </c>
      <c r="B7" s="73">
        <f>Données!F15</f>
        <v>3.2520680334545068E+19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3459355206463252.5</v>
      </c>
      <c r="I7" s="40">
        <f t="shared" si="6"/>
        <v>1.4719827976246669E+19</v>
      </c>
      <c r="J7" s="21">
        <f>-(Données!I$44*1E-24*H7+Données!F$44)*I7+(Données!H$49*1E-24*H7*S7)*0.71+Données!H$50*1E-24*H7*W7</f>
        <v>184881686888.52856</v>
      </c>
      <c r="K7" s="42">
        <f t="shared" si="7"/>
        <v>2.1601973683553546E+21</v>
      </c>
      <c r="L7" s="23">
        <f>-(Données!I$45*1E-24*H7+Données!F$45)*K7+(I7*Données!H$44*1E-24*H7)+(Données!H$51*1E-24*H7)*Y7</f>
        <v>-1414268681123.5332</v>
      </c>
      <c r="M7" s="40">
        <f t="shared" si="8"/>
        <v>7.3999018480691079E+20</v>
      </c>
      <c r="N7" s="21">
        <f>-(Données!I$46*1E-24*H7+Données!F$46)*M7+Données!H$45*1E-24*H7*K7</f>
        <v>1211085398849.5596</v>
      </c>
      <c r="O7" s="42">
        <f t="shared" si="9"/>
        <v>1.435062014337768E+20</v>
      </c>
      <c r="P7" s="23">
        <f>-(Données!I$47*1E-24*H7+Données!F$47)*O7+(Données!H$46*1E-24*H7)*M7</f>
        <v>-484989948917.37378</v>
      </c>
      <c r="Q7" s="40">
        <f t="shared" si="10"/>
        <v>5.2670247847727866E+19</v>
      </c>
      <c r="R7" s="43">
        <f>-(Données!I$48*1E-24*H7+Données!F$48)*Q7+Données!H$47*1E-24*H7*O7+(Données!H$49*1E-24*H7*S7)*0.85*0.16</f>
        <v>112734895132.13608</v>
      </c>
      <c r="S7" s="42">
        <f t="shared" si="11"/>
        <v>3.2528622065433682E+19</v>
      </c>
      <c r="T7" s="22">
        <f>-(Données!I$49*1E-24*H7+Données!F$49)*S7+Données!F$47*O7</f>
        <v>-5807897162.0295715</v>
      </c>
      <c r="U7" s="28">
        <f t="shared" si="2"/>
        <v>3.1436124524854499E+21</v>
      </c>
      <c r="V7" s="19"/>
      <c r="W7" s="40">
        <f t="shared" si="3"/>
        <v>7.9840387411779437E+19</v>
      </c>
      <c r="X7" s="21">
        <f>-(Données!I$50*1E-24*H7+Données!F$50)*W7+Données!F$45*K7</f>
        <v>-648492213755.9198</v>
      </c>
      <c r="Y7" s="42">
        <f t="shared" si="4"/>
        <v>1.6561638558962685E+22</v>
      </c>
      <c r="Z7" s="23">
        <f>-(Données!I$51*1E-24*H7+Données!F$51)*Y7+Données!F$48*Q7</f>
        <v>-17979672354257.672</v>
      </c>
      <c r="AA7" s="15">
        <f t="shared" si="5"/>
        <v>1.6641478946374464E+22</v>
      </c>
      <c r="AC7" s="19"/>
    </row>
    <row r="8" spans="1:29" ht="15.75" thickBot="1">
      <c r="A8" s="45" t="s">
        <v>15</v>
      </c>
      <c r="B8" s="73">
        <f>Données!F16</f>
        <v>8.8937324162937733E+19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3459355206463252.5</v>
      </c>
      <c r="I8" s="40">
        <f t="shared" si="6"/>
        <v>1.5205697049389722E+19</v>
      </c>
      <c r="J8" s="21">
        <f>-(Données!I$44*1E-24*H8+Données!F$44)*I8+(Données!H$49*1E-24*H8*S8)*0.71+Données!H$50*1E-24*H8*W8</f>
        <v>178691109379.47534</v>
      </c>
      <c r="K8" s="42">
        <f t="shared" si="7"/>
        <v>2.156480670261362E+21</v>
      </c>
      <c r="L8" s="23">
        <f>-(Données!I$45*1E-24*H8+Données!F$45)*K8+(I8*Données!H$44*1E-24*H8)+(Données!H$51*1E-24*H8)*Y8</f>
        <v>-1428096291437.3809</v>
      </c>
      <c r="M8" s="40">
        <f t="shared" si="8"/>
        <v>7.4317291723508744E+20</v>
      </c>
      <c r="N8" s="21">
        <f>-(Données!I$46*1E-24*H8+Données!F$46)*M8+Données!H$45*1E-24*H8*K8</f>
        <v>1195592714714.957</v>
      </c>
      <c r="O8" s="42">
        <f t="shared" si="9"/>
        <v>1.4223164784802193E+20</v>
      </c>
      <c r="P8" s="23">
        <f>-(Données!I$47*1E-24*H8+Données!F$47)*O8+(Données!H$46*1E-24*H8)*M8</f>
        <v>-465276477849.92822</v>
      </c>
      <c r="Q8" s="40">
        <f t="shared" si="10"/>
        <v>5.2966515152135119E+19</v>
      </c>
      <c r="R8" s="43">
        <f>-(Données!I$48*1E-24*H8+Données!F$48)*Q8+Données!H$47*1E-24*H8*O8+(Données!H$49*1E-24*H8*S8)*0.85*0.16</f>
        <v>109974242360.19113</v>
      </c>
      <c r="S8" s="42">
        <f t="shared" si="11"/>
        <v>3.251335891169187E+19</v>
      </c>
      <c r="T8" s="22">
        <f>-(Données!I$49*1E-24*H8+Données!F$49)*S8+Données!F$47*O8</f>
        <v>-7657464888.5991821</v>
      </c>
      <c r="U8" s="28">
        <f t="shared" si="2"/>
        <v>3.1425708064576881E+21</v>
      </c>
      <c r="V8" s="19"/>
      <c r="W8" s="40">
        <f t="shared" si="3"/>
        <v>7.8136149874028872E+19</v>
      </c>
      <c r="X8" s="21">
        <f>-(Données!I$50*1E-24*H8+Données!F$50)*W8+Données!F$45*K8</f>
        <v>-634611138427.19019</v>
      </c>
      <c r="Y8" s="42">
        <f t="shared" si="4"/>
        <v>1.6514387980015695E+22</v>
      </c>
      <c r="Z8" s="23">
        <f>-(Données!I$51*1E-24*H8+Données!F$51)*Y8+Données!F$48*Q8</f>
        <v>-17928376079529.187</v>
      </c>
      <c r="AA8" s="15">
        <f t="shared" si="5"/>
        <v>1.6592524129889723E+22</v>
      </c>
      <c r="AC8" s="19"/>
    </row>
    <row r="9" spans="1:29" ht="15.75" thickBot="1">
      <c r="A9" s="45" t="s">
        <v>16</v>
      </c>
      <c r="B9" s="73">
        <f>Données!F17</f>
        <v>1.6799927091276064E+22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3459355206463252.5</v>
      </c>
      <c r="I9" s="40">
        <f t="shared" si="6"/>
        <v>1.5675297284838984E+19</v>
      </c>
      <c r="J9" s="21">
        <f>-(Données!I$44*1E-24*H9+Données!F$44)*I9+(Données!H$49*1E-24*H9*S9)*0.71+Données!H$50*1E-24*H9*W9</f>
        <v>172648647696.31879</v>
      </c>
      <c r="K9" s="42">
        <f t="shared" si="7"/>
        <v>2.1527276332074646E+21</v>
      </c>
      <c r="L9" s="23">
        <f>-(Données!I$45*1E-24*H9+Données!F$45)*K9+(I9*Données!H$44*1E-24*H9)+(Données!H$51*1E-24*H9)*Y9</f>
        <v>-1441549909485.6211</v>
      </c>
      <c r="M9" s="40">
        <f t="shared" si="8"/>
        <v>7.463149348893583E+20</v>
      </c>
      <c r="N9" s="21">
        <f>-(Données!I$46*1E-24*H9+Données!F$46)*M9+Données!H$45*1E-24*H9*K9</f>
        <v>1180164719038.3862</v>
      </c>
      <c r="O9" s="42">
        <f t="shared" si="9"/>
        <v>1.4100890126423232E+20</v>
      </c>
      <c r="P9" s="23">
        <f>-(Données!I$47*1E-24*H9+Données!F$47)*O9+(Données!H$46*1E-24*H9)*M9</f>
        <v>-446224291984.52979</v>
      </c>
      <c r="Q9" s="40">
        <f t="shared" si="10"/>
        <v>5.32555274610577E+19</v>
      </c>
      <c r="R9" s="43">
        <f>-(Données!I$48*1E-24*H9+Données!F$48)*Q9+Données!H$47*1E-24*H9*O9+(Données!H$49*1E-24*H9*S9)*0.85*0.16</f>
        <v>107309055053.34454</v>
      </c>
      <c r="S9" s="42">
        <f t="shared" si="11"/>
        <v>3.2493235093964632E+19</v>
      </c>
      <c r="T9" s="22">
        <f>-(Données!I$49*1E-24*H9+Données!F$49)*S9+Données!F$47*O9</f>
        <v>-9393772531.0778198</v>
      </c>
      <c r="U9" s="28">
        <f t="shared" si="2"/>
        <v>3.1414755292009165E+21</v>
      </c>
      <c r="V9" s="19"/>
      <c r="W9" s="40">
        <f t="shared" si="3"/>
        <v>7.646839180224222E+19</v>
      </c>
      <c r="X9" s="21">
        <f>-(Données!I$50*1E-24*H9+Données!F$50)*W9+Données!F$45*K9</f>
        <v>-621027295300.05115</v>
      </c>
      <c r="Y9" s="42">
        <f t="shared" si="4"/>
        <v>1.6467272207678692E+22</v>
      </c>
      <c r="Z9" s="23">
        <f>-(Données!I$51*1E-24*H9+Données!F$51)*Y9+Données!F$48*Q9</f>
        <v>-17877226154217.086</v>
      </c>
      <c r="AA9" s="15">
        <f t="shared" si="5"/>
        <v>1.6543740599480934E+22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3459355206463252.5</v>
      </c>
      <c r="I10" s="40">
        <f t="shared" si="6"/>
        <v>1.6129017930984909E+19</v>
      </c>
      <c r="J10" s="21">
        <f>-(Données!I$44*1E-24*H10+Données!F$44)*I10+(Données!H$49*1E-24*H10*S10)*0.71+Données!H$50*1E-24*H10*W10</f>
        <v>166751675236.8699</v>
      </c>
      <c r="K10" s="42">
        <f t="shared" si="7"/>
        <v>2.1489392400453363E+21</v>
      </c>
      <c r="L10" s="23">
        <f>-(Données!I$45*1E-24*H10+Données!F$45)*K10+(I10*Données!H$44*1E-24*H10)+(Données!H$51*1E-24*H10)*Y10</f>
        <v>-1454636756999.3906</v>
      </c>
      <c r="M10" s="40">
        <f t="shared" si="8"/>
        <v>7.4941640777099117E+20</v>
      </c>
      <c r="N10" s="21">
        <f>-(Données!I$46*1E-24*H10+Données!F$46)*M10+Données!H$45*1E-24*H10*K10</f>
        <v>1164802464428.2368</v>
      </c>
      <c r="O10" s="42">
        <f t="shared" si="9"/>
        <v>1.3983622382489697E+20</v>
      </c>
      <c r="P10" s="23">
        <f>-(Données!I$47*1E-24*H10+Données!F$47)*O10+(Données!H$46*1E-24*H10)*M10</f>
        <v>-427813097093.60303</v>
      </c>
      <c r="Q10" s="40">
        <f t="shared" si="10"/>
        <v>5.3537535657737888E+19</v>
      </c>
      <c r="R10" s="43">
        <f>-(Données!I$48*1E-24*H10+Données!F$48)*Q10+Données!H$47*1E-24*H10*O10+(Données!H$49*1E-24*H10*S10)*0.85*0.16</f>
        <v>104736218447.08267</v>
      </c>
      <c r="S10" s="42">
        <f t="shared" si="11"/>
        <v>3.246854825975296E+19</v>
      </c>
      <c r="T10" s="22">
        <f>-(Données!I$49*1E-24*H10+Données!F$49)*S10+Données!F$47*O10</f>
        <v>-11021554511.768219</v>
      </c>
      <c r="U10" s="28">
        <f t="shared" si="2"/>
        <v>3.1403269734896999E+21</v>
      </c>
      <c r="V10" s="19"/>
      <c r="W10" s="40">
        <f t="shared" si="3"/>
        <v>7.4836332070193693E+19</v>
      </c>
      <c r="X10" s="21">
        <f>-(Données!I$50*1E-24*H10+Données!F$50)*W10+Données!F$45*K10</f>
        <v>-607734319624.62732</v>
      </c>
      <c r="Y10" s="42">
        <f t="shared" si="4"/>
        <v>1.6420290857345409E+22</v>
      </c>
      <c r="Z10" s="23">
        <f>-(Données!I$51*1E-24*H10+Données!F$51)*Y10+Données!F$48*Q10</f>
        <v>-17826222160769.719</v>
      </c>
      <c r="AA10" s="15">
        <f t="shared" si="5"/>
        <v>1.6495127189415604E+22</v>
      </c>
      <c r="AC10" s="19"/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3459355206463252.5</v>
      </c>
      <c r="I11" s="40">
        <f t="shared" si="6"/>
        <v>1.6567241333507404E+19</v>
      </c>
      <c r="J11" s="21">
        <f>-(Données!I$44*1E-24*H11+Données!F$44)*I11+(Données!H$49*1E-24*H11*S11)*0.71+Données!H$50*1E-24*H11*W11</f>
        <v>160997587378.88141</v>
      </c>
      <c r="K11" s="42">
        <f t="shared" si="7"/>
        <v>2.1451164546479418E+21</v>
      </c>
      <c r="L11" s="23">
        <f>-(Données!I$45*1E-24*H11+Données!F$45)*K11+(I11*Données!H$44*1E-24*H11)+(Données!H$51*1E-24*H11)*Y11</f>
        <v>-1467363920984.3086</v>
      </c>
      <c r="M11" s="40">
        <f t="shared" si="8"/>
        <v>7.5247750864750851E+20</v>
      </c>
      <c r="N11" s="21">
        <f>-(Données!I$46*1E-24*H11+Données!F$46)*M11+Données!H$45*1E-24*H11*K11</f>
        <v>1149506964964.3701</v>
      </c>
      <c r="O11" s="42">
        <f t="shared" si="9"/>
        <v>1.3871193100573498E+20</v>
      </c>
      <c r="P11" s="23">
        <f>-(Données!I$47*1E-24*H11+Données!F$47)*O11+(Données!H$46*1E-24*H11)*M11</f>
        <v>-410023209152.30005</v>
      </c>
      <c r="Q11" s="40">
        <f t="shared" si="10"/>
        <v>5.3812782439816823E+19</v>
      </c>
      <c r="R11" s="43">
        <f>-(Données!I$48*1E-24*H11+Données!F$48)*Q11+Données!H$47*1E-24*H11*O11+(Données!H$49*1E-24*H11*S11)*0.85*0.16</f>
        <v>102252711993.50668</v>
      </c>
      <c r="S11" s="42">
        <f t="shared" si="11"/>
        <v>3.2439583614496035E+19</v>
      </c>
      <c r="T11" s="22">
        <f>-(Données!I$49*1E-24*H11+Données!F$49)*S11+Données!F$47*O11</f>
        <v>-12545376978.445404</v>
      </c>
      <c r="U11" s="28">
        <f t="shared" si="2"/>
        <v>3.1391255016890051E+21</v>
      </c>
      <c r="V11" s="19"/>
      <c r="W11" s="40">
        <f t="shared" si="3"/>
        <v>7.3239206278220169E+19</v>
      </c>
      <c r="X11" s="21">
        <f>-(Données!I$50*1E-24*H11+Données!F$50)*W11+Données!F$45*K11</f>
        <v>-594725982940.04736</v>
      </c>
      <c r="Y11" s="42">
        <f t="shared" si="4"/>
        <v>1.6373443545506907E+22</v>
      </c>
      <c r="Z11" s="23">
        <f>-(Données!I$51*1E-24*H11+Données!F$51)*Y11+Données!F$48*Q11</f>
        <v>-17775363682827.215</v>
      </c>
      <c r="AA11" s="15">
        <f t="shared" si="5"/>
        <v>1.6446682751785127E+22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3459355206463252.5</v>
      </c>
      <c r="I12" s="40">
        <f t="shared" si="6"/>
        <v>1.6990342993139104E+19</v>
      </c>
      <c r="J12" s="21">
        <f>-(Données!I$44*1E-24*H12+Données!F$44)*I12+(Données!H$49*1E-24*H12*S12)*0.71+Données!H$50*1E-24*H12*W12</f>
        <v>155383802309.31097</v>
      </c>
      <c r="K12" s="42">
        <f t="shared" si="7"/>
        <v>2.1412602222635951E+21</v>
      </c>
      <c r="L12" s="23">
        <f>-(Données!I$45*1E-24*H12+Données!F$45)*K12+(I12*Données!H$44*1E-24*H12)+(Données!H$51*1E-24*H12)*Y12</f>
        <v>-1479738356340.7754</v>
      </c>
      <c r="M12" s="40">
        <f t="shared" si="8"/>
        <v>7.5549841295143482E+20</v>
      </c>
      <c r="N12" s="21">
        <f>-(Données!I$46*1E-24*H12+Données!F$46)*M12+Données!H$45*1E-24*H12*K12</f>
        <v>1134279197066.2925</v>
      </c>
      <c r="O12" s="42">
        <f t="shared" si="9"/>
        <v>1.3763439001208273E+20</v>
      </c>
      <c r="P12" s="23">
        <f>-(Données!I$47*1E-24*H12+Données!F$47)*O12+(Données!H$46*1E-24*H12)*M12</f>
        <v>-392835536019.59692</v>
      </c>
      <c r="Q12" s="40">
        <f t="shared" si="10"/>
        <v>5.4081502566935757E+19</v>
      </c>
      <c r="R12" s="43">
        <f>-(Données!I$48*1E-24*H12+Données!F$48)*Q12+Données!H$47*1E-24*H12*O12+(Données!H$49*1E-24*H12*S12)*0.85*0.16</f>
        <v>99855606578.802536</v>
      </c>
      <c r="S12" s="42">
        <f t="shared" si="11"/>
        <v>3.2406614363796681E+19</v>
      </c>
      <c r="T12" s="22">
        <f>-(Données!I$49*1E-24*H12+Données!F$49)*S12+Données!F$47*O12</f>
        <v>-13969643337.273682</v>
      </c>
      <c r="U12" s="28">
        <f t="shared" si="2"/>
        <v>3.1378714851509844E+21</v>
      </c>
      <c r="V12" s="19"/>
      <c r="W12" s="40">
        <f t="shared" si="3"/>
        <v>7.1676266395053728E+19</v>
      </c>
      <c r="X12" s="21">
        <f>-(Données!I$50*1E-24*H12+Données!F$50)*W12+Données!F$45*K12</f>
        <v>-581996190156.12244</v>
      </c>
      <c r="Y12" s="42">
        <f t="shared" si="4"/>
        <v>1.6326729889748437E+22</v>
      </c>
      <c r="Z12" s="23">
        <f>-(Données!I$51*1E-24*H12+Données!F$51)*Y12+Données!F$48*Q12</f>
        <v>-17724650305218.031</v>
      </c>
      <c r="AA12" s="15">
        <f t="shared" si="5"/>
        <v>1.6398406156143492E+22</v>
      </c>
      <c r="AC12" s="19"/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3459355206463252.5</v>
      </c>
      <c r="I13" s="40">
        <f t="shared" si="6"/>
        <v>1.7398691625607973E+19</v>
      </c>
      <c r="J13" s="21">
        <f>-(Données!I$44*1E-24*H13+Données!F$44)*I13+(Données!H$49*1E-24*H13*S13)*0.71+Données!H$50*1E-24*H13*W13</f>
        <v>149907761793.14862</v>
      </c>
      <c r="K13" s="42">
        <f t="shared" si="7"/>
        <v>2.1373714698631315E+21</v>
      </c>
      <c r="L13" s="23">
        <f>-(Données!I$45*1E-24*H13+Données!F$45)*K13+(I13*Données!H$44*1E-24*H13)+(Données!H$51*1E-24*H13)*Y13</f>
        <v>-1491766888427.623</v>
      </c>
      <c r="M13" s="40">
        <f t="shared" si="8"/>
        <v>7.5847929868132509E+20</v>
      </c>
      <c r="N13" s="21">
        <f>-(Données!I$46*1E-24*H13+Données!F$46)*M13+Données!H$45*1E-24*H13*K13</f>
        <v>1119120100343.4985</v>
      </c>
      <c r="O13" s="42">
        <f t="shared" si="9"/>
        <v>1.3660201822342323E+20</v>
      </c>
      <c r="P13" s="23">
        <f>-(Données!I$47*1E-24*H13+Données!F$47)*O13+(Données!H$46*1E-24*H13)*M13</f>
        <v>-376231559670.54175</v>
      </c>
      <c r="Q13" s="40">
        <f t="shared" si="10"/>
        <v>5.4343923101024846E+19</v>
      </c>
      <c r="R13" s="43">
        <f>-(Données!I$48*1E-24*H13+Données!F$48)*Q13+Données!H$47*1E-24*H13*O13+(Données!H$49*1E-24*H13*S13)*0.85*0.16</f>
        <v>97542061822.927414</v>
      </c>
      <c r="S13" s="42">
        <f t="shared" si="11"/>
        <v>3.2369902141106323E+19</v>
      </c>
      <c r="T13" s="22">
        <f>-(Données!I$49*1E-24*H13+Données!F$49)*S13+Données!F$47*O13</f>
        <v>-15298599610.834412</v>
      </c>
      <c r="U13" s="28">
        <f t="shared" si="2"/>
        <v>3.1365653036356186E+21</v>
      </c>
      <c r="V13" s="19"/>
      <c r="W13" s="40">
        <f t="shared" si="3"/>
        <v>7.0146780407323435E+19</v>
      </c>
      <c r="X13" s="21">
        <f>-(Données!I$50*1E-24*H13+Données!F$50)*W13+Données!F$45*K13</f>
        <v>-569538976697.51257</v>
      </c>
      <c r="Y13" s="42">
        <f t="shared" si="4"/>
        <v>1.6280149508746325E+22</v>
      </c>
      <c r="Z13" s="23">
        <f>-(Données!I$51*1E-24*H13+Données!F$51)*Y13+Données!F$48*Q13</f>
        <v>-17674081613955.578</v>
      </c>
      <c r="AA13" s="15">
        <f t="shared" si="5"/>
        <v>1.6350296289153649E+22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3459355206463252.5</v>
      </c>
      <c r="I14" s="40">
        <f t="shared" si="6"/>
        <v>1.7792649223600368E+19</v>
      </c>
      <c r="J14" s="21">
        <f>-(Données!I$44*1E-24*H14+Données!F$44)*I14+(Données!H$49*1E-24*H14*S14)*0.71+Données!H$50*1E-24*H14*W14</f>
        <v>144566931884.42651</v>
      </c>
      <c r="K14" s="42">
        <f t="shared" si="7"/>
        <v>2.1334511064803437E+21</v>
      </c>
      <c r="L14" s="23">
        <f>-(Données!I$45*1E-24*H14+Données!F$45)*K14+(I14*Données!H$44*1E-24*H14)+(Données!H$51*1E-24*H14)*Y14</f>
        <v>-1503456215570.5586</v>
      </c>
      <c r="M14" s="40">
        <f t="shared" si="8"/>
        <v>7.6142034630502777E+20</v>
      </c>
      <c r="N14" s="21">
        <f>-(Données!I$46*1E-24*H14+Données!F$46)*M14+Données!H$45*1E-24*H14*K14</f>
        <v>1104030578428.377</v>
      </c>
      <c r="O14" s="42">
        <f t="shared" si="9"/>
        <v>1.3561328168460904E+20</v>
      </c>
      <c r="P14" s="23">
        <f>-(Données!I$47*1E-24*H14+Données!F$47)*O14+(Données!H$46*1E-24*H14)*M14</f>
        <v>-360193318963.03662</v>
      </c>
      <c r="Q14" s="40">
        <f t="shared" si="10"/>
        <v>5.46002636394955E+19</v>
      </c>
      <c r="R14" s="43">
        <f>-(Données!I$48*1E-24*H14+Données!F$48)*Q14+Données!H$47*1E-24*H14*O14+(Données!H$49*1E-24*H14*S14)*0.85*0.16</f>
        <v>95309323459.066467</v>
      </c>
      <c r="S14" s="42">
        <f t="shared" si="11"/>
        <v>3.2329697421329052E+19</v>
      </c>
      <c r="T14" s="22">
        <f>-(Données!I$49*1E-24*H14+Données!F$49)*S14+Données!F$47*O14</f>
        <v>-16536339626.681366</v>
      </c>
      <c r="U14" s="28">
        <f t="shared" si="2"/>
        <v>3.1352073447544057E+21</v>
      </c>
      <c r="V14" s="19"/>
      <c r="W14" s="40">
        <f t="shared" si="3"/>
        <v>6.8650031976562369E+19</v>
      </c>
      <c r="X14" s="21">
        <f>-(Données!I$50*1E-24*H14+Données!F$50)*W14+Données!F$45*K14</f>
        <v>-557348505709.04419</v>
      </c>
      <c r="Y14" s="42">
        <f t="shared" si="4"/>
        <v>1.6233702022264849E+22</v>
      </c>
      <c r="Z14" s="23">
        <f>-(Données!I$51*1E-24*H14+Données!F$51)*Y14+Données!F$48*Q14</f>
        <v>-17623657196234.801</v>
      </c>
      <c r="AA14" s="15">
        <f t="shared" si="5"/>
        <v>1.6302352054241412E+22</v>
      </c>
      <c r="AC14" s="19"/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3459355206463252.5</v>
      </c>
      <c r="I15" s="40">
        <f t="shared" si="6"/>
        <v>1.817257112059264E+19</v>
      </c>
      <c r="J15" s="21">
        <f>-(Données!I$44*1E-24*H15+Données!F$44)*I15+(Données!H$49*1E-24*H15*S15)*0.71+Données!H$50*1E-24*H15*W15</f>
        <v>139358803581.93558</v>
      </c>
      <c r="K15" s="42">
        <f t="shared" si="7"/>
        <v>2.1295000235458243E+21</v>
      </c>
      <c r="L15" s="23">
        <f>-(Données!I$45*1E-24*H15+Données!F$45)*K15+(I15*Données!H$44*1E-24*H15)+(Données!H$51*1E-24*H15)*Y15</f>
        <v>-1514812911516.791</v>
      </c>
      <c r="M15" s="40">
        <f t="shared" si="8"/>
        <v>7.6432173866513754E+20</v>
      </c>
      <c r="N15" s="21">
        <f>-(Données!I$46*1E-24*H15+Données!F$46)*M15+Données!H$45*1E-24*H15*K15</f>
        <v>1089011499792.0249</v>
      </c>
      <c r="O15" s="42">
        <f t="shared" si="9"/>
        <v>1.3466669364237418E+20</v>
      </c>
      <c r="P15" s="23">
        <f>-(Données!I$47*1E-24*H15+Données!F$47)*O15+(Données!H$46*1E-24*H15)*M15</f>
        <v>-344703392923.03345</v>
      </c>
      <c r="Q15" s="40">
        <f t="shared" si="10"/>
        <v>5.4850736541545923E+19</v>
      </c>
      <c r="R15" s="43">
        <f>-(Données!I$48*1E-24*H15+Données!F$48)*Q15+Données!H$47*1E-24*H15*O15+(Données!H$49*1E-24*H15*S15)*0.85*0.16</f>
        <v>93154720790.487457</v>
      </c>
      <c r="S15" s="42">
        <f t="shared" si="11"/>
        <v>3.2286239920790135E+19</v>
      </c>
      <c r="T15" s="22">
        <f>-(Données!I$49*1E-24*H15+Données!F$49)*S15+Données!F$47*O15</f>
        <v>-17686810041.672089</v>
      </c>
      <c r="U15" s="28">
        <f t="shared" si="2"/>
        <v>3.1337980034362644E+21</v>
      </c>
      <c r="V15" s="19"/>
      <c r="W15" s="40">
        <f t="shared" si="3"/>
        <v>6.7185320103559004E+19</v>
      </c>
      <c r="X15" s="21">
        <f>-(Données!I$50*1E-24*H15+Données!F$50)*W15+Données!F$45*K15</f>
        <v>-545419065320.86847</v>
      </c>
      <c r="Y15" s="42">
        <f t="shared" si="4"/>
        <v>1.6187387051153144E+22</v>
      </c>
      <c r="Z15" s="23">
        <f>-(Données!I$51*1E-24*H15+Données!F$51)*Y15+Données!F$48*Q15</f>
        <v>-17573376640428.822</v>
      </c>
      <c r="AA15" s="15">
        <f t="shared" si="5"/>
        <v>1.6254572371256703E+22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3459355206463252.5</v>
      </c>
      <c r="I16" s="40">
        <f t="shared" si="6"/>
        <v>1.8538806056405967E+19</v>
      </c>
      <c r="J16" s="21">
        <f>-(Données!I$44*1E-24*H16+Données!F$44)*I16+(Données!H$49*1E-24*H16*S16)*0.71+Données!H$50*1E-24*H16*W16</f>
        <v>134280893432.07799</v>
      </c>
      <c r="K16" s="42">
        <f t="shared" si="7"/>
        <v>2.1255190952143581E+21</v>
      </c>
      <c r="L16" s="23">
        <f>-(Données!I$45*1E-24*H16+Données!F$45)*K16+(I16*Données!H$44*1E-24*H16)+(Données!H$51*1E-24*H16)*Y16</f>
        <v>-1525843427837.166</v>
      </c>
      <c r="M16" s="40">
        <f t="shared" si="8"/>
        <v>7.6718366088659101E+20</v>
      </c>
      <c r="N16" s="21">
        <f>-(Données!I$46*1E-24*H16+Données!F$46)*M16+Données!H$45*1E-24*H16*K16</f>
        <v>1074063698543.3579</v>
      </c>
      <c r="O16" s="42">
        <f t="shared" si="9"/>
        <v>1.3376081312577246E+20</v>
      </c>
      <c r="P16" s="23">
        <f>-(Données!I$47*1E-24*H16+Données!F$47)*O16+(Données!H$46*1E-24*H16)*M16</f>
        <v>-329744884532.52271</v>
      </c>
      <c r="Q16" s="40">
        <f t="shared" si="10"/>
        <v>5.5095547147783324E+19</v>
      </c>
      <c r="R16" s="43">
        <f>-(Données!I$48*1E-24*H16+Données!F$48)*Q16+Données!H$47*1E-24*H16*O16+(Données!H$49*1E-24*H16*S16)*0.85*0.16</f>
        <v>91075664222.491669</v>
      </c>
      <c r="S16" s="42">
        <f t="shared" si="11"/>
        <v>3.2239758984000618E+19</v>
      </c>
      <c r="T16" s="22">
        <f>-(Données!I$49*1E-24*H16+Données!F$49)*S16+Données!F$47*O16</f>
        <v>-18753815207.164917</v>
      </c>
      <c r="U16" s="28">
        <f t="shared" si="2"/>
        <v>3.1323376814149112E+21</v>
      </c>
      <c r="V16" s="19"/>
      <c r="W16" s="40">
        <f t="shared" si="3"/>
        <v>6.5751958799895765E+19</v>
      </c>
      <c r="X16" s="21">
        <f>-(Données!I$50*1E-24*H16+Données!F$50)*W16+Données!F$45*K16</f>
        <v>-533745065972.1803</v>
      </c>
      <c r="Y16" s="42">
        <f t="shared" si="4"/>
        <v>1.6141204217342097E+22</v>
      </c>
      <c r="Z16" s="23">
        <f>-(Données!I$51*1E-24*H16+Données!F$51)*Y16+Données!F$48*Q16</f>
        <v>-17523239536085.543</v>
      </c>
      <c r="AA16" s="15">
        <f t="shared" si="5"/>
        <v>1.6206956176141992E+22</v>
      </c>
      <c r="AC16" s="19"/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3459355206463252.5</v>
      </c>
      <c r="I17" s="40">
        <f t="shared" si="6"/>
        <v>1.8891696244345467E+19</v>
      </c>
      <c r="J17" s="21">
        <f>-(Données!I$44*1E-24*H17+Données!F$44)*I17+(Données!H$49*1E-24*H17*S17)*0.71+Données!H$50*1E-24*H17*W17</f>
        <v>129330744081.19695</v>
      </c>
      <c r="K17" s="42">
        <f t="shared" si="7"/>
        <v>2.1215091786860022E+21</v>
      </c>
      <c r="L17" s="23">
        <f>-(Données!I$45*1E-24*H17+Données!F$45)*K17+(I17*Données!H$44*1E-24*H17)+(Données!H$51*1E-24*H17)*Y17</f>
        <v>-1536554096277.0645</v>
      </c>
      <c r="M17" s="40">
        <f t="shared" si="8"/>
        <v>7.7000630028636298E+20</v>
      </c>
      <c r="N17" s="21">
        <f>-(Données!I$46*1E-24*H17+Données!F$46)*M17+Données!H$45*1E-24*H17*K17</f>
        <v>1059187975211.8437</v>
      </c>
      <c r="O17" s="42">
        <f t="shared" si="9"/>
        <v>1.3289424356922099E+20</v>
      </c>
      <c r="P17" s="23">
        <f>-(Données!I$47*1E-24*H17+Données!F$47)*O17+(Données!H$46*1E-24*H17)*M17</f>
        <v>-315301405005.15356</v>
      </c>
      <c r="Q17" s="40">
        <f t="shared" si="10"/>
        <v>5.5334893993360032E+19</v>
      </c>
      <c r="R17" s="43">
        <f>-(Données!I$48*1E-24*H17+Données!F$48)*Q17+Données!H$47*1E-24*H17*O17+(Données!H$49*1E-24*H17*S17)*0.85*0.16</f>
        <v>89069642867.228363</v>
      </c>
      <c r="S17" s="42">
        <f t="shared" si="11"/>
        <v>3.219047395763619E+19</v>
      </c>
      <c r="T17" s="22">
        <f>-(Données!I$49*1E-24*H17+Données!F$49)*S17+Données!F$47*O17</f>
        <v>-19741021880.014557</v>
      </c>
      <c r="U17" s="28">
        <f t="shared" si="2"/>
        <v>3.1308267867369279E+21</v>
      </c>
      <c r="V17" s="19"/>
      <c r="W17" s="40">
        <f t="shared" si="3"/>
        <v>6.4349276766520877E+19</v>
      </c>
      <c r="X17" s="21">
        <f>-(Données!I$50*1E-24*H17+Données!F$50)*W17+Données!F$45*K17</f>
        <v>-522321037792.24188</v>
      </c>
      <c r="Y17" s="42">
        <f t="shared" si="4"/>
        <v>1.6095153143841265E+22</v>
      </c>
      <c r="Z17" s="23">
        <f>-(Données!I$51*1E-24*H17+Données!F$51)*Y17+Données!F$48*Q17</f>
        <v>-17473245473924.293</v>
      </c>
      <c r="AA17" s="15">
        <f t="shared" si="5"/>
        <v>1.6159502420607786E+22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3459355206463252.5</v>
      </c>
      <c r="I18" s="40">
        <f t="shared" si="6"/>
        <v>1.9231577439790854E+19</v>
      </c>
      <c r="J18" s="21">
        <f>-(Données!I$44*1E-24*H18+Données!F$44)*I18+(Données!H$49*1E-24*H18*S18)*0.71+Données!H$50*1E-24*H18*W18</f>
        <v>124505924779.63611</v>
      </c>
      <c r="K18" s="42">
        <f t="shared" si="7"/>
        <v>2.1174711145209861E+21</v>
      </c>
      <c r="L18" s="23">
        <f>-(Données!I$45*1E-24*H18+Données!F$45)*K18+(I18*Données!H$44*1E-24*H18)+(Données!H$51*1E-24*H18)*Y18</f>
        <v>-1546951131057.4375</v>
      </c>
      <c r="M18" s="40">
        <f t="shared" si="8"/>
        <v>7.7278984628521966E+20</v>
      </c>
      <c r="N18" s="21">
        <f>-(Données!I$46*1E-24*H18+Données!F$46)*M18+Données!H$45*1E-24*H18*K18</f>
        <v>1044385097514.2187</v>
      </c>
      <c r="O18" s="42">
        <f t="shared" si="9"/>
        <v>1.3206563147686745E+20</v>
      </c>
      <c r="P18" s="23">
        <f>-(Données!I$47*1E-24*H18+Données!F$47)*O18+(Données!H$46*1E-24*H18)*M18</f>
        <v>-301357058534.78809</v>
      </c>
      <c r="Q18" s="40">
        <f t="shared" si="10"/>
        <v>5.5568969014815105E+19</v>
      </c>
      <c r="R18" s="43">
        <f>-(Données!I$48*1E-24*H18+Données!F$48)*Q18+Données!H$47*1E-24*H18*O18+(Données!H$49*1E-24*H18*S18)*0.85*0.16</f>
        <v>87134222219.207062</v>
      </c>
      <c r="S18" s="42">
        <f t="shared" si="11"/>
        <v>3.2138594552135512E+19</v>
      </c>
      <c r="T18" s="22">
        <f>-(Données!I$49*1E-24*H18+Données!F$49)*S18+Données!F$47*O18</f>
        <v>-20651963784.147156</v>
      </c>
      <c r="U18" s="28">
        <f t="shared" si="2"/>
        <v>3.129265733289815E+21</v>
      </c>
      <c r="V18" s="19"/>
      <c r="W18" s="40">
        <f t="shared" si="3"/>
        <v>6.2976617079202865E+19</v>
      </c>
      <c r="X18" s="21">
        <f>-(Données!I$50*1E-24*H18+Données!F$50)*W18+Données!F$45*K18</f>
        <v>-511141628037.487</v>
      </c>
      <c r="Y18" s="42">
        <f t="shared" si="4"/>
        <v>1.6049233454735791E+22</v>
      </c>
      <c r="Z18" s="23">
        <f>-(Données!I$51*1E-24*H18+Données!F$51)*Y18+Données!F$48*Q18</f>
        <v>-17423394045832.471</v>
      </c>
      <c r="AA18" s="15">
        <f t="shared" si="5"/>
        <v>1.6112210071814993E+22</v>
      </c>
      <c r="AC18" s="19"/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3459355206463252.5</v>
      </c>
      <c r="I19" s="40">
        <f t="shared" ref="I19:I30" si="14">I18+J18*D$5</f>
        <v>1.9558779010111738E+19</v>
      </c>
      <c r="J19" s="21">
        <f>-(Données!I$44*1E-24*H19+Données!F$44)*I19+(Données!H$49*1E-24*H19*S19)*0.71+Données!H$50*1E-24*H19*W19</f>
        <v>119804031839.69882</v>
      </c>
      <c r="K19" s="42">
        <f t="shared" ref="K19:K30" si="15">K18+L18*D$5</f>
        <v>2.1134057269485673E+21</v>
      </c>
      <c r="L19" s="23">
        <f>-(Données!I$45*1E-24*H19+Données!F$45)*K19+(I19*Données!H$44*1E-24*H19)+(Données!H$51*1E-24*H19)*Y19</f>
        <v>-1557040631127.0762</v>
      </c>
      <c r="M19" s="40">
        <f t="shared" ref="M19:M30" si="16">M18+N18*D$5</f>
        <v>7.75534490321487E+20</v>
      </c>
      <c r="N19" s="21">
        <f>-(Données!I$46*1E-24*H19+Données!F$46)*M19+Données!H$45*1E-24*H19*K19</f>
        <v>1029655801105.5151</v>
      </c>
      <c r="O19" s="42">
        <f t="shared" ref="O19:O30" si="17">O18+P18*D$5</f>
        <v>1.3127366512703803E+20</v>
      </c>
      <c r="P19" s="23">
        <f>-(Données!I$47*1E-24*H19+Données!F$47)*O19+(Données!H$46*1E-24*H19)*M19</f>
        <v>-287896427502.73462</v>
      </c>
      <c r="Q19" s="40">
        <f t="shared" ref="Q19:Q30" si="18">Q18+R18*D$5</f>
        <v>5.5797957750807183E+19</v>
      </c>
      <c r="R19" s="43">
        <f>-(Données!I$48*1E-24*H19+Données!F$48)*Q19+Données!H$47*1E-24*H19*O19+(Données!H$49*1E-24*H19*S19)*0.85*0.16</f>
        <v>85267041899.406555</v>
      </c>
      <c r="S19" s="42">
        <f t="shared" ref="S19:S30" si="19">S18+T18*D$5</f>
        <v>3.2084321191310774E+19</v>
      </c>
      <c r="T19" s="22">
        <f>-(Données!I$49*1E-24*H19+Données!F$49)*S19+Données!F$47*O19</f>
        <v>-21490046027.351105</v>
      </c>
      <c r="U19" s="28">
        <f t="shared" ref="U19:U30" si="20">I19+K19+M19+O19+Q19+S19</f>
        <v>3.1276549403493222E+21</v>
      </c>
      <c r="V19" s="19"/>
      <c r="W19" s="40">
        <f t="shared" ref="W19:W30" si="21">W18+X18*D$5</f>
        <v>6.1633336880720347E+19</v>
      </c>
      <c r="X19" s="21">
        <f>-(Données!I$50*1E-24*H19+Données!F$50)*W19+Données!F$45*K19</f>
        <v>-500201598583.50159</v>
      </c>
      <c r="Y19" s="42">
        <f t="shared" ref="Y19:Y30" si="22">Y18+Z18*D$5</f>
        <v>1.6003444775183343E+22</v>
      </c>
      <c r="Z19" s="23">
        <f>-(Données!I$51*1E-24*H19+Données!F$51)*Y19+Données!F$48*Q19</f>
        <v>-17373684844862.201</v>
      </c>
      <c r="AA19" s="15">
        <f t="shared" ref="AA19:AA30" si="23">W19+Y19</f>
        <v>1.6065078112064064E+22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3459355206463252.5</v>
      </c>
      <c r="I20" s="40">
        <f t="shared" si="14"/>
        <v>1.9873624005786468E+19</v>
      </c>
      <c r="J20" s="21">
        <f>-(Données!I$44*1E-24*H20+Données!F$44)*I20+(Données!H$49*1E-24*H20*S20)*0.71+Données!H$50*1E-24*H20*W20</f>
        <v>115222689049.59543</v>
      </c>
      <c r="K20" s="42">
        <f t="shared" si="15"/>
        <v>2.1093138241699654E+21</v>
      </c>
      <c r="L20" s="23">
        <f>-(Données!I$45*1E-24*H20+Données!F$45)*K20+(I20*Données!H$44*1E-24*H20)+(Données!H$51*1E-24*H20)*Y20</f>
        <v>-1566828582367.3906</v>
      </c>
      <c r="M20" s="40">
        <f t="shared" si="16"/>
        <v>7.7824042576679233E+20</v>
      </c>
      <c r="N20" s="21">
        <f>-(Données!I$46*1E-24*H20+Données!F$46)*M20+Données!H$45*1E-24*H20*K20</f>
        <v>1015000790314.7295</v>
      </c>
      <c r="O20" s="42">
        <f t="shared" si="17"/>
        <v>1.3051707331556083E+20</v>
      </c>
      <c r="P20" s="23">
        <f>-(Données!I$47*1E-24*H20+Données!F$47)*O20+(Données!H$46*1E-24*H20)*M20</f>
        <v>-274904558129.83325</v>
      </c>
      <c r="Q20" s="40">
        <f t="shared" si="18"/>
        <v>5.6022039536918823E+19</v>
      </c>
      <c r="R20" s="43">
        <f>-(Données!I$48*1E-24*H20+Données!F$48)*Q20+Données!H$47*1E-24*H20*O20+(Données!H$49*1E-24*H20*S20)*0.85*0.16</f>
        <v>83465813465.942291</v>
      </c>
      <c r="S20" s="42">
        <f t="shared" si="19"/>
        <v>3.2027845350350897E+19</v>
      </c>
      <c r="T20" s="22">
        <f>-(Données!I$49*1E-24*H20+Données!F$49)*S20+Données!F$47*O20</f>
        <v>-22258549377.775909</v>
      </c>
      <c r="U20" s="28">
        <f t="shared" si="20"/>
        <v>3.1259948321453748E+21</v>
      </c>
      <c r="V20" s="19"/>
      <c r="W20" s="40">
        <f t="shared" si="21"/>
        <v>6.0318807079642907E+19</v>
      </c>
      <c r="X20" s="21">
        <f>-(Données!I$50*1E-24*H20+Données!F$50)*W20+Données!F$45*K20</f>
        <v>-489495823470.70868</v>
      </c>
      <c r="Y20" s="42">
        <f t="shared" si="22"/>
        <v>1.5957786731411046E+22</v>
      </c>
      <c r="Z20" s="23">
        <f>-(Données!I$51*1E-24*H20+Données!F$51)*Y20+Données!F$48*Q20</f>
        <v>-17324117465227.002</v>
      </c>
      <c r="AA20" s="15">
        <f t="shared" si="23"/>
        <v>1.6018105538490688E+22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3459355206463252.5</v>
      </c>
      <c r="I21" s="40">
        <f t="shared" si="14"/>
        <v>2.0176429232608805E+19</v>
      </c>
      <c r="J21" s="21">
        <f>-(Données!I$44*1E-24*H21+Données!F$44)*I21+(Données!H$49*1E-24*H21*S21)*0.71+Données!H$50*1E-24*H21*W21</f>
        <v>110759548045.38892</v>
      </c>
      <c r="K21" s="42">
        <f t="shared" si="15"/>
        <v>2.1051961986555039E+21</v>
      </c>
      <c r="L21" s="23">
        <f>-(Données!I$45*1E-24*H21+Données!F$45)*K21+(I21*Données!H$44*1E-24*H21)+(Données!H$51*1E-24*H21)*Y21</f>
        <v>-1576320859750.8301</v>
      </c>
      <c r="M21" s="40">
        <f t="shared" si="16"/>
        <v>7.8090784784373947E+20</v>
      </c>
      <c r="N21" s="21">
        <f>-(Données!I$46*1E-24*H21+Données!F$46)*M21+Données!H$45*1E-24*H21*K21</f>
        <v>1000420738865.4512</v>
      </c>
      <c r="O21" s="42">
        <f t="shared" si="17"/>
        <v>1.2979462413679564E+20</v>
      </c>
      <c r="P21" s="23">
        <f>-(Données!I$47*1E-24*H21+Données!F$47)*O21+(Données!H$46*1E-24*H21)*M21</f>
        <v>-262366946559.98682</v>
      </c>
      <c r="Q21" s="40">
        <f t="shared" si="18"/>
        <v>5.6241387694707319E+19</v>
      </c>
      <c r="R21" s="43">
        <f>-(Données!I$48*1E-24*H21+Données!F$48)*Q21+Données!H$47*1E-24*H21*O21+(Données!H$49*1E-24*H21*S21)*0.85*0.16</f>
        <v>81728318289.31517</v>
      </c>
      <c r="S21" s="42">
        <f t="shared" si="19"/>
        <v>3.1969349882586104E+19</v>
      </c>
      <c r="T21" s="22">
        <f>-(Données!I$49*1E-24*H21+Données!F$49)*S21+Données!F$47*O21</f>
        <v>-22960634404.494751</v>
      </c>
      <c r="U21" s="28">
        <f t="shared" si="20"/>
        <v>3.1242858374459409E+21</v>
      </c>
      <c r="V21" s="19"/>
      <c r="W21" s="40">
        <f t="shared" si="21"/>
        <v>5.9032412055561888E+19</v>
      </c>
      <c r="X21" s="21">
        <f>-(Données!I$50*1E-24*H21+Données!F$50)*W21+Données!F$45*K21</f>
        <v>-479019286502.60553</v>
      </c>
      <c r="Y21" s="42">
        <f t="shared" si="22"/>
        <v>1.591225895071243E+22</v>
      </c>
      <c r="Z21" s="23">
        <f>-(Données!I$51*1E-24*H21+Données!F$51)*Y21+Données!F$48*Q21</f>
        <v>-17274691502298.455</v>
      </c>
      <c r="AA21" s="15">
        <f t="shared" si="23"/>
        <v>1.5971291362767992E+22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3459355206463252.5</v>
      </c>
      <c r="I22" s="40">
        <f t="shared" si="14"/>
        <v>2.0467505324872086E+19</v>
      </c>
      <c r="J22" s="21">
        <f>-(Données!I$44*1E-24*H22+Données!F$44)*I22+(Données!H$49*1E-24*H22*S22)*0.71+Données!H$50*1E-24*H22*W22</f>
        <v>106412288642.8736</v>
      </c>
      <c r="K22" s="42">
        <f t="shared" si="15"/>
        <v>2.1010536274360787E+21</v>
      </c>
      <c r="L22" s="23">
        <f>-(Données!I$45*1E-24*H22+Données!F$45)*K22+(I22*Données!H$44*1E-24*H22)+(Données!H$51*1E-24*H22)*Y22</f>
        <v>-1585523229454.0801</v>
      </c>
      <c r="M22" s="40">
        <f t="shared" si="16"/>
        <v>7.8353695354547785E+20</v>
      </c>
      <c r="N22" s="21">
        <f>-(Données!I$46*1E-24*H22+Données!F$46)*M22+Données!H$45*1E-24*H22*K22</f>
        <v>985916290581.76709</v>
      </c>
      <c r="O22" s="42">
        <f t="shared" si="17"/>
        <v>1.29105123801236E+20</v>
      </c>
      <c r="P22" s="23">
        <f>-(Données!I$47*1E-24*H22+Données!F$47)*O22+(Données!H$46*1E-24*H22)*M22</f>
        <v>-250269525362.1355</v>
      </c>
      <c r="Q22" s="40">
        <f t="shared" si="18"/>
        <v>5.6456169715171639E+19</v>
      </c>
      <c r="R22" s="43">
        <f>-(Données!I$48*1E-24*H22+Données!F$48)*Q22+Données!H$47*1E-24*H22*O22+(Données!H$49*1E-24*H22*S22)*0.85*0.16</f>
        <v>80052405490.32309</v>
      </c>
      <c r="S22" s="42">
        <f t="shared" si="19"/>
        <v>3.1909009335371092E+19</v>
      </c>
      <c r="T22" s="22">
        <f>-(Données!I$49*1E-24*H22+Données!F$49)*S22+Données!F$47*O22</f>
        <v>-23599345486.351959</v>
      </c>
      <c r="U22" s="28">
        <f t="shared" si="20"/>
        <v>3.122528389158207E+21</v>
      </c>
      <c r="V22" s="19"/>
      <c r="W22" s="40">
        <f t="shared" si="21"/>
        <v>5.7773549370633044E+19</v>
      </c>
      <c r="X22" s="21">
        <f>-(Données!I$50*1E-24*H22+Données!F$50)*W22+Données!F$45*K22</f>
        <v>-468767078895.42944</v>
      </c>
      <c r="Y22" s="42">
        <f t="shared" si="22"/>
        <v>1.5866861061444389E+22</v>
      </c>
      <c r="Z22" s="23">
        <f>-(Données!I$51*1E-24*H22+Données!F$51)*Y22+Données!F$48*Q22</f>
        <v>-17225406552602.895</v>
      </c>
      <c r="AA22" s="15">
        <f t="shared" si="23"/>
        <v>1.5924634610815023E+22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3459355206463252.5</v>
      </c>
      <c r="I23" s="40">
        <f t="shared" si="14"/>
        <v>2.0747156819425559E+19</v>
      </c>
      <c r="J23" s="21">
        <f>-(Données!I$44*1E-24*H23+Données!F$44)*I23+(Données!H$49*1E-24*H23*S23)*0.71+Données!H$50*1E-24*H23*W23</f>
        <v>102178619131.24855</v>
      </c>
      <c r="K23" s="42">
        <f t="shared" si="15"/>
        <v>2.0968868723890735E+21</v>
      </c>
      <c r="L23" s="23">
        <f>-(Données!I$45*1E-24*H23+Données!F$45)*K23+(I23*Données!H$44*1E-24*H23)+(Données!H$51*1E-24*H23)*Y23</f>
        <v>-1594441350927.1016</v>
      </c>
      <c r="M23" s="40">
        <f t="shared" si="16"/>
        <v>7.8612794155712669E+20</v>
      </c>
      <c r="N23" s="21">
        <f>-(Données!I$46*1E-24*H23+Données!F$46)*M23+Données!H$45*1E-24*H23*K23</f>
        <v>971488060079.74268</v>
      </c>
      <c r="O23" s="42">
        <f t="shared" si="17"/>
        <v>1.284474154885843E+20</v>
      </c>
      <c r="P23" s="23">
        <f>-(Données!I$47*1E-24*H23+Données!F$47)*O23+(Données!H$46*1E-24*H23)*M23</f>
        <v>-238598650438.06323</v>
      </c>
      <c r="Q23" s="40">
        <f t="shared" si="18"/>
        <v>5.6666547436800205E+19</v>
      </c>
      <c r="R23" s="43">
        <f>-(Données!I$48*1E-24*H23+Données!F$48)*Q23+Données!H$47*1E-24*H23*O23+(Données!H$49*1E-24*H23*S23)*0.85*0.16</f>
        <v>78435989938.775391</v>
      </c>
      <c r="S23" s="42">
        <f t="shared" si="19"/>
        <v>3.1846990255432958E+19</v>
      </c>
      <c r="T23" s="22">
        <f>-(Données!I$49*1E-24*H23+Données!F$49)*S23+Données!F$47*O23</f>
        <v>-24177614693.188171</v>
      </c>
      <c r="U23" s="28">
        <f t="shared" si="20"/>
        <v>3.1207229239464433E+21</v>
      </c>
      <c r="V23" s="19"/>
      <c r="W23" s="40">
        <f t="shared" si="21"/>
        <v>5.6541629487295857E+19</v>
      </c>
      <c r="X23" s="21">
        <f>-(Données!I$50*1E-24*H23+Données!F$50)*W23+Données!F$45*K23</f>
        <v>-458734396978.14923</v>
      </c>
      <c r="Y23" s="42">
        <f t="shared" si="22"/>
        <v>1.5821592693024148E+22</v>
      </c>
      <c r="Z23" s="23">
        <f>-(Données!I$51*1E-24*H23+Données!F$51)*Y23+Données!F$48*Q23</f>
        <v>-17176262213818.105</v>
      </c>
      <c r="AA23" s="15">
        <f t="shared" si="23"/>
        <v>1.5878134322511443E+22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3459355206463252.5</v>
      </c>
      <c r="I24" s="40">
        <f t="shared" si="14"/>
        <v>2.1015682230502478E+19</v>
      </c>
      <c r="J24" s="21">
        <f>-(Données!I$44*1E-24*H24+Données!F$44)*I24+(Données!H$49*1E-24*H24*S24)*0.71+Données!H$50*1E-24*H24*W24</f>
        <v>98056276530.377487</v>
      </c>
      <c r="K24" s="42">
        <f t="shared" si="15"/>
        <v>2.0926966805188371E+21</v>
      </c>
      <c r="L24" s="23">
        <f>-(Données!I$45*1E-24*H24+Données!F$45)*K24+(I24*Données!H$44*1E-24*H24)+(Données!H$51*1E-24*H24)*Y24</f>
        <v>-1603080778919.123</v>
      </c>
      <c r="M24" s="40">
        <f t="shared" si="16"/>
        <v>7.8868101217901622E+20</v>
      </c>
      <c r="N24" s="21">
        <f>-(Données!I$46*1E-24*H24+Données!F$46)*M24+Données!H$45*1E-24*H24*K24</f>
        <v>957136633444.77979</v>
      </c>
      <c r="O24" s="42">
        <f t="shared" si="17"/>
        <v>1.2782037823523308E+20</v>
      </c>
      <c r="P24" s="23">
        <f>-(Données!I$47*1E-24*H24+Données!F$47)*O24+(Données!H$46*1E-24*H24)*M24</f>
        <v>-227341088323.80347</v>
      </c>
      <c r="Q24" s="40">
        <f t="shared" si="18"/>
        <v>5.6872677218359304E+19</v>
      </c>
      <c r="R24" s="43">
        <f>-(Données!I$48*1E-24*H24+Données!F$48)*Q24+Données!H$47*1E-24*H24*O24+(Données!H$49*1E-24*H24*S24)*0.85*0.16</f>
        <v>76877050311.204041</v>
      </c>
      <c r="S24" s="42">
        <f t="shared" si="19"/>
        <v>3.1783451484019261E+19</v>
      </c>
      <c r="T24" s="22">
        <f>-(Données!I$49*1E-24*H24+Données!F$49)*S24+Données!F$47*O24</f>
        <v>-24698265543.409393</v>
      </c>
      <c r="U24" s="28">
        <f t="shared" si="20"/>
        <v>3.1188698818659672E+21</v>
      </c>
      <c r="V24" s="19"/>
      <c r="W24" s="40">
        <f t="shared" si="21"/>
        <v>5.533607549203728E+19</v>
      </c>
      <c r="X24" s="21">
        <f>-(Données!I$50*1E-24*H24+Données!F$50)*W24+Données!F$45*K24</f>
        <v>-448916539941.70648</v>
      </c>
      <c r="Y24" s="42">
        <f t="shared" si="22"/>
        <v>1.5776453475926234E+22</v>
      </c>
      <c r="Z24" s="23">
        <f>-(Données!I$51*1E-24*H24+Données!F$51)*Y24+Données!F$48*Q24</f>
        <v>-17127258084770.025</v>
      </c>
      <c r="AA24" s="15">
        <f t="shared" si="23"/>
        <v>1.5831789551418272E+22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3459355206463252.5</v>
      </c>
      <c r="I25" s="40">
        <f t="shared" si="14"/>
        <v>2.1273374125224309E+19</v>
      </c>
      <c r="J25" s="21">
        <f>-(Données!I$44*1E-24*H25+Données!F$44)*I25+(Données!H$49*1E-24*H25*S25)*0.71+Données!H$50*1E-24*H25*W25</f>
        <v>94043026813.357376</v>
      </c>
      <c r="K25" s="42">
        <f t="shared" si="15"/>
        <v>2.0884837842318375E+21</v>
      </c>
      <c r="L25" s="23">
        <f>-(Données!I$45*1E-24*H25+Données!F$45)*K25+(I25*Données!H$44*1E-24*H25)+(Données!H$51*1E-24*H25)*Y25</f>
        <v>-1611446965462.5684</v>
      </c>
      <c r="M25" s="40">
        <f t="shared" si="16"/>
        <v>7.911963672517091E+20</v>
      </c>
      <c r="N25" s="21">
        <f>-(Données!I$46*1E-24*H25+Données!F$46)*M25+Données!H$45*1E-24*H25*K25</f>
        <v>942862568895.15137</v>
      </c>
      <c r="O25" s="42">
        <f t="shared" si="17"/>
        <v>1.2722292585511811E+20</v>
      </c>
      <c r="P25" s="23">
        <f>-(Données!I$47*1E-24*H25+Données!F$47)*O25+(Données!H$46*1E-24*H25)*M25</f>
        <v>-216484003872.79053</v>
      </c>
      <c r="Q25" s="40">
        <f t="shared" si="18"/>
        <v>5.707471010657715E+19</v>
      </c>
      <c r="R25" s="43">
        <f>-(Données!I$48*1E-24*H25+Données!F$48)*Q25+Données!H$47*1E-24*H25*O25+(Données!H$49*1E-24*H25*S25)*0.85*0.16</f>
        <v>75373627205.821365</v>
      </c>
      <c r="S25" s="42">
        <f t="shared" si="19"/>
        <v>3.1718544442171183E+19</v>
      </c>
      <c r="T25" s="22">
        <f>-(Données!I$49*1E-24*H25+Données!F$49)*S25+Données!F$47*O25</f>
        <v>-25164016641.744781</v>
      </c>
      <c r="U25" s="28">
        <f t="shared" si="20"/>
        <v>3.1169697060126379E+21</v>
      </c>
      <c r="V25" s="19"/>
      <c r="W25" s="40">
        <f t="shared" si="21"/>
        <v>5.4156322825070477E+19</v>
      </c>
      <c r="X25" s="21">
        <f>-(Données!I$50*1E-24*H25+Données!F$50)*W25+Données!F$45*K25</f>
        <v>-439308907636.45087</v>
      </c>
      <c r="Y25" s="42">
        <f t="shared" si="22"/>
        <v>1.5731443041679459E+22</v>
      </c>
      <c r="Z25" s="23">
        <f>-(Données!I$51*1E-24*H25+Données!F$51)*Y25+Données!F$48*Q25</f>
        <v>-17078393765429.455</v>
      </c>
      <c r="AA25" s="15">
        <f t="shared" si="23"/>
        <v>1.578559936450453E+22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3459355206463252.5</v>
      </c>
      <c r="I26" s="40">
        <f t="shared" si="14"/>
        <v>2.152051919968981E+19</v>
      </c>
      <c r="J26" s="21">
        <f>-(Données!I$44*1E-24*H26+Données!F$44)*I26+(Données!H$49*1E-24*H26*S26)*0.71+Données!H$50*1E-24*H26*W26</f>
        <v>90136665096.054794</v>
      </c>
      <c r="K26" s="42">
        <f t="shared" si="15"/>
        <v>2.0842489016066019E+21</v>
      </c>
      <c r="L26" s="23">
        <f>-(Données!I$45*1E-24*H26+Données!F$45)*K26+(I26*Données!H$44*1E-24*H26)+(Données!H$51*1E-24*H26)*Y26</f>
        <v>-1619545261815.9883</v>
      </c>
      <c r="M26" s="40">
        <f t="shared" si="16"/>
        <v>7.9367421008276554E+20</v>
      </c>
      <c r="N26" s="21">
        <f>-(Données!I$46*1E-24*H26+Données!F$46)*M26+Données!H$45*1E-24*H26*K26</f>
        <v>928666397431.98193</v>
      </c>
      <c r="O26" s="42">
        <f t="shared" si="17"/>
        <v>1.2665400589294041E+20</v>
      </c>
      <c r="P26" s="23">
        <f>-(Données!I$47*1E-24*H26+Données!F$47)*O26+(Données!H$46*1E-24*H26)*M26</f>
        <v>-206014948309.24414</v>
      </c>
      <c r="Q26" s="40">
        <f t="shared" si="18"/>
        <v>5.7272791998874051E+19</v>
      </c>
      <c r="R26" s="43">
        <f>-(Données!I$48*1E-24*H26+Données!F$48)*Q26+Données!H$47*1E-24*H26*O26+(Données!H$49*1E-24*H26*S26)*0.85*0.16</f>
        <v>73923821313.024643</v>
      </c>
      <c r="S26" s="42">
        <f t="shared" si="19"/>
        <v>3.165241340643668E+19</v>
      </c>
      <c r="T26" s="22">
        <f>-(Données!I$49*1E-24*H26+Données!F$49)*S26+Données!F$47*O26</f>
        <v>-25577485200.920288</v>
      </c>
      <c r="U26" s="28">
        <f t="shared" si="20"/>
        <v>3.1150228421873081E+21</v>
      </c>
      <c r="V26" s="19"/>
      <c r="W26" s="40">
        <f t="shared" si="21"/>
        <v>5.3001819015801881E+19</v>
      </c>
      <c r="X26" s="21">
        <f>-(Données!I$50*1E-24*H26+Données!F$50)*W26+Données!F$45*K26</f>
        <v>-429906998416.7381</v>
      </c>
      <c r="Y26" s="42">
        <f t="shared" si="22"/>
        <v>1.5686561022863911E+22</v>
      </c>
      <c r="Z26" s="23">
        <f>-(Données!I$51*1E-24*H26+Données!F$51)*Y26+Données!F$48*Q26</f>
        <v>-17029668856908.783</v>
      </c>
      <c r="AA26" s="15">
        <f t="shared" si="23"/>
        <v>1.5739562841879712E+22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3459355206463252.5</v>
      </c>
      <c r="I27" s="40">
        <f t="shared" si="14"/>
        <v>2.1757398355562242E+19</v>
      </c>
      <c r="J27" s="21">
        <f>-(Données!I$44*1E-24*H27+Données!F$44)*I27+(Données!H$49*1E-24*H27*S27)*0.71+Données!H$50*1E-24*H27*W27</f>
        <v>86335015795.203278</v>
      </c>
      <c r="K27" s="42">
        <f t="shared" si="15"/>
        <v>2.0799927366585494E+21</v>
      </c>
      <c r="L27" s="23">
        <f>-(Données!I$45*1E-24*H27+Données!F$45)*K27+(I27*Données!H$44*1E-24*H27)+(Données!H$51*1E-24*H27)*Y27</f>
        <v>-1627380920366.8965</v>
      </c>
      <c r="M27" s="40">
        <f t="shared" si="16"/>
        <v>7.9611474537521676E+20</v>
      </c>
      <c r="N27" s="21">
        <f>-(Données!I$46*1E-24*H27+Données!F$46)*M27+Données!H$45*1E-24*H27*K27</f>
        <v>914548623475.96875</v>
      </c>
      <c r="O27" s="42">
        <f t="shared" si="17"/>
        <v>1.2611259860878372E+20</v>
      </c>
      <c r="P27" s="23">
        <f>-(Données!I$47*1E-24*H27+Données!F$47)*O27+(Données!H$46*1E-24*H27)*M27</f>
        <v>-195921847640.63989</v>
      </c>
      <c r="Q27" s="40">
        <f t="shared" si="18"/>
        <v>5.7467063801284682E+19</v>
      </c>
      <c r="R27" s="43">
        <f>-(Données!I$48*1E-24*H27+Données!F$48)*Q27+Données!H$47*1E-24*H27*O27+(Données!H$49*1E-24*H27*S27)*0.85*0.16</f>
        <v>72525791639.800034</v>
      </c>
      <c r="S27" s="42">
        <f t="shared" si="19"/>
        <v>3.1585195775328662E+19</v>
      </c>
      <c r="T27" s="22">
        <f>-(Données!I$49*1E-24*H27+Données!F$49)*S27+Données!F$47*O27</f>
        <v>-25941190450.86026</v>
      </c>
      <c r="U27" s="28">
        <f t="shared" si="20"/>
        <v>3.113029738574725E+21</v>
      </c>
      <c r="V27" s="19"/>
      <c r="W27" s="40">
        <f t="shared" si="21"/>
        <v>5.1872023423962694E+19</v>
      </c>
      <c r="X27" s="21">
        <f>-(Données!I$50*1E-24*H27+Données!F$50)*W27+Données!F$45*K27</f>
        <v>-420706407031.68042</v>
      </c>
      <c r="Y27" s="42">
        <f t="shared" si="22"/>
        <v>1.5641807053107954E+22</v>
      </c>
      <c r="Z27" s="23">
        <f>-(Données!I$51*1E-24*H27+Données!F$51)*Y27+Données!F$48*Q27</f>
        <v>-16981082961458.729</v>
      </c>
      <c r="AA27" s="15">
        <f t="shared" si="23"/>
        <v>1.5693679076531916E+22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3459355206463252.5</v>
      </c>
      <c r="I28" s="40">
        <f t="shared" si="14"/>
        <v>2.1984286777072038E+19</v>
      </c>
      <c r="J28" s="21">
        <f>-(Données!I$44*1E-24*H28+Données!F$44)*I28+(Données!H$49*1E-24*H28*S28)*0.71+Données!H$50*1E-24*H28*W28</f>
        <v>82635932756.594864</v>
      </c>
      <c r="K28" s="42">
        <f t="shared" si="15"/>
        <v>2.0757159795998251E+21</v>
      </c>
      <c r="L28" s="23">
        <f>-(Données!I$45*1E-24*H28+Données!F$45)*K28+(I28*Données!H$44*1E-24*H28)+(Données!H$51*1E-24*H28)*Y28</f>
        <v>-1634959096495.5176</v>
      </c>
      <c r="M28" s="40">
        <f t="shared" si="16"/>
        <v>7.9851817915771165E+20</v>
      </c>
      <c r="N28" s="21">
        <f>-(Données!I$46*1E-24*H28+Données!F$46)*M28+Données!H$45*1E-24*H28*K28</f>
        <v>900509725491.10596</v>
      </c>
      <c r="O28" s="42">
        <f t="shared" si="17"/>
        <v>1.2559771599318412E+20</v>
      </c>
      <c r="P28" s="23">
        <f>-(Données!I$47*1E-24*H28+Données!F$47)*O28+(Données!H$46*1E-24*H28)*M28</f>
        <v>-186192991418.44238</v>
      </c>
      <c r="Q28" s="40">
        <f t="shared" si="18"/>
        <v>5.765766158171408E+19</v>
      </c>
      <c r="R28" s="43">
        <f>-(Données!I$48*1E-24*H28+Données!F$48)*Q28+Données!H$47*1E-24*H28*O28+(Données!H$49*1E-24*H28*S28)*0.85*0.16</f>
        <v>71177753786.427124</v>
      </c>
      <c r="S28" s="42">
        <f t="shared" si="19"/>
        <v>3.1517022326823801E+19</v>
      </c>
      <c r="T28" s="22">
        <f>-(Données!I$49*1E-24*H28+Données!F$49)*S28+Données!F$47*O28</f>
        <v>-26257556938.918732</v>
      </c>
      <c r="U28" s="28">
        <f t="shared" si="20"/>
        <v>3.1109908454363302E+21</v>
      </c>
      <c r="V28" s="19"/>
      <c r="W28" s="40">
        <f t="shared" si="21"/>
        <v>5.0766406986283434E+19</v>
      </c>
      <c r="X28" s="21">
        <f>-(Données!I$50*1E-24*H28+Données!F$50)*W28+Données!F$45*K28</f>
        <v>-411702822561.06158</v>
      </c>
      <c r="Y28" s="42">
        <f t="shared" si="22"/>
        <v>1.559718076708524E+22</v>
      </c>
      <c r="Z28" s="23">
        <f>-(Données!I$51*1E-24*H28+Données!F$51)*Y28+Données!F$48*Q28</f>
        <v>-16932635682465.078</v>
      </c>
      <c r="AA28" s="15">
        <f t="shared" si="23"/>
        <v>1.5647947174071524E+22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3459355206463252.5</v>
      </c>
      <c r="I29" s="40">
        <f t="shared" si="14"/>
        <v>2.2201454008356368E+19</v>
      </c>
      <c r="J29" s="21">
        <f>-(Données!I$44*1E-24*H29+Données!F$44)*I29+(Données!H$49*1E-24*H29*S29)*0.71+Données!H$50*1E-24*H29*W29</f>
        <v>79037299354.840454</v>
      </c>
      <c r="K29" s="42">
        <f t="shared" si="15"/>
        <v>2.0714193070942349E+21</v>
      </c>
      <c r="L29" s="23">
        <f>-(Données!I$45*1E-24*H29+Données!F$45)*K29+(I29*Données!H$44*1E-24*H29)+(Données!H$51*1E-24*H29)*Y29</f>
        <v>-1642284850400.3594</v>
      </c>
      <c r="M29" s="40">
        <f t="shared" si="16"/>
        <v>8.0088471871630226E+20</v>
      </c>
      <c r="N29" s="21">
        <f>-(Données!I$46*1E-24*H29+Données!F$46)*M29+Données!H$45*1E-24*H29*K29</f>
        <v>886550156595.67969</v>
      </c>
      <c r="O29" s="42">
        <f t="shared" si="17"/>
        <v>1.2510840081173647E+20</v>
      </c>
      <c r="P29" s="23">
        <f>-(Données!I$47*1E-24*H29+Données!F$47)*O29+(Données!H$46*1E-24*H29)*M29</f>
        <v>-176817021836.60645</v>
      </c>
      <c r="Q29" s="40">
        <f t="shared" si="18"/>
        <v>5.784471671866481E+19</v>
      </c>
      <c r="R29" s="43">
        <f>-(Données!I$48*1E-24*H29+Données!F$48)*Q29+Données!H$47*1E-24*H29*O29+(Données!H$49*1E-24*H29*S29)*0.85*0.16</f>
        <v>69877978273.932343</v>
      </c>
      <c r="S29" s="42">
        <f t="shared" si="19"/>
        <v>3.1448017467188322E+19</v>
      </c>
      <c r="T29" s="22">
        <f>-(Données!I$49*1E-24*H29+Données!F$49)*S29+Données!F$47*O29</f>
        <v>-26528917724.534149</v>
      </c>
      <c r="U29" s="28">
        <f t="shared" si="20"/>
        <v>3.1089066148164833E+21</v>
      </c>
      <c r="V29" s="19"/>
      <c r="W29" s="40">
        <f t="shared" si="21"/>
        <v>4.9684451968592962E+19</v>
      </c>
      <c r="X29" s="21">
        <f>-(Données!I$50*1E-24*H29+Données!F$50)*W29+Données!F$45*K29</f>
        <v>-402892026395.44897</v>
      </c>
      <c r="Y29" s="42">
        <f t="shared" si="22"/>
        <v>1.5552681800511722E+22</v>
      </c>
      <c r="Z29" s="23">
        <f>-(Données!I$51*1E-24*H29+Données!F$51)*Y29+Données!F$48*Q29</f>
        <v>-16884326624445.437</v>
      </c>
      <c r="AA29" s="15">
        <f t="shared" si="23"/>
        <v>1.5602366252480316E+22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3459355206463252.5</v>
      </c>
      <c r="I30" s="40">
        <f t="shared" si="14"/>
        <v>2.240916403106089E+19</v>
      </c>
      <c r="J30" s="21">
        <f>-(Données!I$44*1E-24*H30+Données!F$44)*I30+(Données!H$49*1E-24*H30*S30)*0.71+Données!H$50*1E-24*H30*W30</f>
        <v>75537028566.115189</v>
      </c>
      <c r="K30" s="42">
        <f t="shared" si="15"/>
        <v>2.0671033825073826E+21</v>
      </c>
      <c r="L30" s="23">
        <f>-(Données!I$45*1E-24*H30+Données!F$45)*K30+(I30*Données!H$44*1E-24*H30)+(Données!H$51*1E-24*H30)*Y30</f>
        <v>-1649363148886.5156</v>
      </c>
      <c r="M30" s="40">
        <f t="shared" si="16"/>
        <v>8.0321457252783568E+20</v>
      </c>
      <c r="N30" s="21">
        <f>-(Données!I$46*1E-24*H30+Données!F$46)*M30+Données!H$45*1E-24*H30*K30</f>
        <v>872670345160.80029</v>
      </c>
      <c r="O30" s="42">
        <f t="shared" si="17"/>
        <v>1.2464372567834986E+20</v>
      </c>
      <c r="P30" s="23">
        <f>-(Données!I$47*1E-24*H30+Données!F$47)*O30+(Données!H$46*1E-24*H30)*M30</f>
        <v>-167782923157.67749</v>
      </c>
      <c r="Q30" s="40">
        <f t="shared" si="18"/>
        <v>5.8028356045568705E+19</v>
      </c>
      <c r="R30" s="43">
        <f>-(Données!I$48*1E-24*H30+Données!F$48)*Q30+Données!H$47*1E-24*H30*O30+(Données!H$49*1E-24*H30*S30)*0.85*0.16</f>
        <v>68624788920.78756</v>
      </c>
      <c r="S30" s="42">
        <f t="shared" si="19"/>
        <v>3.1378299471408247E+19</v>
      </c>
      <c r="T30" s="22">
        <f>-(Données!I$49*1E-24*H30+Données!F$49)*S30+Données!F$47*O30</f>
        <v>-26757517471.597076</v>
      </c>
      <c r="U30" s="28">
        <f t="shared" si="20"/>
        <v>3.1067775002616062E+21</v>
      </c>
      <c r="V30" s="19"/>
      <c r="W30" s="40">
        <f t="shared" si="21"/>
        <v>4.8625651723225719E+19</v>
      </c>
      <c r="X30" s="21">
        <f>-(Données!I$50*1E-24*H30+Données!F$50)*W30+Données!F$45*K30</f>
        <v>-394269890259.55707</v>
      </c>
      <c r="Y30" s="42">
        <f t="shared" si="22"/>
        <v>1.5508309790142679E+22</v>
      </c>
      <c r="Z30" s="23">
        <f>-(Données!I$51*1E-24*H30+Données!F$51)*Y30+Données!F$48*Q30</f>
        <v>-16836155393045.992</v>
      </c>
      <c r="AA30" s="15">
        <f t="shared" si="23"/>
        <v>1.5556935441865905E+22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3459355206463252.5</v>
      </c>
      <c r="I31" s="40">
        <f t="shared" ref="I31:I94" si="26">I30+J30*D$5</f>
        <v>2.2607675342132642E+19</v>
      </c>
      <c r="J31" s="21">
        <f>-(Données!I$44*1E-24*H31+Données!F$44)*I31+(Données!H$49*1E-24*H31*S31)*0.71+Données!H$50*1E-24*H31*W31</f>
        <v>72133063015.251282</v>
      </c>
      <c r="K31" s="42">
        <f t="shared" ref="K31:K94" si="27">K30+L30*D$5</f>
        <v>2.062768856152109E+21</v>
      </c>
      <c r="L31" s="23">
        <f>-(Données!I$45*1E-24*H31+Données!F$45)*K31+(I31*Données!H$44*1E-24*H31)+(Données!H$51*1E-24*H31)*Y31</f>
        <v>-1656198867117.5273</v>
      </c>
      <c r="M31" s="40">
        <f t="shared" ref="M31:M94" si="28">M30+N30*D$5</f>
        <v>8.0550795019491829E+20</v>
      </c>
      <c r="N31" s="21">
        <f>-(Données!I$46*1E-24*H31+Données!F$46)*M31+Données!H$45*1E-24*H31*K31</f>
        <v>858870695396.71924</v>
      </c>
      <c r="O31" s="42">
        <f t="shared" ref="O31:O94" si="29">O30+P30*D$5</f>
        <v>1.2420279215629148E+20</v>
      </c>
      <c r="P31" s="23">
        <f>-(Données!I$47*1E-24*H31+Données!F$47)*O31+(Données!H$46*1E-24*H31)*M31</f>
        <v>-159080011456.61548</v>
      </c>
      <c r="Q31" s="40">
        <f t="shared" ref="Q31:Q94" si="30">Q30+R30*D$5</f>
        <v>5.8208701990852534E+19</v>
      </c>
      <c r="R31" s="43">
        <f>-(Données!I$48*1E-24*H31+Données!F$48)*Q31+Données!H$47*1E-24*H31*O31+(Données!H$49*1E-24*H31*S31)*0.85*0.16</f>
        <v>67416561267.393188</v>
      </c>
      <c r="S31" s="42">
        <f t="shared" ref="S31:S94" si="31">S30+T30*D$5</f>
        <v>3.1307980715492889E+19</v>
      </c>
      <c r="T31" s="22">
        <f>-(Données!I$49*1E-24*H31+Données!F$49)*S31+Données!F$47*O31</f>
        <v>-26945515441.719666</v>
      </c>
      <c r="U31" s="28">
        <f t="shared" ref="U31:U94" si="32">I31+K31+M31+O31+Q31+S31</f>
        <v>3.1046039565517969E+21</v>
      </c>
      <c r="V31" s="19"/>
      <c r="W31" s="40">
        <f t="shared" ref="W31:W94" si="33">W30+X30*D$5</f>
        <v>4.75895104516236E+19</v>
      </c>
      <c r="X31" s="21">
        <f>-(Données!I$50*1E-24*H31+Données!F$50)*W31+Données!F$45*K31</f>
        <v>-385832374277.93481</v>
      </c>
      <c r="Y31" s="42">
        <f t="shared" ref="Y31:Y94" si="34">Y30+Z30*D$5</f>
        <v>1.5464064373769753E+22</v>
      </c>
      <c r="Z31" s="23">
        <f>-(Données!I$51*1E-24*H31+Données!F$51)*Y31+Données!F$48*Q31</f>
        <v>-16788121595038.287</v>
      </c>
      <c r="AA31" s="15">
        <f t="shared" ref="AA31:AA94" si="35">W31+Y31</f>
        <v>1.5511653884221377E+22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3459355206463252.5</v>
      </c>
      <c r="I32" s="40">
        <f t="shared" si="26"/>
        <v>2.2797241031736721E+19</v>
      </c>
      <c r="J32" s="21">
        <f>-(Données!I$44*1E-24*H32+Données!F$44)*I32+(Données!H$49*1E-24*H32*S32)*0.71+Données!H$50*1E-24*H32*W32</f>
        <v>68823374998.487396</v>
      </c>
      <c r="K32" s="42">
        <f t="shared" si="27"/>
        <v>2.0584163655293241E+21</v>
      </c>
      <c r="L32" s="23">
        <f>-(Données!I$45*1E-24*H32+Données!F$45)*K32+(I32*Données!H$44*1E-24*H32)+(Données!H$51*1E-24*H32)*Y32</f>
        <v>-1662796790331.7148</v>
      </c>
      <c r="M32" s="40">
        <f t="shared" si="28"/>
        <v>8.0776506238242089E+20</v>
      </c>
      <c r="N32" s="21">
        <f>-(Données!I$46*1E-24*H32+Données!F$46)*M32+Données!H$45*1E-24*H32*K32</f>
        <v>845151587927.18066</v>
      </c>
      <c r="O32" s="42">
        <f t="shared" si="29"/>
        <v>1.2378472988618349E+20</v>
      </c>
      <c r="P32" s="23">
        <f>-(Données!I$47*1E-24*H32+Données!F$47)*O32+(Données!H$46*1E-24*H32)*M32</f>
        <v>-150697924672.77368</v>
      </c>
      <c r="Q32" s="40">
        <f t="shared" si="30"/>
        <v>5.8385872713863242E+19</v>
      </c>
      <c r="R32" s="43">
        <f>-(Données!I$48*1E-24*H32+Données!F$48)*Q32+Données!H$47*1E-24*H32*O32+(Données!H$49*1E-24*H32*S32)*0.85*0.16</f>
        <v>66251721046.93</v>
      </c>
      <c r="S32" s="42">
        <f t="shared" si="31"/>
        <v>3.123716790091205E+19</v>
      </c>
      <c r="T32" s="22">
        <f>-(Données!I$49*1E-24*H32+Données!F$49)*S32+Données!F$47*O32</f>
        <v>-27094988391.497375</v>
      </c>
      <c r="U32" s="28">
        <f t="shared" si="32"/>
        <v>3.1023864394444408E+21</v>
      </c>
      <c r="V32" s="19"/>
      <c r="W32" s="40">
        <f t="shared" si="33"/>
        <v>4.6575542972021187E+19</v>
      </c>
      <c r="X32" s="21">
        <f>-(Données!I$50*1E-24*H32+Données!F$50)*W32+Données!F$45*K32</f>
        <v>-377575525082.073</v>
      </c>
      <c r="Y32" s="42">
        <f t="shared" si="34"/>
        <v>1.5419945190217992E+22</v>
      </c>
      <c r="Z32" s="23">
        <f>-(Données!I$51*1E-24*H32+Données!F$51)*Y32+Données!F$48*Q32</f>
        <v>-16740224838316.006</v>
      </c>
      <c r="AA32" s="15">
        <f t="shared" si="35"/>
        <v>1.5466520733190013E+22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3459355206463252.5</v>
      </c>
      <c r="I33" s="40">
        <f t="shared" si="26"/>
        <v>2.2978108861232746E+19</v>
      </c>
      <c r="J33" s="21">
        <f>-(Données!I$44*1E-24*H33+Données!F$44)*I33+(Données!H$49*1E-24*H33*S33)*0.71+Données!H$50*1E-24*H33*W33</f>
        <v>65605966483.131592</v>
      </c>
      <c r="K33" s="42">
        <f t="shared" si="27"/>
        <v>2.0540465355643324E+21</v>
      </c>
      <c r="L33" s="23">
        <f>-(Données!I$45*1E-24*H33+Données!F$45)*K33+(I33*Données!H$44*1E-24*H33)+(Données!H$51*1E-24*H33)*Y33</f>
        <v>-1669161615523.7891</v>
      </c>
      <c r="M33" s="40">
        <f t="shared" si="28"/>
        <v>8.0998612075549347E+20</v>
      </c>
      <c r="N33" s="21">
        <f>-(Données!I$46*1E-24*H33+Données!F$46)*M33+Données!H$45*1E-24*H33*K33</f>
        <v>831513380352.05664</v>
      </c>
      <c r="O33" s="42">
        <f t="shared" si="29"/>
        <v>1.2338869574014344E+20</v>
      </c>
      <c r="P33" s="23">
        <f>-(Données!I$47*1E-24*H33+Données!F$47)*O33+(Données!H$46*1E-24*H33)*M33</f>
        <v>-142626612960.75122</v>
      </c>
      <c r="Q33" s="40">
        <f t="shared" si="30"/>
        <v>5.8559982236774572E+19</v>
      </c>
      <c r="R33" s="43">
        <f>-(Données!I$48*1E-24*H33+Données!F$48)*Q33+Données!H$47*1E-24*H33*O33+(Données!H$49*1E-24*H33*S33)*0.85*0.16</f>
        <v>65128742701.206024</v>
      </c>
      <c r="S33" s="42">
        <f t="shared" si="31"/>
        <v>3.1165962271419195E+19</v>
      </c>
      <c r="T33" s="22">
        <f>-(Données!I$49*1E-24*H33+Données!F$49)*S33+Données!F$47*O33</f>
        <v>-27207933376.75824</v>
      </c>
      <c r="U33" s="28">
        <f t="shared" si="32"/>
        <v>3.1001254054293956E+21</v>
      </c>
      <c r="V33" s="19"/>
      <c r="W33" s="40">
        <f t="shared" si="33"/>
        <v>4.5583274492105499E+19</v>
      </c>
      <c r="X33" s="21">
        <f>-(Données!I$50*1E-24*H33+Données!F$50)*W33+Données!F$45*K33</f>
        <v>-369495473958.04175</v>
      </c>
      <c r="Y33" s="42">
        <f t="shared" si="34"/>
        <v>1.5375951879342897E+22</v>
      </c>
      <c r="Z33" s="23">
        <f>-(Données!I$51*1E-24*H33+Données!F$51)*Y33+Données!F$48*Q33</f>
        <v>-16692464731891.754</v>
      </c>
      <c r="AA33" s="15">
        <f t="shared" si="35"/>
        <v>1.5421535153835003E+22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3459355206463252.5</v>
      </c>
      <c r="I34" s="40">
        <f t="shared" si="26"/>
        <v>2.3150521341150417E+19</v>
      </c>
      <c r="J34" s="21">
        <f>-(Données!I$44*1E-24*H34+Données!F$44)*I34+(Données!H$49*1E-24*H34*S34)*0.71+Données!H$50*1E-24*H34*W34</f>
        <v>62478869085.346832</v>
      </c>
      <c r="K34" s="42">
        <f t="shared" si="27"/>
        <v>2.0496599788387358E+21</v>
      </c>
      <c r="L34" s="23">
        <f>-(Données!I$45*1E-24*H34+Données!F$45)*K34+(I34*Données!H$44*1E-24*H34)+(Données!H$51*1E-24*H34)*Y34</f>
        <v>-1675297953092.5156</v>
      </c>
      <c r="M34" s="40">
        <f t="shared" si="28"/>
        <v>8.1217133791905867E+20</v>
      </c>
      <c r="N34" s="21">
        <f>-(Données!I$46*1E-24*H34+Données!F$46)*M34+Données!H$45*1E-24*H34*K34</f>
        <v>817956407798.49512</v>
      </c>
      <c r="O34" s="42">
        <f t="shared" si="29"/>
        <v>1.2301387300128258E+20</v>
      </c>
      <c r="P34" s="23">
        <f>-(Données!I$47*1E-24*H34+Données!F$47)*O34+(Données!H$46*1E-24*H34)*M34</f>
        <v>-134856329331.11523</v>
      </c>
      <c r="Q34" s="40">
        <f t="shared" si="30"/>
        <v>5.873114057259334E+19</v>
      </c>
      <c r="R34" s="43">
        <f>-(Données!I$48*1E-24*H34+Données!F$48)*Q34+Données!H$47*1E-24*H34*O34+(Données!H$49*1E-24*H34*S34)*0.85*0.16</f>
        <v>64046147940.164764</v>
      </c>
      <c r="S34" s="42">
        <f t="shared" si="31"/>
        <v>3.1094459822505075E+19</v>
      </c>
      <c r="T34" s="22">
        <f>-(Données!I$49*1E-24*H34+Données!F$49)*S34+Données!F$47*O34</f>
        <v>-27286270466.703186</v>
      </c>
      <c r="U34" s="28">
        <f t="shared" si="32"/>
        <v>3.0978213114953261E+21</v>
      </c>
      <c r="V34" s="19"/>
      <c r="W34" s="40">
        <f t="shared" si="33"/>
        <v>4.4612240386543763E+19</v>
      </c>
      <c r="X34" s="21">
        <f>-(Données!I$50*1E-24*H34+Données!F$50)*W34+Données!F$45*K34</f>
        <v>-361588435033.79303</v>
      </c>
      <c r="Y34" s="42">
        <f t="shared" si="34"/>
        <v>1.5332084082027484E+22</v>
      </c>
      <c r="Z34" s="23">
        <f>-(Données!I$51*1E-24*H34+Données!F$51)*Y34+Données!F$48*Q34</f>
        <v>-16644840885893.865</v>
      </c>
      <c r="AA34" s="15">
        <f t="shared" si="35"/>
        <v>1.5376696322414027E+22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3459355206463252.5</v>
      </c>
      <c r="I35" s="40">
        <f t="shared" si="26"/>
        <v>2.3314715809106706E+19</v>
      </c>
      <c r="J35" s="21">
        <f>-(Données!I$44*1E-24*H35+Données!F$44)*I35+(Données!H$49*1E-24*H35*S35)*0.71+Données!H$50*1E-24*H35*W35</f>
        <v>59440144027.218964</v>
      </c>
      <c r="K35" s="42">
        <f t="shared" si="27"/>
        <v>2.0452572958180088E+21</v>
      </c>
      <c r="L35" s="23">
        <f>-(Données!I$45*1E-24*H35+Données!F$45)*K35+(I35*Données!H$44*1E-24*H35)+(Données!H$51*1E-24*H35)*Y35</f>
        <v>-1681210328455.2559</v>
      </c>
      <c r="M35" s="40">
        <f t="shared" si="28"/>
        <v>8.1432092735875318E+20</v>
      </c>
      <c r="N35" s="21">
        <f>-(Données!I$46*1E-24*H35+Données!F$46)*M35+Données!H$45*1E-24*H35*K35</f>
        <v>804480983460.82129</v>
      </c>
      <c r="O35" s="42">
        <f t="shared" si="29"/>
        <v>1.2265947056780041E+20</v>
      </c>
      <c r="P35" s="23">
        <f>-(Données!I$47*1E-24*H35+Données!F$47)*O35+(Données!H$46*1E-24*H35)*M35</f>
        <v>-127377620572.26416</v>
      </c>
      <c r="Q35" s="40">
        <f t="shared" si="30"/>
        <v>5.8899453849380094E+19</v>
      </c>
      <c r="R35" s="43">
        <f>-(Données!I$48*1E-24*H35+Données!F$48)*Q35+Données!H$47*1E-24*H35*O35+(Données!H$49*1E-24*H35*S35)*0.85*0.16</f>
        <v>63002504343.762756</v>
      </c>
      <c r="S35" s="42">
        <f t="shared" si="31"/>
        <v>3.102275150371858E+19</v>
      </c>
      <c r="T35" s="22">
        <f>-(Données!I$49*1E-24*H35+Données!F$49)*S35+Données!F$47*O35</f>
        <v>-27331845370.751801</v>
      </c>
      <c r="U35" s="28">
        <f t="shared" si="32"/>
        <v>3.0954746149067675E+21</v>
      </c>
      <c r="V35" s="19"/>
      <c r="W35" s="40">
        <f t="shared" si="33"/>
        <v>4.3661985979274953E+19</v>
      </c>
      <c r="X35" s="21">
        <f>-(Données!I$50*1E-24*H35+Données!F$50)*W35+Données!F$45*K35</f>
        <v>-353850703505.27679</v>
      </c>
      <c r="Y35" s="42">
        <f t="shared" si="34"/>
        <v>1.5288341440179355E+22</v>
      </c>
      <c r="Z35" s="23">
        <f>-(Données!I$51*1E-24*H35+Données!F$51)*Y35+Données!F$48*Q35</f>
        <v>-16597352911563.217</v>
      </c>
      <c r="AA35" s="15">
        <f t="shared" si="35"/>
        <v>1.533200342615863E+22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3459355206463252.5</v>
      </c>
      <c r="I36" s="40">
        <f t="shared" si="26"/>
        <v>2.3470924507610239E+19</v>
      </c>
      <c r="J36" s="21">
        <f>-(Données!I$44*1E-24*H36+Données!F$44)*I36+(Données!H$49*1E-24*H36*S36)*0.71+Données!H$50*1E-24*H36*W36</f>
        <v>56487882074.222076</v>
      </c>
      <c r="K36" s="42">
        <f t="shared" si="27"/>
        <v>2.0408390750748284E+21</v>
      </c>
      <c r="L36" s="23">
        <f>-(Données!I$45*1E-24*H36+Données!F$45)*K36+(I36*Données!H$44*1E-24*H36)+(Données!H$51*1E-24*H36)*Y36</f>
        <v>-1686903183630.1387</v>
      </c>
      <c r="M36" s="40">
        <f t="shared" si="28"/>
        <v>8.1643510338328815E+20</v>
      </c>
      <c r="N36" s="21">
        <f>-(Données!I$46*1E-24*H36+Données!F$46)*M36+Données!H$45*1E-24*H36*K36</f>
        <v>791087399129.41602</v>
      </c>
      <c r="O36" s="42">
        <f t="shared" si="29"/>
        <v>1.223247221809365E+20</v>
      </c>
      <c r="P36" s="23">
        <f>-(Données!I$47*1E-24*H36+Données!F$47)*O36+(Données!H$46*1E-24*H36)*M36</f>
        <v>-120181318444.96533</v>
      </c>
      <c r="Q36" s="40">
        <f t="shared" si="30"/>
        <v>5.9065024430795506E+19</v>
      </c>
      <c r="R36" s="43">
        <f>-(Données!I$48*1E-24*H36+Données!F$48)*Q36+Données!H$47*1E-24*H36*O36+(Données!H$49*1E-24*H36*S36)*0.85*0.16</f>
        <v>61996424004.961136</v>
      </c>
      <c r="S36" s="42">
        <f t="shared" si="31"/>
        <v>3.0950923414084243E+19</v>
      </c>
      <c r="T36" s="22">
        <f>-(Données!I$49*1E-24*H36+Données!F$49)*S36+Données!F$47*O36</f>
        <v>-27346431980.820312</v>
      </c>
      <c r="U36" s="28">
        <f t="shared" si="32"/>
        <v>3.0930857729915434E+21</v>
      </c>
      <c r="V36" s="19"/>
      <c r="W36" s="40">
        <f t="shared" si="33"/>
        <v>4.2732066330463085E+19</v>
      </c>
      <c r="X36" s="21">
        <f>-(Données!I$50*1E-24*H36+Données!F$50)*W36+Données!F$45*K36</f>
        <v>-346278653900.54114</v>
      </c>
      <c r="Y36" s="42">
        <f t="shared" si="34"/>
        <v>1.5244723596727767E+22</v>
      </c>
      <c r="Z36" s="23">
        <f>-(Données!I$51*1E-24*H36+Données!F$51)*Y36+Données!F$48*Q36</f>
        <v>-16550000421250.033</v>
      </c>
      <c r="AA36" s="15">
        <f t="shared" si="35"/>
        <v>1.5287455663058229E+22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3459355206463252.5</v>
      </c>
      <c r="I37" s="40">
        <f t="shared" si="26"/>
        <v>2.3619374661701296E+19</v>
      </c>
      <c r="J37" s="21">
        <f>-(Données!I$44*1E-24*H37+Données!F$44)*I37+(Données!H$49*1E-24*H37*S37)*0.71+Données!H$50*1E-24*H37*W37</f>
        <v>53620203454.151367</v>
      </c>
      <c r="K37" s="42">
        <f t="shared" si="27"/>
        <v>2.0364058935082484E+21</v>
      </c>
      <c r="L37" s="23">
        <f>-(Données!I$45*1E-24*H37+Données!F$45)*K37+(I37*Données!H$44*1E-24*H37)+(Données!H$51*1E-24*H37)*Y37</f>
        <v>-1692380878786.5781</v>
      </c>
      <c r="M37" s="40">
        <f t="shared" si="28"/>
        <v>8.1851408106820023E+20</v>
      </c>
      <c r="N37" s="21">
        <f>-(Données!I$46*1E-24*H37+Données!F$46)*M37+Données!H$45*1E-24*H37*K37</f>
        <v>777775925708.7915</v>
      </c>
      <c r="O37" s="42">
        <f t="shared" si="29"/>
        <v>1.2200888567606313E+20</v>
      </c>
      <c r="P37" s="23">
        <f>-(Données!I$47*1E-24*H37+Données!F$47)*O37+(Données!H$46*1E-24*H37)*M37</f>
        <v>-113258531141.34839</v>
      </c>
      <c r="Q37" s="40">
        <f t="shared" si="30"/>
        <v>5.9227951033080545E+19</v>
      </c>
      <c r="R37" s="43">
        <f>-(Données!I$48*1E-24*H37+Données!F$48)*Q37+Données!H$47*1E-24*H37*O37+(Données!H$49*1E-24*H37*S37)*0.85*0.16</f>
        <v>61026562212.614441</v>
      </c>
      <c r="S37" s="42">
        <f t="shared" si="31"/>
        <v>3.0879056990838649E+19</v>
      </c>
      <c r="T37" s="22">
        <f>-(Données!I$49*1E-24*H37+Données!F$49)*S37+Données!F$47*O37</f>
        <v>-27331734831.676056</v>
      </c>
      <c r="U37" s="28">
        <f t="shared" si="32"/>
        <v>3.0906552429381319E+21</v>
      </c>
      <c r="V37" s="19"/>
      <c r="W37" s="40">
        <f t="shared" si="33"/>
        <v>4.1822046028012462E+19</v>
      </c>
      <c r="X37" s="21">
        <f>-(Données!I$50*1E-24*H37+Données!F$50)*W37+Données!F$45*K37</f>
        <v>-338868738381.00226</v>
      </c>
      <c r="Y37" s="42">
        <f t="shared" si="34"/>
        <v>1.5201230195620722E+22</v>
      </c>
      <c r="Z37" s="23">
        <f>-(Données!I$51*1E-24*H37+Données!F$51)*Y37+Données!F$48*Q37</f>
        <v>-16502783028410.727</v>
      </c>
      <c r="AA37" s="15">
        <f t="shared" si="35"/>
        <v>1.5243052241648735E+22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3459355206463252.5</v>
      </c>
      <c r="I38" s="40">
        <f t="shared" si="26"/>
        <v>2.3760288556378804E+19</v>
      </c>
      <c r="J38" s="21">
        <f>-(Données!I$44*1E-24*H38+Données!F$44)*I38+(Données!H$49*1E-24*H38*S38)*0.71+Données!H$50*1E-24*H38*W38</f>
        <v>50835257758.550522</v>
      </c>
      <c r="K38" s="42">
        <f t="shared" si="27"/>
        <v>2.0319583165587972E+21</v>
      </c>
      <c r="L38" s="23">
        <f>-(Données!I$45*1E-24*H38+Données!F$45)*K38+(I38*Données!H$44*1E-24*H38)+(Données!H$51*1E-24*H38)*Y38</f>
        <v>-1697647693764.8945</v>
      </c>
      <c r="M38" s="40">
        <f t="shared" si="28"/>
        <v>8.2055807620096288E+20</v>
      </c>
      <c r="N38" s="21">
        <f>-(Données!I$46*1E-24*H38+Données!F$46)*M38+Données!H$45*1E-24*H38*K38</f>
        <v>764546813725.09277</v>
      </c>
      <c r="O38" s="42">
        <f t="shared" si="29"/>
        <v>1.2171124225622367E+20</v>
      </c>
      <c r="P38" s="23">
        <f>-(Données!I$47*1E-24*H38+Données!F$47)*O38+(Données!H$46*1E-24*H38)*M38</f>
        <v>-106600635000.4043</v>
      </c>
      <c r="Q38" s="40">
        <f t="shared" si="30"/>
        <v>5.9388328838575292E+19</v>
      </c>
      <c r="R38" s="43">
        <f>-(Données!I$48*1E-24*H38+Données!F$48)*Q38+Données!H$47*1E-24*H38*O38+(Données!H$49*1E-24*H38*S38)*0.85*0.16</f>
        <v>60091616173.075592</v>
      </c>
      <c r="S38" s="42">
        <f t="shared" si="31"/>
        <v>3.0807229191701004E+19</v>
      </c>
      <c r="T38" s="22">
        <f>-(Données!I$49*1E-24*H38+Données!F$49)*S38+Données!F$47*O38</f>
        <v>-27289391481.930267</v>
      </c>
      <c r="U38" s="28">
        <f t="shared" si="32"/>
        <v>3.0881834816026386E+21</v>
      </c>
      <c r="V38" s="19"/>
      <c r="W38" s="40">
        <f t="shared" si="33"/>
        <v>4.0931498983547191E+19</v>
      </c>
      <c r="X38" s="21">
        <f>-(Données!I$50*1E-24*H38+Données!F$50)*W38+Données!F$45*K38</f>
        <v>-331617485079.08844</v>
      </c>
      <c r="Y38" s="42">
        <f t="shared" si="34"/>
        <v>1.5157860881822059E+22</v>
      </c>
      <c r="Z38" s="23">
        <f>-(Données!I$51*1E-24*H38+Données!F$51)*Y38+Données!F$48*Q38</f>
        <v>-16455700347604.732</v>
      </c>
      <c r="AA38" s="15">
        <f t="shared" si="35"/>
        <v>1.5198792380805607E+22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3459355206463252.5</v>
      </c>
      <c r="I39" s="40">
        <f t="shared" si="26"/>
        <v>2.3893883613768274E+19</v>
      </c>
      <c r="J39" s="21">
        <f>-(Données!I$44*1E-24*H39+Données!F$44)*I39+(Données!H$49*1E-24*H39*S39)*0.71+Données!H$50*1E-24*H39*W39</f>
        <v>48131223827.619904</v>
      </c>
      <c r="K39" s="42">
        <f t="shared" si="27"/>
        <v>2.0274968984195831E+21</v>
      </c>
      <c r="L39" s="23">
        <f>-(Données!I$45*1E-24*H39+Données!F$45)*K39+(I39*Données!H$44*1E-24*H39)+(Données!H$51*1E-24*H39)*Y39</f>
        <v>-1702707829565.7227</v>
      </c>
      <c r="M39" s="40">
        <f t="shared" si="28"/>
        <v>8.2256730522743236E+20</v>
      </c>
      <c r="N39" s="21">
        <f>-(Données!I$46*1E-24*H39+Données!F$46)*M39+Données!H$45*1E-24*H39*K39</f>
        <v>751400293823.2168</v>
      </c>
      <c r="O39" s="42">
        <f t="shared" si="29"/>
        <v>1.214310957874426E+20</v>
      </c>
      <c r="P39" s="23">
        <f>-(Données!I$47*1E-24*H39+Données!F$47)*O39+(Données!H$46*1E-24*H39)*M39</f>
        <v>-100199266472.25171</v>
      </c>
      <c r="Q39" s="40">
        <f t="shared" si="30"/>
        <v>5.9546249605878137E+19</v>
      </c>
      <c r="R39" s="43">
        <f>-(Données!I$48*1E-24*H39+Données!F$48)*Q39+Données!H$47*1E-24*H39*O39+(Données!H$49*1E-24*H39*S39)*0.85*0.16</f>
        <v>59190323769.372101</v>
      </c>
      <c r="S39" s="42">
        <f t="shared" si="31"/>
        <v>3.073551267088649E+19</v>
      </c>
      <c r="T39" s="22">
        <f>-(Données!I$49*1E-24*H39+Données!F$49)*S39+Données!F$47*O39</f>
        <v>-27220974818.152435</v>
      </c>
      <c r="U39" s="28">
        <f t="shared" si="32"/>
        <v>3.0856709453249915E+21</v>
      </c>
      <c r="V39" s="19"/>
      <c r="W39" s="40">
        <f t="shared" si="33"/>
        <v>4.0060008232759345E+19</v>
      </c>
      <c r="X39" s="21">
        <f>-(Données!I$50*1E-24*H39+Données!F$50)*W39+Données!F$45*K39</f>
        <v>-324521496471.47937</v>
      </c>
      <c r="Y39" s="42">
        <f t="shared" si="34"/>
        <v>1.5114615301308554E+22</v>
      </c>
      <c r="Z39" s="23">
        <f>-(Données!I$51*1E-24*H39+Données!F$51)*Y39+Données!F$48*Q39</f>
        <v>-16408751994491.352</v>
      </c>
      <c r="AA39" s="15">
        <f t="shared" si="35"/>
        <v>1.5154675309541314E+22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3459355206463252.5</v>
      </c>
      <c r="I40" s="40">
        <f t="shared" si="26"/>
        <v>2.4020372469987258E+19</v>
      </c>
      <c r="J40" s="21">
        <f>-(Données!I$44*1E-24*H40+Données!F$44)*I40+(Données!H$49*1E-24*H40*S40)*0.71+Données!H$50*1E-24*H40*W40</f>
        <v>45506309619.551788</v>
      </c>
      <c r="K40" s="42">
        <f t="shared" si="27"/>
        <v>2.0230221822434843E+21</v>
      </c>
      <c r="L40" s="23">
        <f>-(Données!I$45*1E-24*H40+Données!F$45)*K40+(I40*Données!H$44*1E-24*H40)+(Données!H$51*1E-24*H40)*Y40</f>
        <v>-1707565409809.8906</v>
      </c>
      <c r="M40" s="40">
        <f t="shared" si="28"/>
        <v>8.2454198519959978E+20</v>
      </c>
      <c r="N40" s="21">
        <f>-(Données!I$46*1E-24*H40+Données!F$46)*M40+Données!H$45*1E-24*H40*K40</f>
        <v>738336577253.78613</v>
      </c>
      <c r="O40" s="42">
        <f t="shared" si="29"/>
        <v>1.2116777211515352E+20</v>
      </c>
      <c r="P40" s="23">
        <f>-(Données!I$47*1E-24*H40+Données!F$47)*O40+(Données!H$46*1E-24*H40)*M40</f>
        <v>-94046314323.689697</v>
      </c>
      <c r="Q40" s="40">
        <f t="shared" si="30"/>
        <v>5.9701801776744047E+19</v>
      </c>
      <c r="R40" s="43">
        <f>-(Données!I$48*1E-24*H40+Données!F$48)*Q40+Données!H$47*1E-24*H40*O40+(Données!H$49*1E-24*H40*S40)*0.85*0.16</f>
        <v>58321462356.841553</v>
      </c>
      <c r="S40" s="42">
        <f t="shared" si="31"/>
        <v>3.0663975949064385E+19</v>
      </c>
      <c r="T40" s="22">
        <f>-(Données!I$49*1E-24*H40+Données!F$49)*S40+Données!F$47*O40</f>
        <v>-27127995284.513123</v>
      </c>
      <c r="U40" s="28">
        <f t="shared" si="32"/>
        <v>3.0831180897540333E+21</v>
      </c>
      <c r="V40" s="19"/>
      <c r="W40" s="40">
        <f t="shared" si="33"/>
        <v>3.9207165740032295E+19</v>
      </c>
      <c r="X40" s="21">
        <f>-(Données!I$50*1E-24*H40+Données!F$50)*W40+Données!F$45*K40</f>
        <v>-317577447787.17914</v>
      </c>
      <c r="Y40" s="42">
        <f t="shared" si="34"/>
        <v>1.5071493101067031E+22</v>
      </c>
      <c r="Z40" s="23">
        <f>-(Données!I$51*1E-24*H40+Données!F$51)*Y40+Données!F$48*Q40</f>
        <v>-16361937585826.609</v>
      </c>
      <c r="AA40" s="15">
        <f t="shared" si="35"/>
        <v>1.5110700266807064E+22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3459355206463252.5</v>
      </c>
      <c r="I41" s="40">
        <f t="shared" si="26"/>
        <v>2.413996305166744E+19</v>
      </c>
      <c r="J41" s="21">
        <f>-(Données!I$44*1E-24*H41+Données!F$44)*I41+(Données!H$49*1E-24*H41*S41)*0.71+Données!H$50*1E-24*H41*W41</f>
        <v>42958752065.200172</v>
      </c>
      <c r="K41" s="42">
        <f t="shared" si="27"/>
        <v>2.0185347003465039E+21</v>
      </c>
      <c r="L41" s="23">
        <f>-(Données!I$45*1E-24*H41+Données!F$45)*K41+(I41*Données!H$44*1E-24*H41)+(Données!H$51*1E-24*H41)*Y41</f>
        <v>-1712224482169.4551</v>
      </c>
      <c r="M41" s="40">
        <f t="shared" si="28"/>
        <v>8.2648233372462272E+20</v>
      </c>
      <c r="N41" s="21">
        <f>-(Données!I$46*1E-24*H41+Données!F$46)*M41+Données!H$45*1E-24*H41*K41</f>
        <v>725355856350.1543</v>
      </c>
      <c r="O41" s="42">
        <f t="shared" si="29"/>
        <v>1.2092061840111087E+20</v>
      </c>
      <c r="P41" s="23">
        <f>-(Données!I$47*1E-24*H41+Données!F$47)*O41+(Données!H$46*1E-24*H41)*M41</f>
        <v>-88133912077.769775</v>
      </c>
      <c r="Q41" s="40">
        <f t="shared" si="30"/>
        <v>5.9855070579817824E+19</v>
      </c>
      <c r="R41" s="43">
        <f>-(Données!I$48*1E-24*H41+Données!F$48)*Q41+Données!H$47*1E-24*H41*O41+(Données!H$49*1E-24*H41*S41)*0.85*0.16</f>
        <v>57483847594.147903</v>
      </c>
      <c r="S41" s="42">
        <f t="shared" si="31"/>
        <v>3.0592683577456685E+19</v>
      </c>
      <c r="T41" s="22">
        <f>-(Données!I$49*1E-24*H41+Données!F$49)*S41+Données!F$47*O41</f>
        <v>-27011903040.288055</v>
      </c>
      <c r="U41" s="28">
        <f t="shared" si="32"/>
        <v>3.080525369681179E+21</v>
      </c>
      <c r="V41" s="19"/>
      <c r="W41" s="40">
        <f t="shared" si="33"/>
        <v>3.8372572207247589E+19</v>
      </c>
      <c r="X41" s="21">
        <f>-(Données!I$50*1E-24*H41+Données!F$50)*W41+Données!F$45*K41</f>
        <v>-310782085449.6759</v>
      </c>
      <c r="Y41" s="42">
        <f t="shared" si="34"/>
        <v>1.5028493929091479E+22</v>
      </c>
      <c r="Z41" s="23">
        <f>-(Données!I$51*1E-24*H41+Données!F$51)*Y41+Données!F$48*Q41</f>
        <v>-16315256739460.119</v>
      </c>
      <c r="AA41" s="15">
        <f t="shared" si="35"/>
        <v>1.5066866501298726E+22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3459355206463252.5</v>
      </c>
      <c r="I42" s="40">
        <f t="shared" si="26"/>
        <v>2.4252858652094788E+19</v>
      </c>
      <c r="J42" s="21">
        <f>-(Données!I$44*1E-24*H42+Données!F$44)*I42+(Données!H$49*1E-24*H42*S42)*0.71+Données!H$50*1E-24*H42*W42</f>
        <v>40486816908.955917</v>
      </c>
      <c r="K42" s="42">
        <f t="shared" si="27"/>
        <v>2.0140349744073626E+21</v>
      </c>
      <c r="L42" s="23">
        <f>-(Données!I$45*1E-24*H42+Données!F$45)*K42+(I42*Données!H$44*1E-24*H42)+(Données!H$51*1E-24*H42)*Y42</f>
        <v>-1716689019770.5039</v>
      </c>
      <c r="M42" s="40">
        <f t="shared" si="28"/>
        <v>8.2838856891511092E+20</v>
      </c>
      <c r="N42" s="21">
        <f>-(Données!I$46*1E-24*H42+Données!F$46)*M42+Données!H$45*1E-24*H42*K42</f>
        <v>712458304995.65771</v>
      </c>
      <c r="O42" s="42">
        <f t="shared" si="29"/>
        <v>1.2068900248017048E+20</v>
      </c>
      <c r="P42" s="23">
        <f>-(Données!I$47*1E-24*H42+Données!F$47)*O42+(Données!H$46*1E-24*H42)*M42</f>
        <v>-82454430680.337402</v>
      </c>
      <c r="Q42" s="40">
        <f t="shared" si="30"/>
        <v>6.0006138131295248E+19</v>
      </c>
      <c r="R42" s="43">
        <f>-(Données!I$48*1E-24*H42+Données!F$48)*Q42+Données!H$47*1E-24*H42*O42+(Données!H$49*1E-24*H42*S42)*0.85*0.16</f>
        <v>56676332308.633499</v>
      </c>
      <c r="S42" s="42">
        <f t="shared" si="31"/>
        <v>3.0521696296266809E+19</v>
      </c>
      <c r="T42" s="22">
        <f>-(Données!I$49*1E-24*H42+Données!F$49)*S42+Données!F$47*O42</f>
        <v>-26874090047.483673</v>
      </c>
      <c r="U42" s="28">
        <f t="shared" si="32"/>
        <v>3.0778932388823014E+21</v>
      </c>
      <c r="V42" s="19"/>
      <c r="W42" s="40">
        <f t="shared" si="33"/>
        <v>3.7555836886685843E+19</v>
      </c>
      <c r="X42" s="21">
        <f>-(Données!I$50*1E-24*H42+Données!F$50)*W42+Données!F$45*K42</f>
        <v>-304132225552.45886</v>
      </c>
      <c r="Y42" s="42">
        <f t="shared" si="34"/>
        <v>1.4985617434380178E+22</v>
      </c>
      <c r="Z42" s="23">
        <f>-(Données!I$51*1E-24*H42+Données!F$51)*Y42+Données!F$48*Q42</f>
        <v>-16268709074331.959</v>
      </c>
      <c r="AA42" s="15">
        <f t="shared" si="35"/>
        <v>1.5023173271266863E+22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3459355206463252.5</v>
      </c>
      <c r="I43" s="40">
        <f t="shared" si="26"/>
        <v>2.4359258006931526E+19</v>
      </c>
      <c r="J43" s="21">
        <f>-(Données!I$44*1E-24*H43+Données!F$44)*I43+(Données!H$49*1E-24*H43*S43)*0.71+Données!H$50*1E-24*H43*W43</f>
        <v>38088798536.662415</v>
      </c>
      <c r="K43" s="42">
        <f t="shared" si="27"/>
        <v>2.0095235156634058E+21</v>
      </c>
      <c r="L43" s="23">
        <f>-(Données!I$45*1E-24*H43+Données!F$45)*K43+(I43*Données!H$44*1E-24*H43)+(Données!H$51*1E-24*H43)*Y43</f>
        <v>-1720962922568.3965</v>
      </c>
      <c r="M43" s="40">
        <f t="shared" si="28"/>
        <v>8.3026090934063949E+20</v>
      </c>
      <c r="N43" s="21">
        <f>-(Données!I$46*1E-24*H43+Données!F$46)*M43+Données!H$45*1E-24*H43*K43</f>
        <v>699644079081.30859</v>
      </c>
      <c r="O43" s="42">
        <f t="shared" si="29"/>
        <v>1.2047231223634256E+20</v>
      </c>
      <c r="P43" s="23">
        <f>-(Données!I$47*1E-24*H43+Données!F$47)*O43+(Données!H$46*1E-24*H43)*M43</f>
        <v>-77000471386.718506</v>
      </c>
      <c r="Q43" s="40">
        <f t="shared" si="30"/>
        <v>6.0155083532602335E+19</v>
      </c>
      <c r="R43" s="43">
        <f>-(Données!I$48*1E-24*H43+Données!F$48)*Q43+Données!H$47*1E-24*H43*O43+(Données!H$49*1E-24*H43*S43)*0.85*0.16</f>
        <v>55897805394.990524</v>
      </c>
      <c r="S43" s="42">
        <f t="shared" si="31"/>
        <v>3.0451071187622023E+19</v>
      </c>
      <c r="T43" s="22">
        <f>-(Données!I$49*1E-24*H43+Données!F$49)*S43+Données!F$47*O43</f>
        <v>-26715892090.776031</v>
      </c>
      <c r="U43" s="28">
        <f t="shared" si="32"/>
        <v>3.0752221499675441E+21</v>
      </c>
      <c r="V43" s="19"/>
      <c r="W43" s="40">
        <f t="shared" si="33"/>
        <v>3.6756577397933982E+19</v>
      </c>
      <c r="X43" s="21">
        <f>-(Données!I$50*1E-24*H43+Données!F$50)*W43+Données!F$45*K43</f>
        <v>-297624752367.17865</v>
      </c>
      <c r="Y43" s="42">
        <f t="shared" si="34"/>
        <v>1.4942863266932834E+22</v>
      </c>
      <c r="Z43" s="23">
        <f>-(Données!I$51*1E-24*H43+Données!F$51)*Y43+Données!F$48*Q43</f>
        <v>-16222294210469.551</v>
      </c>
      <c r="AA43" s="15">
        <f t="shared" si="35"/>
        <v>1.4979619844330768E+22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3459355206463252.5</v>
      </c>
      <c r="I44" s="40">
        <f t="shared" si="26"/>
        <v>2.4459355369485873E+19</v>
      </c>
      <c r="J44" s="21">
        <f>-(Données!I$44*1E-24*H44+Données!F$44)*I44+(Données!H$49*1E-24*H44*S44)*0.71+Données!H$50*1E-24*H44*W44</f>
        <v>35763019791.372261</v>
      </c>
      <c r="K44" s="42">
        <f t="shared" si="27"/>
        <v>2.0050008251028959E+21</v>
      </c>
      <c r="L44" s="23">
        <f>-(Données!I$45*1E-24*H44+Données!F$45)*K44+(I44*Données!H$44*1E-24*H44)+(Données!H$51*1E-24*H44)*Y44</f>
        <v>-1725050018696.0547</v>
      </c>
      <c r="M44" s="40">
        <f t="shared" si="28"/>
        <v>8.320995739804652E+20</v>
      </c>
      <c r="N44" s="21">
        <f>-(Données!I$46*1E-24*H44+Données!F$46)*M44+Données!H$45*1E-24*H44*K44</f>
        <v>686913316954.10742</v>
      </c>
      <c r="O44" s="42">
        <f t="shared" si="29"/>
        <v>1.2026995499753826E+20</v>
      </c>
      <c r="P44" s="23">
        <f>-(Données!I$47*1E-24*H44+Données!F$47)*O44+(Données!H$46*1E-24*H44)*M44</f>
        <v>-71764858861.91626</v>
      </c>
      <c r="Q44" s="40">
        <f t="shared" si="30"/>
        <v>6.0301982965180367E+19</v>
      </c>
      <c r="R44" s="43">
        <f>-(Données!I$48*1E-24*H44+Données!F$48)*Q44+Données!H$47*1E-24*H44*O44+(Données!H$49*1E-24*H44*S44)*0.85*0.16</f>
        <v>55147190746.268417</v>
      </c>
      <c r="S44" s="42">
        <f t="shared" si="31"/>
        <v>3.0380861823207465E+19</v>
      </c>
      <c r="T44" s="22">
        <f>-(Données!I$49*1E-24*H44+Données!F$49)*S44+Données!F$47*O44</f>
        <v>-26538590731.885956</v>
      </c>
      <c r="U44" s="28">
        <f t="shared" si="32"/>
        <v>3.0725125542387725E+21</v>
      </c>
      <c r="V44" s="19"/>
      <c r="W44" s="40">
        <f t="shared" si="33"/>
        <v>3.5974419548713038E+19</v>
      </c>
      <c r="X44" s="21">
        <f>-(Données!I$50*1E-24*H44+Données!F$50)*W44+Données!F$45*K44</f>
        <v>-291256616883.75208</v>
      </c>
      <c r="Y44" s="42">
        <f t="shared" si="34"/>
        <v>1.4900231077747719E+22</v>
      </c>
      <c r="Z44" s="23">
        <f>-(Données!I$51*1E-24*H44+Données!F$51)*Y44+Données!F$48*Q44</f>
        <v>-16176011768984.559</v>
      </c>
      <c r="AA44" s="15">
        <f t="shared" si="35"/>
        <v>1.4936205497296432E+22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3459355206463252.5</v>
      </c>
      <c r="I45" s="40">
        <f t="shared" si="26"/>
        <v>2.45533405854976E+19</v>
      </c>
      <c r="J45" s="21">
        <f>-(Données!I$44*1E-24*H45+Données!F$44)*I45+(Données!H$49*1E-24*H45*S45)*0.71+Données!H$50*1E-24*H45*W45</f>
        <v>33507831777.712044</v>
      </c>
      <c r="K45" s="42">
        <f t="shared" si="27"/>
        <v>2.0004673936537627E+21</v>
      </c>
      <c r="L45" s="23">
        <f>-(Données!I$45*1E-24*H45+Données!F$45)*K45+(I45*Données!H$44*1E-24*H45)+(Données!H$51*1E-24*H45)*Y45</f>
        <v>-1728954065785.8457</v>
      </c>
      <c r="M45" s="40">
        <f t="shared" si="28"/>
        <v>8.3390478217742057E+20</v>
      </c>
      <c r="N45" s="21">
        <f>-(Données!I$46*1E-24*H45+Données!F$46)*M45+Données!H$45*1E-24*H45*K45</f>
        <v>674266139856.18311</v>
      </c>
      <c r="O45" s="42">
        <f t="shared" si="29"/>
        <v>1.2008135694844915E+20</v>
      </c>
      <c r="P45" s="23">
        <f>-(Données!I$47*1E-24*H45+Données!F$47)*O45+(Données!H$46*1E-24*H45)*M45</f>
        <v>-66740634487.895752</v>
      </c>
      <c r="Q45" s="40">
        <f t="shared" si="30"/>
        <v>6.0446909782461563E+19</v>
      </c>
      <c r="R45" s="43">
        <f>-(Données!I$48*1E-24*H45+Données!F$48)*Q45+Données!H$47*1E-24*H45*O45+(Données!H$49*1E-24*H45*S45)*0.85*0.16</f>
        <v>54423446216.260925</v>
      </c>
      <c r="S45" s="42">
        <f t="shared" si="31"/>
        <v>3.0311118406764069E+19</v>
      </c>
      <c r="T45" s="22">
        <f>-(Données!I$49*1E-24*H45+Données!F$49)*S45+Données!F$47*O45</f>
        <v>-26343415200.448517</v>
      </c>
      <c r="U45" s="28">
        <f t="shared" si="32"/>
        <v>3.0697649015543557E+21</v>
      </c>
      <c r="V45" s="19"/>
      <c r="W45" s="40">
        <f t="shared" si="33"/>
        <v>3.5208997159542538E+19</v>
      </c>
      <c r="X45" s="21">
        <f>-(Données!I$50*1E-24*H45+Données!F$50)*W45+Données!F$45*K45</f>
        <v>-285024835381.7265</v>
      </c>
      <c r="Y45" s="42">
        <f t="shared" si="34"/>
        <v>1.4857720518818828E+22</v>
      </c>
      <c r="Z45" s="23">
        <f>-(Données!I$51*1E-24*H45+Données!F$51)*Y45+Données!F$48*Q45</f>
        <v>-16129861372069.781</v>
      </c>
      <c r="AA45" s="15">
        <f t="shared" si="35"/>
        <v>1.489292951597837E+22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3459355206463252.5</v>
      </c>
      <c r="I46" s="40">
        <f t="shared" si="26"/>
        <v>2.4641399167409426E+19</v>
      </c>
      <c r="J46" s="21">
        <f>-(Données!I$44*1E-24*H46+Données!F$44)*I46+(Données!H$49*1E-24*H46*S46)*0.71+Données!H$50*1E-24*H46*W46</f>
        <v>31321613655.591141</v>
      </c>
      <c r="K46" s="42">
        <f t="shared" si="27"/>
        <v>1.9959237023688774E+21</v>
      </c>
      <c r="L46" s="23">
        <f>-(Données!I$45*1E-24*H46+Données!F$45)*K46+(I46*Données!H$44*1E-24*H46)+(Données!H$51*1E-24*H46)*Y46</f>
        <v>-1732678752265.7402</v>
      </c>
      <c r="M46" s="40">
        <f t="shared" si="28"/>
        <v>8.3567675359296265E+20</v>
      </c>
      <c r="N46" s="21">
        <f>-(Données!I$46*1E-24*H46+Données!F$46)*M46+Données!H$45*1E-24*H46*K46</f>
        <v>661702652354.9209</v>
      </c>
      <c r="O46" s="42">
        <f t="shared" si="29"/>
        <v>1.1990596256101496E+20</v>
      </c>
      <c r="P46" s="23">
        <f>-(Données!I$47*1E-24*H46+Données!F$47)*O46+(Données!H$46*1E-24*H46)*M46</f>
        <v>-61921049871.720215</v>
      </c>
      <c r="Q46" s="40">
        <f t="shared" si="30"/>
        <v>6.0589934599117898E+19</v>
      </c>
      <c r="R46" s="43">
        <f>-(Données!I$48*1E-24*H46+Données!F$48)*Q46+Données!H$47*1E-24*H46*O46+(Données!H$49*1E-24*H46*S46)*0.85*0.16</f>
        <v>53725562612.34655</v>
      </c>
      <c r="S46" s="42">
        <f t="shared" si="31"/>
        <v>3.024188791161729E+19</v>
      </c>
      <c r="T46" s="22">
        <f>-(Données!I$49*1E-24*H46+Données!F$49)*S46+Données!F$47*O46</f>
        <v>-26131544223.372009</v>
      </c>
      <c r="U46" s="28">
        <f t="shared" si="32"/>
        <v>3.0669796402009997E+21</v>
      </c>
      <c r="V46" s="19"/>
      <c r="W46" s="40">
        <f t="shared" si="33"/>
        <v>3.4459951892159361E+19</v>
      </c>
      <c r="X46" s="21">
        <f>-(Données!I$50*1E-24*H46+Données!F$50)*W46+Données!F$45*K46</f>
        <v>-278926488032.23541</v>
      </c>
      <c r="Y46" s="42">
        <f t="shared" si="34"/>
        <v>1.481533124313303E+22</v>
      </c>
      <c r="Z46" s="23">
        <f>-(Données!I$51*1E-24*H46+Données!F$51)*Y46+Données!F$48*Q46</f>
        <v>-16083842642996.07</v>
      </c>
      <c r="AA46" s="15">
        <f t="shared" si="35"/>
        <v>1.484979119502519E+22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3459355206463252.5</v>
      </c>
      <c r="I47" s="40">
        <f t="shared" si="26"/>
        <v>2.4723712368096322E+19</v>
      </c>
      <c r="J47" s="21">
        <f>-(Données!I$44*1E-24*H47+Données!F$44)*I47+(Données!H$49*1E-24*H47*S47)*0.71+Données!H$50*1E-24*H47*W47</f>
        <v>29202772423.958496</v>
      </c>
      <c r="K47" s="42">
        <f t="shared" si="27"/>
        <v>1.9913702226079232E+21</v>
      </c>
      <c r="L47" s="23">
        <f>-(Données!I$45*1E-24*H47+Données!F$45)*K47+(I47*Données!H$44*1E-24*H47)+(Données!H$51*1E-24*H47)*Y47</f>
        <v>-1736227698630.2168</v>
      </c>
      <c r="M47" s="40">
        <f t="shared" si="28"/>
        <v>8.3741570816335138E+20</v>
      </c>
      <c r="N47" s="21">
        <f>-(Données!I$46*1E-24*H47+Données!F$46)*M47+Données!H$45*1E-24*H47*K47</f>
        <v>649222942764.27393</v>
      </c>
      <c r="O47" s="42">
        <f t="shared" si="29"/>
        <v>1.1974323404195208E+20</v>
      </c>
      <c r="P47" s="23">
        <f>-(Données!I$47*1E-24*H47+Données!F$47)*O47+(Données!H$46*1E-24*H47)*M47</f>
        <v>-57299560548.499512</v>
      </c>
      <c r="Q47" s="40">
        <f t="shared" si="30"/>
        <v>6.0731125377663148E+19</v>
      </c>
      <c r="R47" s="43">
        <f>-(Données!I$48*1E-24*H47+Données!F$48)*Q47+Données!H$47*1E-24*H47*O47+(Données!H$49*1E-24*H47*S47)*0.85*0.16</f>
        <v>53052562717.882858</v>
      </c>
      <c r="S47" s="42">
        <f t="shared" si="31"/>
        <v>3.017321421339827E+19</v>
      </c>
      <c r="T47" s="22">
        <f>-(Données!I$49*1E-24*H47+Données!F$49)*S47+Données!F$47*O47</f>
        <v>-25904107794.618225</v>
      </c>
      <c r="U47" s="28">
        <f t="shared" si="32"/>
        <v>3.0641572167723841E+21</v>
      </c>
      <c r="V47" s="19"/>
      <c r="W47" s="40">
        <f t="shared" si="33"/>
        <v>3.3726933081610646E+19</v>
      </c>
      <c r="X47" s="21">
        <f>-(Données!I$50*1E-24*H47+Données!F$50)*W47+Données!F$45*K47</f>
        <v>-272958717529.88931</v>
      </c>
      <c r="Y47" s="42">
        <f t="shared" si="34"/>
        <v>1.4773062904667236E+22</v>
      </c>
      <c r="Z47" s="23">
        <f>-(Données!I$51*1E-24*H47+Données!F$51)*Y47+Données!F$48*Q47</f>
        <v>-16037955206109.242</v>
      </c>
      <c r="AA47" s="15">
        <f t="shared" si="35"/>
        <v>1.4806789837748846E+22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3459355206463252.5</v>
      </c>
      <c r="I48" s="40">
        <f t="shared" si="26"/>
        <v>2.4800457254026486E+19</v>
      </c>
      <c r="J48" s="21">
        <f>-(Données!I$44*1E-24*H48+Données!F$44)*I48+(Données!H$49*1E-24*H48*S48)*0.71+Données!H$50*1E-24*H48*W48</f>
        <v>27149742695.282631</v>
      </c>
      <c r="K48" s="42">
        <f t="shared" si="27"/>
        <v>1.9868074162159231E+21</v>
      </c>
      <c r="L48" s="23">
        <f>-(Données!I$45*1E-24*H48+Données!F$45)*K48+(I48*Données!H$44*1E-24*H48)+(Données!H$51*1E-24*H48)*Y48</f>
        <v>-1739604458686.5195</v>
      </c>
      <c r="M48" s="40">
        <f t="shared" si="28"/>
        <v>8.3912186605693593E+20</v>
      </c>
      <c r="N48" s="21">
        <f>-(Données!I$46*1E-24*H48+Données!F$46)*M48+Données!H$45*1E-24*H48*K48</f>
        <v>636827083557.42383</v>
      </c>
      <c r="O48" s="42">
        <f t="shared" si="29"/>
        <v>1.1959265079683062E+20</v>
      </c>
      <c r="P48" s="23">
        <f>-(Données!I$47*1E-24*H48+Données!F$47)*O48+(Données!H$46*1E-24*H48)*M48</f>
        <v>-52869819873.279297</v>
      </c>
      <c r="Q48" s="40">
        <f t="shared" si="30"/>
        <v>6.0870547512485741E+19</v>
      </c>
      <c r="R48" s="43">
        <f>-(Données!I$48*1E-24*H48+Données!F$48)*Q48+Données!H$47*1E-24*H48*O48+(Données!H$49*1E-24*H48*S48)*0.85*0.16</f>
        <v>52403500343.281853</v>
      </c>
      <c r="S48" s="42">
        <f t="shared" si="31"/>
        <v>3.0105138218114015E+19</v>
      </c>
      <c r="T48" s="22">
        <f>-(Données!I$49*1E-24*H48+Données!F$49)*S48+Données!F$47*O48</f>
        <v>-25662188887.278748</v>
      </c>
      <c r="U48" s="28">
        <f t="shared" si="32"/>
        <v>3.0612980760543164E+21</v>
      </c>
      <c r="V48" s="19"/>
      <c r="W48" s="40">
        <f t="shared" si="33"/>
        <v>3.3009597571942097E+19</v>
      </c>
      <c r="X48" s="21">
        <f>-(Données!I$50*1E-24*H48+Données!F$50)*W48+Données!F$45*K48</f>
        <v>-267118727753.96201</v>
      </c>
      <c r="Y48" s="42">
        <f t="shared" si="34"/>
        <v>1.473091515838558E+22</v>
      </c>
      <c r="Z48" s="23">
        <f>-(Données!I$51*1E-24*H48+Données!F$51)*Y48+Données!F$48*Q48</f>
        <v>-15992198686827.018</v>
      </c>
      <c r="AA48" s="15">
        <f t="shared" si="35"/>
        <v>1.4763924755957523E+22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3459355206463252.5</v>
      </c>
      <c r="I49" s="40">
        <f t="shared" si="26"/>
        <v>2.4871806777829687E+19</v>
      </c>
      <c r="J49" s="21">
        <f>-(Données!I$44*1E-24*H49+Données!F$44)*I49+(Données!H$49*1E-24*H49*S49)*0.71+Données!H$50*1E-24*H49*W49</f>
        <v>25160986461.400345</v>
      </c>
      <c r="K49" s="42">
        <f t="shared" si="27"/>
        <v>1.982235735698495E+21</v>
      </c>
      <c r="L49" s="23">
        <f>-(Données!I$45*1E-24*H49+Données!F$45)*K49+(I49*Données!H$44*1E-24*H49)+(Données!H$51*1E-24*H49)*Y49</f>
        <v>-1742812520776.8125</v>
      </c>
      <c r="M49" s="40">
        <f t="shared" si="28"/>
        <v>8.4079544763252487E+20</v>
      </c>
      <c r="N49" s="21">
        <f>-(Données!I$46*1E-24*H49+Données!F$46)*M49+Données!H$45*1E-24*H49*K49</f>
        <v>624515131770.96875</v>
      </c>
      <c r="O49" s="42">
        <f t="shared" si="29"/>
        <v>1.1945370891020365E+20</v>
      </c>
      <c r="P49" s="23">
        <f>-(Données!I$47*1E-24*H49+Données!F$47)*O49+(Données!H$46*1E-24*H49)*M49</f>
        <v>-48625673096.19165</v>
      </c>
      <c r="Q49" s="40">
        <f t="shared" si="30"/>
        <v>6.1008263911387881E+19</v>
      </c>
      <c r="R49" s="43">
        <f>-(Données!I$48*1E-24*H49+Données!F$48)*Q49+Données!H$47*1E-24*H49*O49+(Données!H$49*1E-24*H49*S49)*0.85*0.16</f>
        <v>51777459404.920441</v>
      </c>
      <c r="S49" s="42">
        <f t="shared" si="31"/>
        <v>3.0037697985718247E+19</v>
      </c>
      <c r="T49" s="22">
        <f>-(Données!I$49*1E-24*H49+Données!F$49)*S49+Données!F$47*O49</f>
        <v>-25406825109.761322</v>
      </c>
      <c r="U49" s="28">
        <f t="shared" si="32"/>
        <v>3.0584026609161591E+21</v>
      </c>
      <c r="V49" s="19"/>
      <c r="W49" s="40">
        <f t="shared" si="33"/>
        <v>3.2307609555404685E+19</v>
      </c>
      <c r="X49" s="21">
        <f>-(Données!I$50*1E-24*H49+Données!F$50)*W49+Données!F$45*K49</f>
        <v>-261403782458.24384</v>
      </c>
      <c r="Y49" s="42">
        <f t="shared" si="34"/>
        <v>1.4688887660236599E+22</v>
      </c>
      <c r="Z49" s="23">
        <f>-(Données!I$51*1E-24*H49+Données!F$51)*Y49+Données!F$48*Q49</f>
        <v>-15946572711635.945</v>
      </c>
      <c r="AA49" s="15">
        <f t="shared" si="35"/>
        <v>1.4721195269792004E+22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3459355206463252.5</v>
      </c>
      <c r="I50" s="40">
        <f t="shared" si="26"/>
        <v>2.4937929850250248E+19</v>
      </c>
      <c r="J50" s="21">
        <f>-(Données!I$44*1E-24*H50+Données!F$44)*I50+(Données!H$49*1E-24*H50*S50)*0.71+Données!H$50*1E-24*H50*W50</f>
        <v>23234992851.353767</v>
      </c>
      <c r="K50" s="42">
        <f t="shared" si="27"/>
        <v>1.9776556243938936E+21</v>
      </c>
      <c r="L50" s="23">
        <f>-(Données!I$45*1E-24*H50+Données!F$45)*K50+(I50*Données!H$44*1E-24*H50)+(Données!H$51*1E-24*H50)*Y50</f>
        <v>-1745855308976.7168</v>
      </c>
      <c r="M50" s="40">
        <f t="shared" si="28"/>
        <v>8.42436673398819E+20</v>
      </c>
      <c r="N50" s="21">
        <f>-(Données!I$46*1E-24*H50+Données!F$46)*M50+Données!H$45*1E-24*H50*K50</f>
        <v>612287129400.80273</v>
      </c>
      <c r="O50" s="42">
        <f t="shared" si="29"/>
        <v>1.1932592064130685E+20</v>
      </c>
      <c r="P50" s="23">
        <f>-(Données!I$47*1E-24*H50+Données!F$47)*O50+(Données!H$46*1E-24*H50)*M50</f>
        <v>-44561151615.35376</v>
      </c>
      <c r="Q50" s="40">
        <f t="shared" si="30"/>
        <v>6.1144335074704015E+19</v>
      </c>
      <c r="R50" s="43">
        <f>-(Données!I$48*1E-24*H50+Données!F$48)*Q50+Données!H$47*1E-24*H50*O50+(Données!H$49*1E-24*H50*S50)*0.85*0.16</f>
        <v>51173553031.064331</v>
      </c>
      <c r="S50" s="42">
        <f t="shared" si="31"/>
        <v>2.9970928849329795E+19</v>
      </c>
      <c r="T50" s="22">
        <f>-(Données!I$49*1E-24*H50+Données!F$49)*S50+Données!F$47*O50</f>
        <v>-25139010307.847229</v>
      </c>
      <c r="U50" s="28">
        <f t="shared" si="32"/>
        <v>3.0554714122083033E+21</v>
      </c>
      <c r="V50" s="19"/>
      <c r="W50" s="40">
        <f t="shared" si="33"/>
        <v>3.1620640415104422E+19</v>
      </c>
      <c r="X50" s="21">
        <f>-(Données!I$50*1E-24*H50+Données!F$50)*W50+Données!F$45*K50</f>
        <v>-255811203988.94885</v>
      </c>
      <c r="Y50" s="42">
        <f t="shared" si="34"/>
        <v>1.4646980067150419E+22</v>
      </c>
      <c r="Z50" s="23">
        <f>-(Données!I$51*1E-24*H50+Données!F$51)*Y50+Données!F$48*Q50</f>
        <v>-15901076908088.357</v>
      </c>
      <c r="AA50" s="15">
        <f t="shared" si="35"/>
        <v>1.4678600707565523E+22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3459355206463252.5</v>
      </c>
      <c r="I51" s="40">
        <f t="shared" si="26"/>
        <v>2.4998991411463606E+19</v>
      </c>
      <c r="J51" s="21">
        <f>-(Données!I$44*1E-24*H51+Données!F$44)*I51+(Données!H$49*1E-24*H51*S51)*0.71+Données!H$50*1E-24*H51*W51</f>
        <v>21370277881.806412</v>
      </c>
      <c r="K51" s="42">
        <f t="shared" si="27"/>
        <v>1.9730675166419029E+21</v>
      </c>
      <c r="L51" s="23">
        <f>-(Données!I$45*1E-24*H51+Données!F$45)*K51+(I51*Données!H$44*1E-24*H51)+(Données!H$51*1E-24*H51)*Y51</f>
        <v>-1748736184270.791</v>
      </c>
      <c r="M51" s="40">
        <f t="shared" si="28"/>
        <v>8.4404576397488436E+20</v>
      </c>
      <c r="N51" s="21">
        <f>-(Données!I$46*1E-24*H51+Données!F$46)*M51+Données!H$45*1E-24*H51*K51</f>
        <v>600143103789.84814</v>
      </c>
      <c r="O51" s="42">
        <f t="shared" si="29"/>
        <v>1.192088139348617E+20</v>
      </c>
      <c r="P51" s="23">
        <f>-(Données!I$47*1E-24*H51+Données!F$47)*O51+(Données!H$46*1E-24*H51)*M51</f>
        <v>-40670467402.158203</v>
      </c>
      <c r="Q51" s="40">
        <f t="shared" si="30"/>
        <v>6.1278819172069655E+19</v>
      </c>
      <c r="R51" s="43">
        <f>-(Données!I$48*1E-24*H51+Données!F$48)*Q51+Données!H$47*1E-24*H51*O51+(Données!H$49*1E-24*H51*S51)*0.85*0.16</f>
        <v>50590922694.008224</v>
      </c>
      <c r="S51" s="42">
        <f t="shared" si="31"/>
        <v>2.9904863530240774E+19</v>
      </c>
      <c r="T51" s="22">
        <f>-(Données!I$49*1E-24*H51+Données!F$49)*S51+Données!F$47*O51</f>
        <v>-24859696114.322937</v>
      </c>
      <c r="U51" s="28">
        <f t="shared" si="32"/>
        <v>3.0525047686654224E+21</v>
      </c>
      <c r="V51" s="19"/>
      <c r="W51" s="40">
        <f t="shared" si="33"/>
        <v>3.0948368571021464E+19</v>
      </c>
      <c r="X51" s="21">
        <f>-(Données!I$50*1E-24*H51+Données!F$50)*W51+Données!F$45*K51</f>
        <v>-250338372030.07483</v>
      </c>
      <c r="Y51" s="42">
        <f t="shared" si="34"/>
        <v>1.4605192037035963E+22</v>
      </c>
      <c r="Z51" s="23">
        <f>-(Données!I$51*1E-24*H51+Données!F$51)*Y51+Données!F$48*Q51</f>
        <v>-15855710904799.32</v>
      </c>
      <c r="AA51" s="15">
        <f t="shared" si="35"/>
        <v>1.4636140405606985E+22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3459355206463252.5</v>
      </c>
      <c r="I52" s="40">
        <f t="shared" si="26"/>
        <v>2.5055152501736993E+19</v>
      </c>
      <c r="J52" s="21">
        <f>-(Données!I$44*1E-24*H52+Données!F$44)*I52+(Données!H$49*1E-24*H52*S52)*0.71+Données!H$50*1E-24*H52*W52</f>
        <v>19565384200.60556</v>
      </c>
      <c r="K52" s="42">
        <f t="shared" si="27"/>
        <v>1.9684718379496393E+21</v>
      </c>
      <c r="L52" s="23">
        <f>-(Données!I$45*1E-24*H52+Données!F$45)*K52+(I52*Données!H$44*1E-24*H52)+(Données!H$51*1E-24*H52)*Y52</f>
        <v>-1751458445705.4043</v>
      </c>
      <c r="M52" s="40">
        <f t="shared" si="28"/>
        <v>8.4562294005164409E+20</v>
      </c>
      <c r="N52" s="21">
        <f>-(Données!I$46*1E-24*H52+Données!F$46)*M52+Données!H$45*1E-24*H52*K52</f>
        <v>588083068007.80957</v>
      </c>
      <c r="O52" s="42">
        <f t="shared" si="29"/>
        <v>1.1910193194652882E+20</v>
      </c>
      <c r="P52" s="23">
        <f>-(Données!I$47*1E-24*H52+Données!F$47)*O52+(Données!H$46*1E-24*H52)*M52</f>
        <v>-36948007593.776855</v>
      </c>
      <c r="Q52" s="40">
        <f t="shared" si="30"/>
        <v>6.1411772116909507E+19</v>
      </c>
      <c r="R52" s="43">
        <f>-(Données!I$48*1E-24*H52+Données!F$48)*Q52+Données!H$47*1E-24*H52*O52+(Données!H$49*1E-24*H52*S52)*0.85*0.16</f>
        <v>50028737367.659882</v>
      </c>
      <c r="S52" s="42">
        <f t="shared" si="31"/>
        <v>2.9839532248852333E+19</v>
      </c>
      <c r="T52" s="22">
        <f>-(Données!I$49*1E-24*H52+Données!F$49)*S52+Données!F$47*O52</f>
        <v>-24569793447.840179</v>
      </c>
      <c r="U52" s="28">
        <f t="shared" si="32"/>
        <v>3.0495031668153107E+21</v>
      </c>
      <c r="V52" s="19"/>
      <c r="W52" s="40">
        <f t="shared" si="33"/>
        <v>3.0290479329326428E+19</v>
      </c>
      <c r="X52" s="21">
        <f>-(Données!I$50*1E-24*H52+Données!F$50)*W52+Données!F$45*K52</f>
        <v>-244982722375.62869</v>
      </c>
      <c r="Y52" s="42">
        <f t="shared" si="34"/>
        <v>1.4563523228778151E+22</v>
      </c>
      <c r="Z52" s="23">
        <f>-(Données!I$51*1E-24*H52+Données!F$51)*Y52+Données!F$48*Q52</f>
        <v>-15810474331443.6</v>
      </c>
      <c r="AA52" s="15">
        <f t="shared" si="35"/>
        <v>1.4593813708107478E+22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3459355206463252.5</v>
      </c>
      <c r="I53" s="40">
        <f t="shared" si="26"/>
        <v>2.5106570331416183E+19</v>
      </c>
      <c r="J53" s="21">
        <f>-(Données!I$44*1E-24*H53+Données!F$44)*I53+(Données!H$49*1E-24*H53*S53)*0.71+Données!H$50*1E-24*H53*W53</f>
        <v>17818880824.031837</v>
      </c>
      <c r="K53" s="42">
        <f t="shared" si="27"/>
        <v>1.9638690051543254E+21</v>
      </c>
      <c r="L53" s="23">
        <f>-(Données!I$45*1E-24*H53+Données!F$45)*K53+(I53*Données!H$44*1E-24*H53)+(Données!H$51*1E-24*H53)*Y53</f>
        <v>-1754025331519.5488</v>
      </c>
      <c r="M53" s="40">
        <f t="shared" si="28"/>
        <v>8.4716842235436859E+20</v>
      </c>
      <c r="N53" s="21">
        <f>-(Données!I$46*1E-24*H53+Données!F$46)*M53+Données!H$45*1E-24*H53*K53</f>
        <v>576107021223.10156</v>
      </c>
      <c r="O53" s="42">
        <f t="shared" si="29"/>
        <v>1.1900483258257238E+20</v>
      </c>
      <c r="P53" s="23">
        <f>-(Données!I$47*1E-24*H53+Données!F$47)*O53+(Données!H$46*1E-24*H53)*M53</f>
        <v>-33388329247.843994</v>
      </c>
      <c r="Q53" s="40">
        <f t="shared" si="30"/>
        <v>6.1543247638711714E+19</v>
      </c>
      <c r="R53" s="43">
        <f>-(Données!I$48*1E-24*H53+Données!F$48)*Q53+Données!H$47*1E-24*H53*O53+(Données!H$49*1E-24*H53*S53)*0.85*0.16</f>
        <v>49486192709.816559</v>
      </c>
      <c r="S53" s="42">
        <f t="shared" si="31"/>
        <v>2.9774962831671407E+19</v>
      </c>
      <c r="T53" s="22">
        <f>-(Données!I$49*1E-24*H53+Données!F$49)*S53+Données!F$47*O53</f>
        <v>-24270173962.604187</v>
      </c>
      <c r="U53" s="28">
        <f t="shared" si="32"/>
        <v>3.0464670408930655E+21</v>
      </c>
      <c r="V53" s="19"/>
      <c r="W53" s="40">
        <f t="shared" si="33"/>
        <v>2.9646664734923276E+19</v>
      </c>
      <c r="X53" s="21">
        <f>-(Données!I$50*1E-24*H53+Données!F$50)*W53+Données!F$45*K53</f>
        <v>-239741745728.1413</v>
      </c>
      <c r="Y53" s="42">
        <f t="shared" si="34"/>
        <v>1.4521973302235117E+22</v>
      </c>
      <c r="Z53" s="23">
        <f>-(Données!I$51*1E-24*H53+Données!F$51)*Y53+Données!F$48*Q53</f>
        <v>-15765366818752.629</v>
      </c>
      <c r="AA53" s="15">
        <f t="shared" si="35"/>
        <v>1.4551619966970041E+22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3459355206463252.5</v>
      </c>
      <c r="I54" s="40">
        <f t="shared" si="26"/>
        <v>2.5153398350221738E+19</v>
      </c>
      <c r="J54" s="21">
        <f>-(Données!I$44*1E-24*H54+Données!F$44)*I54+(Données!H$49*1E-24*H54*S54)*0.71+Données!H$50*1E-24*H54*W54</f>
        <v>16129362868.254425</v>
      </c>
      <c r="K54" s="42">
        <f t="shared" si="27"/>
        <v>1.9592594265830919E+21</v>
      </c>
      <c r="L54" s="23">
        <f>-(Données!I$45*1E-24*H54+Données!F$45)*K54+(I54*Données!H$44*1E-24*H54)+(Données!H$51*1E-24*H54)*Y54</f>
        <v>-1756440020253.9863</v>
      </c>
      <c r="M54" s="40">
        <f t="shared" si="28"/>
        <v>8.4868243160614293E+20</v>
      </c>
      <c r="N54" s="21">
        <f>-(Données!I$46*1E-24*H54+Données!F$46)*M54+Données!H$45*1E-24*H54*K54</f>
        <v>564214949067.10498</v>
      </c>
      <c r="O54" s="42">
        <f t="shared" si="29"/>
        <v>1.1891708805330905E+20</v>
      </c>
      <c r="P54" s="23">
        <f>-(Données!I$47*1E-24*H54+Données!F$47)*O54+(Données!H$46*1E-24*H54)*M54</f>
        <v>-29986154254.437012</v>
      </c>
      <c r="Q54" s="40">
        <f t="shared" si="30"/>
        <v>6.167329735315311E+19</v>
      </c>
      <c r="R54" s="43">
        <f>-(Données!I$48*1E-24*H54+Données!F$48)*Q54+Données!H$47*1E-24*H54*O54+(Données!H$49*1E-24*H54*S54)*0.85*0.16</f>
        <v>48962510268.407486</v>
      </c>
      <c r="S54" s="42">
        <f t="shared" si="31"/>
        <v>2.9711180814497681E+19</v>
      </c>
      <c r="T54" s="22">
        <f>-(Données!I$49*1E-24*H54+Données!F$49)*S54+Données!F$47*O54</f>
        <v>-23961671450.442902</v>
      </c>
      <c r="U54" s="28">
        <f t="shared" si="32"/>
        <v>3.0433968227604161E+21</v>
      </c>
      <c r="V54" s="19"/>
      <c r="W54" s="40">
        <f t="shared" si="33"/>
        <v>2.9016623427149722E+19</v>
      </c>
      <c r="X54" s="21">
        <f>-(Données!I$50*1E-24*H54+Données!F$50)*W54+Données!F$45*K54</f>
        <v>-234612986522.9097</v>
      </c>
      <c r="Y54" s="42">
        <f t="shared" si="34"/>
        <v>1.4480541918235434E+22</v>
      </c>
      <c r="Z54" s="23">
        <f>-(Données!I$51*1E-24*H54+Données!F$51)*Y54+Données!F$48*Q54</f>
        <v>-15720387998511.498</v>
      </c>
      <c r="AA54" s="15">
        <f t="shared" si="35"/>
        <v>1.4509558541662584E+22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3459355206463252.5</v>
      </c>
      <c r="I55" s="40">
        <f t="shared" si="26"/>
        <v>2.5195786315839513E+19</v>
      </c>
      <c r="J55" s="21">
        <f>-(Données!I$44*1E-24*H55+Données!F$44)*I55+(Données!H$49*1E-24*H55*S55)*0.71+Données!H$50*1E-24*H55*W55</f>
        <v>14495451275.486557</v>
      </c>
      <c r="K55" s="42">
        <f t="shared" si="27"/>
        <v>1.9546435022098643E+21</v>
      </c>
      <c r="L55" s="23">
        <f>-(Données!I$45*1E-24*H55+Données!F$45)*K55+(I55*Données!H$44*1E-24*H55)+(Données!H$51*1E-24*H55)*Y55</f>
        <v>-1758705631839.2852</v>
      </c>
      <c r="M55" s="40">
        <f t="shared" si="28"/>
        <v>8.5016518849229134E+20</v>
      </c>
      <c r="N55" s="21">
        <f>-(Données!I$46*1E-24*H55+Données!F$46)*M55+Données!H$45*1E-24*H55*K55</f>
        <v>552406823990.90283</v>
      </c>
      <c r="O55" s="42">
        <f t="shared" si="29"/>
        <v>1.1883828443992839E+20</v>
      </c>
      <c r="P55" s="23">
        <f>-(Données!I$47*1E-24*H55+Données!F$47)*O55+(Données!H$46*1E-24*H55)*M55</f>
        <v>-26736364400.631104</v>
      </c>
      <c r="Q55" s="40">
        <f t="shared" si="30"/>
        <v>6.1801970830138483E+19</v>
      </c>
      <c r="R55" s="43">
        <f>-(Données!I$48*1E-24*H55+Données!F$48)*Q55+Données!H$47*1E-24*H55*O55+(Données!H$49*1E-24*H55*S55)*0.85*0.16</f>
        <v>48456936710.995216</v>
      </c>
      <c r="S55" s="42">
        <f t="shared" si="31"/>
        <v>2.9648209541925917E+19</v>
      </c>
      <c r="T55" s="22">
        <f>-(Données!I$49*1E-24*H55+Données!F$49)*S55+Données!F$47*O55</f>
        <v>-23645083196.760162</v>
      </c>
      <c r="U55" s="28">
        <f t="shared" si="32"/>
        <v>3.0402929418299879E+21</v>
      </c>
      <c r="V55" s="19"/>
      <c r="W55" s="40">
        <f t="shared" si="33"/>
        <v>2.8400060498567516E+19</v>
      </c>
      <c r="X55" s="21">
        <f>-(Données!I$50*1E-24*H55+Données!F$50)*W55+Données!F$45*K55</f>
        <v>-229594041777.41519</v>
      </c>
      <c r="Y55" s="42">
        <f t="shared" si="34"/>
        <v>1.4439228738575345E+22</v>
      </c>
      <c r="Z55" s="23">
        <f>-(Données!I$51*1E-24*H55+Données!F$51)*Y55+Données!F$48*Q55</f>
        <v>-15675537503555.936</v>
      </c>
      <c r="AA55" s="15">
        <f t="shared" si="35"/>
        <v>1.4467628799073913E+22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3459355206463252.5</v>
      </c>
      <c r="I56" s="40">
        <f t="shared" si="26"/>
        <v>2.5233880361791492E+19</v>
      </c>
      <c r="J56" s="21">
        <f>-(Données!I$44*1E-24*H56+Données!F$44)*I56+(Données!H$49*1E-24*H56*S56)*0.71+Données!H$50*1E-24*H56*W56</f>
        <v>12915792535.314209</v>
      </c>
      <c r="K56" s="42">
        <f t="shared" si="27"/>
        <v>1.9500216238093907E+21</v>
      </c>
      <c r="L56" s="23">
        <f>-(Données!I$45*1E-24*H56+Données!F$45)*K56+(I56*Données!H$44*1E-24*H56)+(Données!H$51*1E-24*H56)*Y56</f>
        <v>-1760825228663.1113</v>
      </c>
      <c r="M56" s="40">
        <f t="shared" si="28"/>
        <v>8.5161691362573943E+20</v>
      </c>
      <c r="N56" s="21">
        <f>-(Données!I$46*1E-24*H56+Données!F$46)*M56+Données!H$45*1E-24*H56*K56</f>
        <v>540682605614.64697</v>
      </c>
      <c r="O56" s="42">
        <f t="shared" si="29"/>
        <v>1.1876802127428352E+20</v>
      </c>
      <c r="P56" s="23">
        <f>-(Données!I$47*1E-24*H56+Données!F$47)*O56+(Données!H$46*1E-24*H56)*M56</f>
        <v>-23633996583.029541</v>
      </c>
      <c r="Q56" s="40">
        <f t="shared" si="30"/>
        <v>6.1929315659814978E+19</v>
      </c>
      <c r="R56" s="43">
        <f>-(Données!I$48*1E-24*H56+Données!F$48)*Q56+Données!H$47*1E-24*H56*O56+(Données!H$49*1E-24*H56*S56)*0.85*0.16</f>
        <v>47968743076.850357</v>
      </c>
      <c r="S56" s="42">
        <f t="shared" si="31"/>
        <v>2.958607026328483E+19</v>
      </c>
      <c r="T56" s="22">
        <f>-(Données!I$49*1E-24*H56+Données!F$49)*S56+Données!F$47*O56</f>
        <v>-23321171291.830688</v>
      </c>
      <c r="U56" s="28">
        <f t="shared" si="32"/>
        <v>3.0371558249943049E+21</v>
      </c>
      <c r="V56" s="19"/>
      <c r="W56" s="40">
        <f t="shared" si="33"/>
        <v>2.7796687356776468E+19</v>
      </c>
      <c r="X56" s="21">
        <f>-(Données!I$50*1E-24*H56+Données!F$50)*W56+Données!F$45*K56</f>
        <v>-224682559965.37848</v>
      </c>
      <c r="Y56" s="42">
        <f t="shared" si="34"/>
        <v>1.4398033426015999E+22</v>
      </c>
      <c r="Z56" s="23">
        <f>-(Données!I$51*1E-24*H56+Données!F$51)*Y56+Données!F$48*Q56</f>
        <v>-15630814967769.314</v>
      </c>
      <c r="AA56" s="15">
        <f t="shared" si="35"/>
        <v>1.4425830113372776E+22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3459355206463252.5</v>
      </c>
      <c r="I57" s="40">
        <f t="shared" si="26"/>
        <v>2.5267823064574296E+19</v>
      </c>
      <c r="J57" s="21">
        <f>-(Données!I$44*1E-24*H57+Données!F$44)*I57+(Données!H$49*1E-24*H57*S57)*0.71+Données!H$50*1E-24*H57*W57</f>
        <v>11389058401.649681</v>
      </c>
      <c r="K57" s="42">
        <f t="shared" si="27"/>
        <v>1.945394175108464E+21</v>
      </c>
      <c r="L57" s="23">
        <f>-(Données!I$45*1E-24*H57+Données!F$45)*K57+(I57*Données!H$44*1E-24*H57)+(Données!H$51*1E-24*H57)*Y57</f>
        <v>-1762801816617.2695</v>
      </c>
      <c r="M57" s="40">
        <f t="shared" si="28"/>
        <v>8.5303782751329478E+20</v>
      </c>
      <c r="N57" s="21">
        <f>-(Données!I$46*1E-24*H57+Données!F$46)*M57+Données!H$45*1E-24*H57*K57</f>
        <v>529042241069.69678</v>
      </c>
      <c r="O57" s="42">
        <f t="shared" si="29"/>
        <v>1.1870591113126332E+20</v>
      </c>
      <c r="P57" s="23">
        <f>-(Données!I$47*1E-24*H57+Données!F$47)*O57+(Données!H$46*1E-24*H57)*M57</f>
        <v>-20674238163.825684</v>
      </c>
      <c r="Q57" s="40">
        <f t="shared" si="30"/>
        <v>6.2055377516620939E+19</v>
      </c>
      <c r="R57" s="43">
        <f>-(Données!I$48*1E-24*H57+Données!F$48)*Q57+Données!H$47*1E-24*H57*O57+(Données!H$49*1E-24*H57*S57)*0.85*0.16</f>
        <v>47497224050.93589</v>
      </c>
      <c r="S57" s="42">
        <f t="shared" si="31"/>
        <v>2.9524782225129898E+19</v>
      </c>
      <c r="T57" s="22">
        <f>-(Données!I$49*1E-24*H57+Données!F$49)*S57+Données!F$47*O57</f>
        <v>-22990663898.848206</v>
      </c>
      <c r="U57" s="28">
        <f t="shared" si="32"/>
        <v>3.0339858965593472E+21</v>
      </c>
      <c r="V57" s="19"/>
      <c r="W57" s="40">
        <f t="shared" si="33"/>
        <v>2.7206221589187453E+19</v>
      </c>
      <c r="X57" s="21">
        <f>-(Données!I$50*1E-24*H57+Données!F$50)*W57+Données!F$45*K57</f>
        <v>-219876239914.92426</v>
      </c>
      <c r="Y57" s="42">
        <f t="shared" si="34"/>
        <v>1.4356955644280701E+22</v>
      </c>
      <c r="Z57" s="23">
        <f>-(Données!I$51*1E-24*H57+Données!F$51)*Y57+Données!F$48*Q57</f>
        <v>-15586220026079.656</v>
      </c>
      <c r="AA57" s="15">
        <f t="shared" si="35"/>
        <v>1.4384161865869889E+22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3459355206463252.5</v>
      </c>
      <c r="I58" s="40">
        <f t="shared" si="26"/>
        <v>2.5297753510053831E+19</v>
      </c>
      <c r="J58" s="21">
        <f>-(Données!I$44*1E-24*H58+Données!F$44)*I58+(Données!H$49*1E-24*H58*S58)*0.71+Données!H$50*1E-24*H58*W58</f>
        <v>9913945605.7413483</v>
      </c>
      <c r="K58" s="42">
        <f t="shared" si="27"/>
        <v>1.9407615319343938E+21</v>
      </c>
      <c r="L58" s="23">
        <f>-(Données!I$45*1E-24*H58+Données!F$45)*K58+(I58*Données!H$44*1E-24*H58)+(Données!H$51*1E-24*H58)*Y58</f>
        <v>-1764638346124.9141</v>
      </c>
      <c r="M58" s="40">
        <f t="shared" si="28"/>
        <v>8.5442815052282593E+20</v>
      </c>
      <c r="N58" s="21">
        <f>-(Données!I$46*1E-24*H58+Données!F$46)*M58+Données!H$45*1E-24*H58*K58</f>
        <v>517485665333.6709</v>
      </c>
      <c r="O58" s="42">
        <f t="shared" si="29"/>
        <v>1.1865157923336878E+20</v>
      </c>
      <c r="P58" s="23">
        <f>-(Données!I$47*1E-24*H58+Données!F$47)*O58+(Données!H$46*1E-24*H58)*M58</f>
        <v>-17852422466.075684</v>
      </c>
      <c r="Q58" s="40">
        <f t="shared" si="30"/>
        <v>6.2180200221426803E+19</v>
      </c>
      <c r="R58" s="43">
        <f>-(Données!I$48*1E-24*H58+Données!F$48)*Q58+Données!H$47*1E-24*H58*O58+(Données!H$49*1E-24*H58*S58)*0.85*0.16</f>
        <v>47041697259.154739</v>
      </c>
      <c r="S58" s="42">
        <f t="shared" si="31"/>
        <v>2.9464362760403726E+19</v>
      </c>
      <c r="T58" s="22">
        <f>-(Données!I$49*1E-24*H58+Données!F$49)*S58+Données!F$47*O58</f>
        <v>-22654256480.095856</v>
      </c>
      <c r="U58" s="28">
        <f t="shared" si="32"/>
        <v>3.0307835781824732E+21</v>
      </c>
      <c r="V58" s="19"/>
      <c r="W58" s="40">
        <f t="shared" si="33"/>
        <v>2.6628386830691033E+19</v>
      </c>
      <c r="X58" s="21">
        <f>-(Données!I$50*1E-24*H58+Données!F$50)*W58+Données!F$45*K58</f>
        <v>-215172829730.33887</v>
      </c>
      <c r="Y58" s="42">
        <f t="shared" si="34"/>
        <v>1.4315995058052163E+22</v>
      </c>
      <c r="Z58" s="23">
        <f>-(Données!I$51*1E-24*H58+Données!F$51)*Y58+Données!F$48*Q58</f>
        <v>-15541752314456.643</v>
      </c>
      <c r="AA58" s="15">
        <f t="shared" si="35"/>
        <v>1.4342623444882854E+22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3459355206463252.5</v>
      </c>
      <c r="I59" s="40">
        <f t="shared" si="26"/>
        <v>2.532380735910572E+19</v>
      </c>
      <c r="J59" s="21">
        <f>-(Données!I$44*1E-24*H59+Données!F$44)*I59+(Données!H$49*1E-24*H59*S59)*0.71+Données!H$50*1E-24*H59*W59</f>
        <v>8489175565.6509399</v>
      </c>
      <c r="K59" s="42">
        <f t="shared" si="27"/>
        <v>1.9361240623607775E+21</v>
      </c>
      <c r="L59" s="23">
        <f>-(Données!I$45*1E-24*H59+Données!F$45)*K59+(I59*Données!H$44*1E-24*H59)+(Données!H$51*1E-24*H59)*Y59</f>
        <v>-1766337713148.3086</v>
      </c>
      <c r="M59" s="40">
        <f t="shared" si="28"/>
        <v>8.5578810285132284E+20</v>
      </c>
      <c r="N59" s="21">
        <f>-(Données!I$46*1E-24*H59+Données!F$46)*M59+Données!H$45*1E-24*H59*K59</f>
        <v>506012801558.55664</v>
      </c>
      <c r="O59" s="42">
        <f t="shared" si="29"/>
        <v>1.1860466306712794E+20</v>
      </c>
      <c r="P59" s="23">
        <f>-(Données!I$47*1E-24*H59+Données!F$47)*O59+(Données!H$46*1E-24*H59)*M59</f>
        <v>-15164024403.999023</v>
      </c>
      <c r="Q59" s="40">
        <f t="shared" si="30"/>
        <v>6.2303825801823863E+19</v>
      </c>
      <c r="R59" s="43">
        <f>-(Données!I$48*1E-24*H59+Données!F$48)*Q59+Données!H$47*1E-24*H59*O59+(Données!H$49*1E-24*H59*S59)*0.85*0.16</f>
        <v>46601502584.23571</v>
      </c>
      <c r="S59" s="42">
        <f t="shared" si="31"/>
        <v>2.9404827374374035E+19</v>
      </c>
      <c r="T59" s="22">
        <f>-(Données!I$49*1E-24*H59+Données!F$49)*S59+Données!F$47*O59</f>
        <v>-22312612982.564453</v>
      </c>
      <c r="U59" s="28">
        <f t="shared" si="32"/>
        <v>3.0275492888145324E+21</v>
      </c>
      <c r="V59" s="19"/>
      <c r="W59" s="40">
        <f t="shared" si="33"/>
        <v>2.6062912634159702E+19</v>
      </c>
      <c r="X59" s="21">
        <f>-(Données!I$50*1E-24*H59+Données!F$50)*W59+Données!F$45*K59</f>
        <v>-210570125736.9165</v>
      </c>
      <c r="Y59" s="42">
        <f t="shared" si="34"/>
        <v>1.427515133296977E+22</v>
      </c>
      <c r="Z59" s="23">
        <f>-(Données!I$51*1E-24*H59+Données!F$51)*Y59+Données!F$48*Q59</f>
        <v>-15497411469908.645</v>
      </c>
      <c r="AA59" s="15">
        <f t="shared" si="35"/>
        <v>1.430121424560393E+22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3459355206463252.5</v>
      </c>
      <c r="I60" s="40">
        <f t="shared" si="26"/>
        <v>2.5346116912492249E+19</v>
      </c>
      <c r="J60" s="21">
        <f>-(Données!I$44*1E-24*H60+Données!F$44)*I60+(Données!H$49*1E-24*H60*S60)*0.71+Données!H$50*1E-24*H60*W60</f>
        <v>7113494092.591629</v>
      </c>
      <c r="K60" s="42">
        <f t="shared" si="27"/>
        <v>1.9314821268506238E+21</v>
      </c>
      <c r="L60" s="23">
        <f>-(Données!I$45*1E-24*H60+Données!F$45)*K60+(I60*Données!H$44*1E-24*H60)+(Données!H$51*1E-24*H60)*Y60</f>
        <v>-1767902760177.6113</v>
      </c>
      <c r="M60" s="40">
        <f t="shared" si="28"/>
        <v>8.5711790449381868E+20</v>
      </c>
      <c r="N60" s="21">
        <f>-(Données!I$46*1E-24*H60+Données!F$46)*M60+Données!H$45*1E-24*H60*K60</f>
        <v>494623561392.00732</v>
      </c>
      <c r="O60" s="42">
        <f t="shared" si="29"/>
        <v>1.1856481201099424E+20</v>
      </c>
      <c r="P60" s="23">
        <f>-(Données!I$47*1E-24*H60+Données!F$47)*O60+(Données!H$46*1E-24*H60)*M60</f>
        <v>-12604656244.24585</v>
      </c>
      <c r="Q60" s="40">
        <f t="shared" si="30"/>
        <v>6.2426294550615237E+19</v>
      </c>
      <c r="R60" s="43">
        <f>-(Données!I$48*1E-24*H60+Données!F$48)*Q60+Données!H$47*1E-24*H60*O60+(Données!H$49*1E-24*H60*S60)*0.85*0.16</f>
        <v>46176001501.649422</v>
      </c>
      <c r="S60" s="42">
        <f t="shared" si="31"/>
        <v>2.9346189827455857E+19</v>
      </c>
      <c r="T60" s="22">
        <f>-(Données!I$49*1E-24*H60+Données!F$49)*S60+Données!F$47*O60</f>
        <v>-21966366984.303192</v>
      </c>
      <c r="U60" s="28">
        <f t="shared" si="32"/>
        <v>3.0242834446459999E+21</v>
      </c>
      <c r="V60" s="19"/>
      <c r="W60" s="40">
        <f t="shared" si="33"/>
        <v>2.5509534343723086E+19</v>
      </c>
      <c r="X60" s="21">
        <f>-(Données!I$50*1E-24*H60+Données!F$50)*W60+Données!F$45*K60</f>
        <v>-206065971448.39835</v>
      </c>
      <c r="Y60" s="42">
        <f t="shared" si="34"/>
        <v>1.423442413562685E+22</v>
      </c>
      <c r="Z60" s="23">
        <f>-(Données!I$51*1E-24*H60+Données!F$51)*Y60+Données!F$48*Q60</f>
        <v>-15453197130479.76</v>
      </c>
      <c r="AA60" s="15">
        <f t="shared" si="35"/>
        <v>1.4259933669970573E+22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3459355206463252.5</v>
      </c>
      <c r="I61" s="40">
        <f t="shared" si="26"/>
        <v>2.5364811174967579E+19</v>
      </c>
      <c r="J61" s="21">
        <f>-(Données!I$44*1E-24*H61+Données!F$44)*I61+(Données!H$49*1E-24*H61*S61)*0.71+Données!H$50*1E-24*H61*W61</f>
        <v>5785671094.5001602</v>
      </c>
      <c r="K61" s="42">
        <f t="shared" si="27"/>
        <v>1.926836078396877E+21</v>
      </c>
      <c r="L61" s="23">
        <f>-(Données!I$45*1E-24*H61+Données!F$45)*K61+(I61*Données!H$44*1E-24*H61)+(Données!H$51*1E-24*H61)*Y61</f>
        <v>-1769336277201.0156</v>
      </c>
      <c r="M61" s="40">
        <f t="shared" si="28"/>
        <v>8.5841777521315689E+20</v>
      </c>
      <c r="N61" s="21">
        <f>-(Données!I$46*1E-24*H61+Données!F$46)*M61+Données!H$45*1E-24*H61*K61</f>
        <v>483317845291.96436</v>
      </c>
      <c r="O61" s="42">
        <f t="shared" si="29"/>
        <v>1.1853168697438436E+20</v>
      </c>
      <c r="P61" s="23">
        <f>-(Données!I$47*1E-24*H61+Données!F$47)*O61+(Données!H$46*1E-24*H61)*M61</f>
        <v>-10170063494.189941</v>
      </c>
      <c r="Q61" s="40">
        <f t="shared" si="30"/>
        <v>6.2547645082561569E+19</v>
      </c>
      <c r="R61" s="43">
        <f>-(Données!I$48*1E-24*H61+Données!F$48)*Q61+Données!H$47*1E-24*H61*O61+(Données!H$49*1E-24*H61*S61)*0.85*0.16</f>
        <v>45764576434.965904</v>
      </c>
      <c r="S61" s="42">
        <f t="shared" si="31"/>
        <v>2.9288462215021109E+19</v>
      </c>
      <c r="T61" s="22">
        <f>-(Données!I$49*1E-24*H61+Données!F$49)*S61+Données!F$47*O61</f>
        <v>-21616122802.748566</v>
      </c>
      <c r="U61" s="28">
        <f t="shared" si="32"/>
        <v>3.0209864590569683E+21</v>
      </c>
      <c r="V61" s="19"/>
      <c r="W61" s="40">
        <f t="shared" si="33"/>
        <v>2.4967992970756694E+19</v>
      </c>
      <c r="X61" s="21">
        <f>-(Données!I$50*1E-24*H61+Données!F$50)*W61+Données!F$45*K61</f>
        <v>-201658256556.52213</v>
      </c>
      <c r="Y61" s="42">
        <f t="shared" si="34"/>
        <v>1.4193813133567948E+22</v>
      </c>
      <c r="Z61" s="23">
        <f>-(Données!I$51*1E-24*H61+Données!F$51)*Y61+Données!F$48*Q61</f>
        <v>-15409108935246.842</v>
      </c>
      <c r="AA61" s="15">
        <f t="shared" si="35"/>
        <v>1.4218781126538704E+22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3459355206463252.5</v>
      </c>
      <c r="I62" s="40">
        <f t="shared" si="26"/>
        <v>2.5380015918603923E+19</v>
      </c>
      <c r="J62" s="21">
        <f>-(Données!I$44*1E-24*H62+Données!F$44)*I62+(Données!H$49*1E-24*H62*S62)*0.71+Données!H$50*1E-24*H62*W62</f>
        <v>4504500277.2009277</v>
      </c>
      <c r="K62" s="42">
        <f t="shared" si="27"/>
        <v>1.9221862626603927E+21</v>
      </c>
      <c r="L62" s="23">
        <f>-(Données!I$45*1E-24*H62+Données!F$45)*K62+(I62*Données!H$44*1E-24*H62)+(Données!H$51*1E-24*H62)*Y62</f>
        <v>-1770641002656.6621</v>
      </c>
      <c r="M62" s="40">
        <f t="shared" si="28"/>
        <v>8.5968793451058417E+20</v>
      </c>
      <c r="N62" s="21">
        <f>-(Données!I$46*1E-24*H62+Données!F$46)*M62+Données!H$45*1E-24*H62*K62</f>
        <v>472095542834.73242</v>
      </c>
      <c r="O62" s="42">
        <f t="shared" si="29"/>
        <v>1.1850496004752163E+20</v>
      </c>
      <c r="P62" s="23">
        <f>-(Données!I$47*1E-24*H62+Données!F$47)*O62+(Données!H$46*1E-24*H62)*M62</f>
        <v>-7856120913.434082</v>
      </c>
      <c r="Q62" s="40">
        <f t="shared" si="30"/>
        <v>6.2667914389432656E+19</v>
      </c>
      <c r="R62" s="43">
        <f>-(Données!I$48*1E-24*H62+Données!F$48)*Q62+Données!H$47*1E-24*H62*O62+(Données!H$49*1E-24*H62*S62)*0.85*0.16</f>
        <v>45366630130.081329</v>
      </c>
      <c r="S62" s="42">
        <f t="shared" si="31"/>
        <v>2.9231655044295487E+19</v>
      </c>
      <c r="T62" s="22">
        <f>-(Données!I$49*1E-24*H62+Données!F$49)*S62+Données!F$47*O62</f>
        <v>-21262456566.237244</v>
      </c>
      <c r="U62" s="28">
        <f t="shared" si="32"/>
        <v>3.0176587425708303E+21</v>
      </c>
      <c r="V62" s="19"/>
      <c r="W62" s="40">
        <f t="shared" si="33"/>
        <v>2.4438035072526156E+19</v>
      </c>
      <c r="X62" s="21">
        <f>-(Données!I$50*1E-24*H62+Données!F$50)*W62+Données!F$45*K62</f>
        <v>-197344915942.20804</v>
      </c>
      <c r="Y62" s="42">
        <f t="shared" si="34"/>
        <v>1.4153317995286119E+22</v>
      </c>
      <c r="Z62" s="23">
        <f>-(Données!I$51*1E-24*H62+Données!F$51)*Y62+Données!F$48*Q62</f>
        <v>-15365146524316.564</v>
      </c>
      <c r="AA62" s="15">
        <f t="shared" si="35"/>
        <v>1.4177756030358646E+22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3459355206463252.5</v>
      </c>
      <c r="I63" s="40">
        <f t="shared" si="26"/>
        <v>2.5391853745332408E+19</v>
      </c>
      <c r="J63" s="21">
        <f>-(Données!I$44*1E-24*H63+Données!F$44)*I63+(Données!H$49*1E-24*H63*S63)*0.71+Données!H$50*1E-24*H63*W63</f>
        <v>3268798843.5015869</v>
      </c>
      <c r="K63" s="42">
        <f t="shared" si="27"/>
        <v>1.917533018105411E+21</v>
      </c>
      <c r="L63" s="23">
        <f>-(Données!I$45*1E-24*H63+Données!F$45)*K63+(I63*Données!H$44*1E-24*H63)+(Données!H$51*1E-24*H63)*Y63</f>
        <v>-1771819624366.7402</v>
      </c>
      <c r="M63" s="40">
        <f t="shared" si="28"/>
        <v>8.609286015971539E+20</v>
      </c>
      <c r="N63" s="21">
        <f>-(Données!I$46*1E-24*H63+Données!F$46)*M63+Données!H$45*1E-24*H63*K63</f>
        <v>460956533016.63965</v>
      </c>
      <c r="O63" s="42">
        <f t="shared" si="29"/>
        <v>1.1848431416176112E+20</v>
      </c>
      <c r="P63" s="23">
        <f>-(Données!I$47*1E-24*H63+Données!F$47)*O63+(Données!H$46*1E-24*H63)*M63</f>
        <v>-5658828644.817627</v>
      </c>
      <c r="Q63" s="40">
        <f t="shared" si="30"/>
        <v>6.2787137893414511E+19</v>
      </c>
      <c r="R63" s="43">
        <f>-(Données!I$48*1E-24*H63+Données!F$48)*Q63+Données!H$47*1E-24*H63*O63+(Données!H$49*1E-24*H63*S63)*0.85*0.16</f>
        <v>44981585047.759247</v>
      </c>
      <c r="S63" s="42">
        <f t="shared" si="31"/>
        <v>2.9175777308439417E+19</v>
      </c>
      <c r="T63" s="22">
        <f>-(Données!I$49*1E-24*H63+Données!F$49)*S63+Données!F$47*O63</f>
        <v>-20905917249.872375</v>
      </c>
      <c r="U63" s="28">
        <f t="shared" si="32"/>
        <v>3.0143007028115124E+21</v>
      </c>
      <c r="V63" s="19"/>
      <c r="W63" s="40">
        <f t="shared" si="33"/>
        <v>2.3919412633430032E+19</v>
      </c>
      <c r="X63" s="21">
        <f>-(Données!I$50*1E-24*H63+Données!F$50)*W63+Données!F$45*K63</f>
        <v>-193123928707.91748</v>
      </c>
      <c r="Y63" s="42">
        <f t="shared" si="34"/>
        <v>1.4112938390220215E+22</v>
      </c>
      <c r="Z63" s="23">
        <f>-(Données!I$51*1E-24*H63+Données!F$51)*Y63+Données!F$48*Q63</f>
        <v>-15321309538822.473</v>
      </c>
      <c r="AA63" s="15">
        <f t="shared" si="35"/>
        <v>1.4136857802853646E+22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3459355206463252.5</v>
      </c>
      <c r="I64" s="40">
        <f t="shared" si="26"/>
        <v>2.5400444148693131E+19</v>
      </c>
      <c r="J64" s="21">
        <f>-(Données!I$44*1E-24*H64+Données!F$44)*I64+(Données!H$49*1E-24*H64*S64)*0.71+Données!H$50*1E-24*H64*W64</f>
        <v>2077407190.5437698</v>
      </c>
      <c r="K64" s="42">
        <f t="shared" si="27"/>
        <v>1.9128766761325751E+21</v>
      </c>
      <c r="L64" s="23">
        <f>-(Données!I$45*1E-24*H64+Données!F$45)*K64+(I64*Données!H$44*1E-24*H64)+(Données!H$51*1E-24*H64)*Y64</f>
        <v>-1772874780454.0527</v>
      </c>
      <c r="M64" s="40">
        <f t="shared" si="28"/>
        <v>8.6213999536592165E+20</v>
      </c>
      <c r="N64" s="21">
        <f>-(Données!I$46*1E-24*H64+Données!F$46)*M64+Données!H$45*1E-24*H64*K64</f>
        <v>449900684549.40088</v>
      </c>
      <c r="O64" s="42">
        <f t="shared" si="29"/>
        <v>1.1846944276008254E+20</v>
      </c>
      <c r="P64" s="23">
        <f>-(Données!I$47*1E-24*H64+Données!F$47)*O64+(Données!H$46*1E-24*H64)*M64</f>
        <v>-3574308461.3398437</v>
      </c>
      <c r="Q64" s="40">
        <f t="shared" si="30"/>
        <v>6.2905349498920018E+19</v>
      </c>
      <c r="R64" s="43">
        <f>-(Données!I$48*1E-24*H64+Données!F$48)*Q64+Données!H$47*1E-24*H64*O64+(Données!H$49*1E-24*H64*S64)*0.85*0.16</f>
        <v>44608882773.947876</v>
      </c>
      <c r="S64" s="42">
        <f t="shared" si="31"/>
        <v>2.9120836557906751E+19</v>
      </c>
      <c r="T64" s="22">
        <f>-(Données!I$49*1E-24*H64+Données!F$49)*S64+Données!F$47*O64</f>
        <v>-20547027676.875732</v>
      </c>
      <c r="U64" s="28">
        <f t="shared" si="32"/>
        <v>3.0109127444640993E+21</v>
      </c>
      <c r="V64" s="19"/>
      <c r="W64" s="40">
        <f t="shared" si="33"/>
        <v>2.3411882948785627E+19</v>
      </c>
      <c r="X64" s="21">
        <f>-(Données!I$50*1E-24*H64+Données!F$50)*W64+Données!F$45*K64</f>
        <v>-188993317230.73227</v>
      </c>
      <c r="Y64" s="42">
        <f t="shared" si="34"/>
        <v>1.407267398875219E+22</v>
      </c>
      <c r="Z64" s="23">
        <f>-(Données!I$51*1E-24*H64+Données!F$51)*Y64+Données!F$48*Q64</f>
        <v>-15277597620922.053</v>
      </c>
      <c r="AA64" s="15">
        <f t="shared" si="35"/>
        <v>1.4096085871700975E+22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3459355206463252.5</v>
      </c>
      <c r="I65" s="40">
        <f t="shared" si="26"/>
        <v>2.5405903574789882E+19</v>
      </c>
      <c r="J65" s="21">
        <f>-(Données!I$44*1E-24*H65+Données!F$44)*I65+(Données!H$49*1E-24*H65*S65)*0.71+Données!H$50*1E-24*H65*W65</f>
        <v>929188605.71743011</v>
      </c>
      <c r="K65" s="42">
        <f t="shared" si="27"/>
        <v>1.9082175612095418E+21</v>
      </c>
      <c r="L65" s="23">
        <f>-(Données!I$45*1E-24*H65+Données!F$45)*K65+(I65*Données!H$44*1E-24*H65)+(Données!H$51*1E-24*H65)*Y65</f>
        <v>-1773809060241.5137</v>
      </c>
      <c r="M65" s="40">
        <f t="shared" si="28"/>
        <v>8.6332233436491743E+20</v>
      </c>
      <c r="N65" s="21">
        <f>-(Données!I$46*1E-24*H65+Données!F$46)*M65+Données!H$45*1E-24*H65*K65</f>
        <v>438927856149.31689</v>
      </c>
      <c r="O65" s="42">
        <f t="shared" si="29"/>
        <v>1.1846004947744614E+20</v>
      </c>
      <c r="P65" s="23">
        <f>-(Données!I$47*1E-24*H65+Données!F$47)*O65+(Données!H$46*1E-24*H65)*M65</f>
        <v>-1598800125.5112305</v>
      </c>
      <c r="Q65" s="40">
        <f t="shared" si="30"/>
        <v>6.3022581642849952E+19</v>
      </c>
      <c r="R65" s="43">
        <f>-(Données!I$48*1E-24*H65+Données!F$48)*Q65+Données!H$47*1E-24*H65*O65+(Données!H$49*1E-24*H65*S65)*0.85*0.16</f>
        <v>44247983447.351494</v>
      </c>
      <c r="S65" s="42">
        <f t="shared" si="31"/>
        <v>2.9066838969171923E+19</v>
      </c>
      <c r="T65" s="22">
        <f>-(Données!I$49*1E-24*H65+Données!F$49)*S65+Données!F$47*O65</f>
        <v>-20186285486.523529</v>
      </c>
      <c r="U65" s="28">
        <f t="shared" si="32"/>
        <v>3.0074952692387168E+21</v>
      </c>
      <c r="V65" s="19"/>
      <c r="W65" s="40">
        <f t="shared" si="33"/>
        <v>2.2915208511103263E+19</v>
      </c>
      <c r="X65" s="21">
        <f>-(Données!I$50*1E-24*H65+Données!F$50)*W65+Données!F$45*K65</f>
        <v>-184951146235.7092</v>
      </c>
      <c r="Y65" s="42">
        <f t="shared" si="34"/>
        <v>1.4032524462204406E+22</v>
      </c>
      <c r="Z65" s="23">
        <f>-(Données!I$51*1E-24*H65+Données!F$51)*Y65+Données!F$48*Q65</f>
        <v>-15234010413793.803</v>
      </c>
      <c r="AA65" s="15">
        <f t="shared" si="35"/>
        <v>1.405543967071551E+22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3459355206463252.5</v>
      </c>
      <c r="I66" s="40">
        <f t="shared" si="26"/>
        <v>2.5408345482445705E+19</v>
      </c>
      <c r="J66" s="21">
        <f>-(Données!I$44*1E-24*H66+Données!F$44)*I66+(Données!H$49*1E-24*H66*S66)*0.71+Données!H$50*1E-24*H66*W66</f>
        <v>-176971038.5684433</v>
      </c>
      <c r="K66" s="42">
        <f t="shared" si="27"/>
        <v>1.9035559909992272E+21</v>
      </c>
      <c r="L66" s="23">
        <f>-(Données!I$45*1E-24*H66+Données!F$45)*K66+(I66*Données!H$44*1E-24*H66)+(Données!H$51*1E-24*H66)*Y66</f>
        <v>-1774625005134.8477</v>
      </c>
      <c r="M66" s="40">
        <f t="shared" si="28"/>
        <v>8.6447583677087783E+20</v>
      </c>
      <c r="N66" s="21">
        <f>-(Données!I$46*1E-24*H66+Données!F$46)*M66+Données!H$45*1E-24*H66*K66</f>
        <v>428037896820.42041</v>
      </c>
      <c r="O66" s="42">
        <f t="shared" si="29"/>
        <v>1.184558478307163E+20</v>
      </c>
      <c r="P66" s="23">
        <f>-(Données!I$47*1E-24*H66+Données!F$47)*O66+(Données!H$46*1E-24*H66)*M66</f>
        <v>271342142.24902344</v>
      </c>
      <c r="Q66" s="40">
        <f t="shared" si="30"/>
        <v>6.3138865343349588E+19</v>
      </c>
      <c r="R66" s="43">
        <f>-(Données!I$48*1E-24*H66+Données!F$48)*Q66+Données!H$47*1E-24*H66*O66+(Données!H$49*1E-24*H66*S66)*0.85*0.16</f>
        <v>43898365203.748169</v>
      </c>
      <c r="S66" s="42">
        <f t="shared" si="31"/>
        <v>2.9013789410913337E+19</v>
      </c>
      <c r="T66" s="22">
        <f>-(Données!I$49*1E-24*H66+Données!F$49)*S66+Données!F$47*O66</f>
        <v>-19824164069.729034</v>
      </c>
      <c r="U66" s="28">
        <f t="shared" si="32"/>
        <v>3.0040486758375296E+21</v>
      </c>
      <c r="V66" s="19"/>
      <c r="W66" s="40">
        <f t="shared" si="33"/>
        <v>2.2429156898795819E+19</v>
      </c>
      <c r="X66" s="21">
        <f>-(Données!I$50*1E-24*H66+Données!F$50)*W66+Données!F$45*K66</f>
        <v>-180995521889.07712</v>
      </c>
      <c r="Y66" s="42">
        <f t="shared" si="34"/>
        <v>1.3992489482836955E+22</v>
      </c>
      <c r="Z66" s="23">
        <f>-(Données!I$51*1E-24*H66+Données!F$51)*Y66+Données!F$48*Q66</f>
        <v>-15190547561634.32</v>
      </c>
      <c r="AA66" s="15">
        <f t="shared" si="35"/>
        <v>1.4014918639735752E+22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3459355206463252.5</v>
      </c>
      <c r="I67" s="40">
        <f t="shared" si="26"/>
        <v>2.5407880402556346E+19</v>
      </c>
      <c r="J67" s="21">
        <f>-(Données!I$44*1E-24*H67+Données!F$44)*I67+(Données!H$49*1E-24*H67*S67)*0.71+Données!H$50*1E-24*H67*W67</f>
        <v>-1242163590.9797745</v>
      </c>
      <c r="K67" s="42">
        <f t="shared" si="27"/>
        <v>1.8988922764857327E+21</v>
      </c>
      <c r="L67" s="23">
        <f>-(Données!I$45*1E-24*H67+Données!F$45)*K67+(I67*Données!H$44*1E-24*H67)+(Données!H$51*1E-24*H67)*Y67</f>
        <v>-1775325109488.8711</v>
      </c>
      <c r="M67" s="40">
        <f t="shared" si="28"/>
        <v>8.6560072036372185E+20</v>
      </c>
      <c r="N67" s="21">
        <f>-(Données!I$46*1E-24*H67+Données!F$46)*M67+Données!H$45*1E-24*H67*K67</f>
        <v>417230646131.69336</v>
      </c>
      <c r="O67" s="42">
        <f t="shared" si="29"/>
        <v>1.1845656091786614E+20</v>
      </c>
      <c r="P67" s="23">
        <f>-(Données!I$47*1E-24*H67+Données!F$47)*O67+(Données!H$46*1E-24*H67)*M67</f>
        <v>2039653089.4353027</v>
      </c>
      <c r="Q67" s="40">
        <f t="shared" si="30"/>
        <v>6.3254230247105036E+19</v>
      </c>
      <c r="R67" s="43">
        <f>-(Données!I$48*1E-24*H67+Données!F$48)*Q67+Données!H$47*1E-24*H67*O67+(Données!H$49*1E-24*H67*S67)*0.85*0.16</f>
        <v>43559523636.5625</v>
      </c>
      <c r="S67" s="42">
        <f t="shared" si="31"/>
        <v>2.8961691507738087E+19</v>
      </c>
      <c r="T67" s="22">
        <f>-(Données!I$49*1E-24*H67+Données!F$49)*S67+Données!F$47*O67</f>
        <v>-19461113473.303131</v>
      </c>
      <c r="U67" s="28">
        <f t="shared" si="32"/>
        <v>3.000573359924721E+21</v>
      </c>
      <c r="V67" s="19"/>
      <c r="W67" s="40">
        <f t="shared" si="33"/>
        <v>2.1953500667271324E+19</v>
      </c>
      <c r="X67" s="21">
        <f>-(Données!I$50*1E-24*H67+Données!F$50)*W67+Données!F$45*K67</f>
        <v>-177124590910.85101</v>
      </c>
      <c r="Y67" s="42">
        <f t="shared" si="34"/>
        <v>1.3952568723844981E+22</v>
      </c>
      <c r="Z67" s="23">
        <f>-(Données!I$51*1E-24*H67+Données!F$51)*Y67+Données!F$48*Q67</f>
        <v>-15147208709655.402</v>
      </c>
      <c r="AA67" s="15">
        <f t="shared" si="35"/>
        <v>1.3974522224512252E+22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3459355206463252.5</v>
      </c>
      <c r="I68" s="40">
        <f t="shared" si="26"/>
        <v>2.5404615996639252E+19</v>
      </c>
      <c r="J68" s="21">
        <f>-(Données!I$44*1E-24*H68+Données!F$44)*I68+(Données!H$49*1E-24*H68*S68)*0.71+Données!H$50*1E-24*H68*W68</f>
        <v>-2267458927.9511719</v>
      </c>
      <c r="K68" s="42">
        <f t="shared" si="27"/>
        <v>1.894226722097996E+21</v>
      </c>
      <c r="L68" s="23">
        <f>-(Données!I$45*1E-24*H68+Données!F$45)*K68+(I68*Données!H$44*1E-24*H68)+(Données!H$51*1E-24*H68)*Y68</f>
        <v>-1775911821457.6934</v>
      </c>
      <c r="M68" s="40">
        <f t="shared" si="28"/>
        <v>8.6669720250175599E+20</v>
      </c>
      <c r="N68" s="21">
        <f>-(Données!I$46*1E-24*H68+Données!F$46)*M68+Données!H$45*1E-24*H68*K68</f>
        <v>406505934488.4668</v>
      </c>
      <c r="O68" s="42">
        <f t="shared" si="29"/>
        <v>1.1846192112618517E+20</v>
      </c>
      <c r="P68" s="23">
        <f>-(Données!I$47*1E-24*H68+Données!F$47)*O68+(Données!H$46*1E-24*H68)*M68</f>
        <v>3709559754.692627</v>
      </c>
      <c r="Q68" s="40">
        <f t="shared" si="30"/>
        <v>6.3368704675221922E+19</v>
      </c>
      <c r="R68" s="43">
        <f>-(Données!I$48*1E-24*H68+Données!F$48)*Q68+Données!H$47*1E-24*H68*O68+(Données!H$49*1E-24*H68*S68)*0.85*0.16</f>
        <v>43230971273.216339</v>
      </c>
      <c r="S68" s="42">
        <f t="shared" si="31"/>
        <v>2.8910547701530247E+19</v>
      </c>
      <c r="T68" s="22">
        <f>-(Données!I$49*1E-24*H68+Données!F$49)*S68+Données!F$47*O68</f>
        <v>-19097561273.889923</v>
      </c>
      <c r="U68" s="28">
        <f t="shared" si="32"/>
        <v>2.9970697140993283E+21</v>
      </c>
      <c r="V68" s="19"/>
      <c r="W68" s="40">
        <f t="shared" si="33"/>
        <v>2.1488017242357608E+19</v>
      </c>
      <c r="X68" s="21">
        <f>-(Données!I$50*1E-24*H68+Données!F$50)*W68+Données!F$45*K68</f>
        <v>-173336539706.44733</v>
      </c>
      <c r="Y68" s="42">
        <f t="shared" si="34"/>
        <v>1.3912761859356007E+22</v>
      </c>
      <c r="Z68" s="23">
        <f>-(Données!I$51*1E-24*H68+Données!F$51)*Y68+Données!F$48*Q68</f>
        <v>-15103993504081.133</v>
      </c>
      <c r="AA68" s="15">
        <f t="shared" si="35"/>
        <v>1.3934249876598366E+22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3459355206463252.5</v>
      </c>
      <c r="I69" s="40">
        <f t="shared" si="26"/>
        <v>2.5398657114576597E+19</v>
      </c>
      <c r="J69" s="21">
        <f>-(Données!I$44*1E-24*H69+Données!F$44)*I69+(Données!H$49*1E-24*H69*S69)*0.71+Données!H$50*1E-24*H69*W69</f>
        <v>-3253905260.7285156</v>
      </c>
      <c r="K69" s="42">
        <f t="shared" si="27"/>
        <v>1.889559625831205E+21</v>
      </c>
      <c r="L69" s="23">
        <f>-(Données!I$45*1E-24*H69+Données!F$45)*K69+(I69*Données!H$44*1E-24*H69)+(Données!H$51*1E-24*H69)*Y69</f>
        <v>-1776387543829.1621</v>
      </c>
      <c r="M69" s="40">
        <f t="shared" si="28"/>
        <v>8.6776550009759164E+20</v>
      </c>
      <c r="N69" s="21">
        <f>-(Données!I$46*1E-24*H69+Données!F$46)*M69+Données!H$45*1E-24*H69*K69</f>
        <v>395863583398.12158</v>
      </c>
      <c r="O69" s="42">
        <f t="shared" si="29"/>
        <v>1.184716698492205E+20</v>
      </c>
      <c r="P69" s="23">
        <f>-(Données!I$47*1E-24*H69+Données!F$47)*O69+(Données!H$46*1E-24*H69)*M69</f>
        <v>5284384691.5354004</v>
      </c>
      <c r="Q69" s="40">
        <f t="shared" si="30"/>
        <v>6.3482315667727933E+19</v>
      </c>
      <c r="R69" s="43">
        <f>-(Données!I$48*1E-24*H69+Données!F$48)*Q69+Données!H$47*1E-24*H69*O69+(Données!H$49*1E-24*H69*S69)*0.85*0.16</f>
        <v>42912237066.793396</v>
      </c>
      <c r="S69" s="42">
        <f t="shared" si="31"/>
        <v>2.8860359310502466E+19</v>
      </c>
      <c r="T69" s="22">
        <f>-(Données!I$49*1E-24*H69+Données!F$49)*S69+Données!F$47*O69</f>
        <v>-18733913422.546234</v>
      </c>
      <c r="U69" s="28">
        <f t="shared" si="32"/>
        <v>2.993538127870824E+21</v>
      </c>
      <c r="V69" s="19"/>
      <c r="W69" s="40">
        <f t="shared" si="33"/>
        <v>2.1032488816009064E+19</v>
      </c>
      <c r="X69" s="21">
        <f>-(Données!I$50*1E-24*H69+Données!F$50)*W69+Données!F$45*K69</f>
        <v>-169629593516.8938</v>
      </c>
      <c r="Y69" s="42">
        <f t="shared" si="34"/>
        <v>1.3873068564427282E+22</v>
      </c>
      <c r="Z69" s="23">
        <f>-(Données!I$51*1E-24*H69+Données!F$51)*Y69+Données!F$48*Q69</f>
        <v>-15060901592145</v>
      </c>
      <c r="AA69" s="15">
        <f t="shared" si="35"/>
        <v>1.3894101053243291E+22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3459355206463252.5</v>
      </c>
      <c r="I70" s="40">
        <f t="shared" si="26"/>
        <v>2.5390105851551404E+19</v>
      </c>
      <c r="J70" s="21">
        <f>-(Données!I$44*1E-24*H70+Données!F$44)*I70+(Données!H$49*1E-24*H70*S70)*0.71+Données!H$50*1E-24*H70*W70</f>
        <v>-4202529442.5211258</v>
      </c>
      <c r="K70" s="42">
        <f t="shared" si="27"/>
        <v>1.884891279366022E+21</v>
      </c>
      <c r="L70" s="23">
        <f>-(Données!I$45*1E-24*H70+Données!F$45)*K70+(I70*Données!H$44*1E-24*H70)+(Données!H$51*1E-24*H70)*Y70</f>
        <v>-1776754634843.832</v>
      </c>
      <c r="M70" s="40">
        <f t="shared" si="28"/>
        <v>8.6880582959476192E+20</v>
      </c>
      <c r="N70" s="21">
        <f>-(Données!I$46*1E-24*H70+Données!F$46)*M70+Données!H$45*1E-24*H70*K70</f>
        <v>385303405730.19482</v>
      </c>
      <c r="O70" s="42">
        <f t="shared" si="29"/>
        <v>1.1848555721218985E+20</v>
      </c>
      <c r="P70" s="23">
        <f>-(Données!I$47*1E-24*H70+Données!F$47)*O70+(Données!H$46*1E-24*H70)*M70</f>
        <v>6767349095.5500488</v>
      </c>
      <c r="Q70" s="40">
        <f t="shared" si="30"/>
        <v>6.359508902673947E+19</v>
      </c>
      <c r="R70" s="43">
        <f>-(Données!I$48*1E-24*H70+Données!F$48)*Q70+Données!H$47*1E-24*H70*O70+(Données!H$49*1E-24*H70*S70)*0.85*0.16</f>
        <v>42602865902.569405</v>
      </c>
      <c r="S70" s="42">
        <f t="shared" si="31"/>
        <v>2.8811126586028016E+19</v>
      </c>
      <c r="T70" s="22">
        <f>-(Données!I$49*1E-24*H70+Données!F$49)*S70+Données!F$47*O70</f>
        <v>-18370555060.901398</v>
      </c>
      <c r="U70" s="28">
        <f t="shared" si="32"/>
        <v>2.9899789876372927E+21</v>
      </c>
      <c r="V70" s="19"/>
      <c r="W70" s="40">
        <f t="shared" si="33"/>
        <v>2.0586702244246667E+19</v>
      </c>
      <c r="X70" s="21">
        <f>-(Données!I$50*1E-24*H70+Données!F$50)*W70+Données!F$45*K70</f>
        <v>-166002015587.2356</v>
      </c>
      <c r="Y70" s="42">
        <f t="shared" si="34"/>
        <v>1.3833488515043124E+22</v>
      </c>
      <c r="Z70" s="23">
        <f>-(Données!I$51*1E-24*H70+Données!F$51)*Y70+Données!F$48*Q70</f>
        <v>-15017932622087.014</v>
      </c>
      <c r="AA70" s="15">
        <f t="shared" si="35"/>
        <v>1.385407521728737E+22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3459355206463252.5</v>
      </c>
      <c r="I71" s="40">
        <f t="shared" si="26"/>
        <v>2.5379061604176458E+19</v>
      </c>
      <c r="J71" s="21">
        <f>-(Données!I$44*1E-24*H71+Données!F$44)*I71+(Données!H$49*1E-24*H71*S71)*0.71+Données!H$50*1E-24*H71*W71</f>
        <v>-5114337275.5375366</v>
      </c>
      <c r="K71" s="42">
        <f t="shared" si="27"/>
        <v>1.8802219681856524E+21</v>
      </c>
      <c r="L71" s="23">
        <f>-(Données!I$45*1E-24*H71+Données!F$45)*K71+(I71*Données!H$44*1E-24*H71)+(Données!H$51*1E-24*H71)*Y71</f>
        <v>-1777015408998.8535</v>
      </c>
      <c r="M71" s="40">
        <f t="shared" si="28"/>
        <v>8.6981840694502084E+20</v>
      </c>
      <c r="N71" s="21">
        <f>-(Données!I$46*1E-24*H71+Données!F$46)*M71+Données!H$45*1E-24*H71*K71</f>
        <v>374825205971.00586</v>
      </c>
      <c r="O71" s="42">
        <f t="shared" si="29"/>
        <v>1.1850334180561296E+20</v>
      </c>
      <c r="P71" s="23">
        <f>-(Données!I$47*1E-24*H71+Données!F$47)*O71+(Données!H$46*1E-24*H71)*M71</f>
        <v>8161575837.9707031</v>
      </c>
      <c r="Q71" s="40">
        <f t="shared" si="30"/>
        <v>6.3707049358331421E+19</v>
      </c>
      <c r="R71" s="43">
        <f>-(Données!I$48*1E-24*H71+Données!F$48)*Q71+Données!H$47*1E-24*H71*O71+(Données!H$49*1E-24*H71*S71)*0.85*0.16</f>
        <v>42302418118.97084</v>
      </c>
      <c r="S71" s="42">
        <f t="shared" si="31"/>
        <v>2.8762848767327965E+19</v>
      </c>
      <c r="T71" s="22">
        <f>-(Données!I$49*1E-24*H71+Données!F$49)*S71+Données!F$47*O71</f>
        <v>-18007851309.805206</v>
      </c>
      <c r="U71" s="28">
        <f t="shared" si="32"/>
        <v>2.9863926766661219E+21</v>
      </c>
      <c r="V71" s="19"/>
      <c r="W71" s="40">
        <f t="shared" si="33"/>
        <v>2.0150448947283411E+19</v>
      </c>
      <c r="X71" s="21">
        <f>-(Données!I$50*1E-24*H71+Données!F$50)*W71+Données!F$45*K71</f>
        <v>-162452106352.74841</v>
      </c>
      <c r="Y71" s="42">
        <f t="shared" si="34"/>
        <v>1.379402138811228E+22</v>
      </c>
      <c r="Z71" s="23">
        <f>-(Données!I$51*1E-24*H71+Données!F$51)*Y71+Données!F$48*Q71</f>
        <v>-14975086243150.828</v>
      </c>
      <c r="AA71" s="15">
        <f t="shared" si="35"/>
        <v>1.3814171837059564E+22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3459355206463252.5</v>
      </c>
      <c r="I72" s="40">
        <f t="shared" si="26"/>
        <v>2.5365621125816345E+19</v>
      </c>
      <c r="J72" s="21">
        <f>-(Données!I$44*1E-24*H72+Données!F$44)*I72+(Données!H$49*1E-24*H72*S72)*0.71+Données!H$50*1E-24*H72*W72</f>
        <v>-5990313817.6903839</v>
      </c>
      <c r="K72" s="42">
        <f t="shared" si="27"/>
        <v>1.8755519716908034E+21</v>
      </c>
      <c r="L72" s="23">
        <f>-(Données!I$45*1E-24*H72+Données!F$45)*K72+(I72*Données!H$44*1E-24*H72)+(Données!H$51*1E-24*H72)*Y72</f>
        <v>-1777172137836.9922</v>
      </c>
      <c r="M72" s="40">
        <f t="shared" si="28"/>
        <v>8.7080344758631268E+20</v>
      </c>
      <c r="N72" s="21">
        <f>-(Données!I$46*1E-24*H72+Données!F$46)*M72+Données!H$45*1E-24*H72*K72</f>
        <v>364428780472.90527</v>
      </c>
      <c r="O72" s="42">
        <f t="shared" si="29"/>
        <v>1.1852479042691514E+20</v>
      </c>
      <c r="P72" s="23">
        <f>-(Données!I$47*1E-24*H72+Données!F$47)*O72+(Données!H$46*1E-24*H72)*M72</f>
        <v>9470092408.4511719</v>
      </c>
      <c r="Q72" s="40">
        <f t="shared" si="30"/>
        <v>6.3818220113148076E+19</v>
      </c>
      <c r="R72" s="43">
        <f>-(Données!I$48*1E-24*H72+Données!F$48)*Q72+Données!H$47*1E-24*H72*O72+(Données!H$49*1E-24*H72*S72)*0.85*0.16</f>
        <v>42010469042.539597</v>
      </c>
      <c r="S72" s="42">
        <f t="shared" si="31"/>
        <v>2.8715524134085796E+19</v>
      </c>
      <c r="T72" s="22">
        <f>-(Données!I$49*1E-24*H72+Données!F$49)*S72+Données!F$47*O72</f>
        <v>-17646148031.345032</v>
      </c>
      <c r="U72" s="28">
        <f t="shared" si="32"/>
        <v>2.9827795750770814E+21</v>
      </c>
      <c r="V72" s="19"/>
      <c r="W72" s="40">
        <f t="shared" si="33"/>
        <v>1.9723524811788386E+19</v>
      </c>
      <c r="X72" s="21">
        <f>-(Données!I$50*1E-24*H72+Données!F$50)*W72+Données!F$45*K72</f>
        <v>-158978202642.57648</v>
      </c>
      <c r="Y72" s="42">
        <f t="shared" si="34"/>
        <v>1.3754666861465279E+22</v>
      </c>
      <c r="Z72" s="23">
        <f>-(Données!I$51*1E-24*H72+Données!F$51)*Y72+Données!F$48*Q72</f>
        <v>-14932362105580.881</v>
      </c>
      <c r="AA72" s="15">
        <f t="shared" si="35"/>
        <v>1.3774390386277067E+22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3459355206463252.5</v>
      </c>
      <c r="I73" s="40">
        <f t="shared" si="26"/>
        <v>2.5349878581103456E+19</v>
      </c>
      <c r="J73" s="21">
        <f>-(Données!I$44*1E-24*H73+Données!F$44)*I73+(Données!H$49*1E-24*H73*S73)*0.71+Données!H$50*1E-24*H73*W73</f>
        <v>-6831423688.7671967</v>
      </c>
      <c r="K73" s="42">
        <f t="shared" si="27"/>
        <v>1.8708815633125679E+21</v>
      </c>
      <c r="L73" s="23">
        <f>-(Données!I$45*1E-24*H73+Données!F$45)*K73+(I73*Données!H$44*1E-24*H73)+(Données!H$51*1E-24*H73)*Y73</f>
        <v>-1777227050721.1562</v>
      </c>
      <c r="M73" s="40">
        <f t="shared" si="28"/>
        <v>8.7176116642139551E+20</v>
      </c>
      <c r="N73" s="21">
        <f>-(Données!I$46*1E-24*H73+Données!F$46)*M73+Données!H$45*1E-24*H73*K73</f>
        <v>354113917698.25391</v>
      </c>
      <c r="O73" s="42">
        <f t="shared" si="29"/>
        <v>1.1854967782976455E+20</v>
      </c>
      <c r="P73" s="23">
        <f>-(Données!I$47*1E-24*H73+Données!F$47)*O73+(Données!H$46*1E-24*H73)*M73</f>
        <v>10695833769.751953</v>
      </c>
      <c r="Q73" s="40">
        <f t="shared" si="30"/>
        <v>6.3928623625791873E+19</v>
      </c>
      <c r="R73" s="43">
        <f>-(Données!I$48*1E-24*H73+Données!F$48)*Q73+Données!H$47*1E-24*H73*O73+(Données!H$49*1E-24*H73*S73)*0.85*0.16</f>
        <v>41726608536.492508</v>
      </c>
      <c r="S73" s="42">
        <f t="shared" si="31"/>
        <v>2.8669150057059422E+19</v>
      </c>
      <c r="T73" s="22">
        <f>-(Données!I$49*1E-24*H73+Données!F$49)*S73+Données!F$47*O73</f>
        <v>-17285772565.082855</v>
      </c>
      <c r="U73" s="28">
        <f t="shared" si="32"/>
        <v>2.9791400598276827E+21</v>
      </c>
      <c r="V73" s="19"/>
      <c r="W73" s="40">
        <f t="shared" si="33"/>
        <v>1.9305730095243694E+19</v>
      </c>
      <c r="X73" s="21">
        <f>-(Données!I$50*1E-24*H73+Données!F$50)*W73+Données!F$45*K73</f>
        <v>-155578676900.42343</v>
      </c>
      <c r="Y73" s="42">
        <f t="shared" si="34"/>
        <v>1.3715424613851812E+22</v>
      </c>
      <c r="Z73" s="23">
        <f>-(Données!I$51*1E-24*H73+Données!F$51)*Y73+Données!F$48*Q73</f>
        <v>-14889759860619.529</v>
      </c>
      <c r="AA73" s="15">
        <f t="shared" si="35"/>
        <v>1.3734730343947056E+22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3459355206463252.5</v>
      </c>
      <c r="I74" s="40">
        <f t="shared" si="26"/>
        <v>2.5331925599649374E+19</v>
      </c>
      <c r="J74" s="21">
        <f>-(Données!I$44*1E-24*H74+Données!F$44)*I74+(Données!H$49*1E-24*H74*S74)*0.71+Données!H$50*1E-24*H74*W74</f>
        <v>-7638611375.8749313</v>
      </c>
      <c r="K74" s="42">
        <f t="shared" si="27"/>
        <v>1.8662110106232726E+21</v>
      </c>
      <c r="L74" s="23">
        <f>-(Données!I$45*1E-24*H74+Données!F$45)*K74+(I74*Données!H$44*1E-24*H74)+(Données!H$51*1E-24*H74)*Y74</f>
        <v>-1777182335594.6523</v>
      </c>
      <c r="M74" s="40">
        <f t="shared" si="28"/>
        <v>8.7269177779710657E+20</v>
      </c>
      <c r="N74" s="21">
        <f>-(Données!I$46*1E-24*H74+Données!F$46)*M74+Données!H$45*1E-24*H74*K74</f>
        <v>343880398458.23193</v>
      </c>
      <c r="O74" s="42">
        <f t="shared" si="29"/>
        <v>1.1857778648091145E+20</v>
      </c>
      <c r="P74" s="23">
        <f>-(Données!I$47*1E-24*H74+Données!F$47)*O74+(Données!H$46*1E-24*H74)*M74</f>
        <v>11841645126.98999</v>
      </c>
      <c r="Q74" s="40">
        <f t="shared" si="30"/>
        <v>6.4038281153025778E+19</v>
      </c>
      <c r="R74" s="43">
        <f>-(Données!I$48*1E-24*H74+Données!F$48)*Q74+Données!H$47*1E-24*H74*O74+(Données!H$49*1E-24*H74*S74)*0.85*0.16</f>
        <v>41450440562.4776</v>
      </c>
      <c r="S74" s="42">
        <f t="shared" si="31"/>
        <v>2.8623723046758384E+19</v>
      </c>
      <c r="T74" s="22">
        <f>-(Données!I$49*1E-24*H74+Données!F$49)*S74+Données!F$47*O74</f>
        <v>-16927034439.339569</v>
      </c>
      <c r="U74" s="28">
        <f t="shared" si="32"/>
        <v>2.9754745047007237E+21</v>
      </c>
      <c r="V74" s="19"/>
      <c r="W74" s="40">
        <f t="shared" si="33"/>
        <v>1.8896869332349383E+19</v>
      </c>
      <c r="X74" s="21">
        <f>-(Données!I$50*1E-24*H74+Données!F$50)*W74+Données!F$45*K74</f>
        <v>-152251936421.92993</v>
      </c>
      <c r="Y74" s="42">
        <f t="shared" si="34"/>
        <v>1.3676294324938103E+22</v>
      </c>
      <c r="Z74" s="23">
        <f>-(Données!I$51*1E-24*H74+Données!F$51)*Y74+Données!F$48*Q74</f>
        <v>-14847279160504.207</v>
      </c>
      <c r="AA74" s="15">
        <f t="shared" si="35"/>
        <v>1.3695191194270452E+22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3459355206463252.5</v>
      </c>
      <c r="I75" s="40">
        <f t="shared" si="26"/>
        <v>2.5311851328953573E+19</v>
      </c>
      <c r="J75" s="21">
        <f>-(Données!I$44*1E-24*H75+Données!F$44)*I75+(Données!H$49*1E-24*H75*S75)*0.71+Données!H$50*1E-24*H75*W75</f>
        <v>-8412801537.9766884</v>
      </c>
      <c r="K75" s="42">
        <f t="shared" si="27"/>
        <v>1.8615405754453299E+21</v>
      </c>
      <c r="L75" s="23">
        <f>-(Données!I$45*1E-24*H75+Données!F$45)*K75+(I75*Données!H$44*1E-24*H75)+(Données!H$51*1E-24*H75)*Y75</f>
        <v>-1777040139727.5215</v>
      </c>
      <c r="M75" s="40">
        <f t="shared" si="28"/>
        <v>8.7359549548425485E+20</v>
      </c>
      <c r="N75" s="21">
        <f>-(Données!I$46*1E-24*H75+Données!F$46)*M75+Données!H$45*1E-24*H75*K75</f>
        <v>333727996146.5791</v>
      </c>
      <c r="O75" s="42">
        <f t="shared" si="29"/>
        <v>1.1860890632430518E+20</v>
      </c>
      <c r="P75" s="23">
        <f>-(Données!I$47*1E-24*H75+Données!F$47)*O75+(Données!H$46*1E-24*H75)*M75</f>
        <v>12910284614.022461</v>
      </c>
      <c r="Q75" s="40">
        <f t="shared" si="30"/>
        <v>6.4147212910823973E+19</v>
      </c>
      <c r="R75" s="43">
        <f>-(Données!I$48*1E-24*H75+Données!F$48)*Q75+Données!H$47*1E-24*H75*O75+(Données!H$49*1E-24*H75*S75)*0.85*0.16</f>
        <v>41181582755.140182</v>
      </c>
      <c r="S75" s="42">
        <f t="shared" si="31"/>
        <v>2.8579238800251798E+19</v>
      </c>
      <c r="T75" s="22">
        <f>-(Données!I$49*1E-24*H75+Données!F$49)*S75+Données!F$47*O75</f>
        <v>-16570226058.325745</v>
      </c>
      <c r="U75" s="28">
        <f t="shared" si="32"/>
        <v>2.9717832802939191E+21</v>
      </c>
      <c r="V75" s="19"/>
      <c r="W75" s="40">
        <f t="shared" si="33"/>
        <v>1.849675124343255E+19</v>
      </c>
      <c r="X75" s="21">
        <f>-(Données!I$50*1E-24*H75+Données!F$50)*W75+Données!F$45*K75</f>
        <v>-148996422608.3811</v>
      </c>
      <c r="Y75" s="42">
        <f t="shared" si="34"/>
        <v>1.3637275675304298E+22</v>
      </c>
      <c r="Z75" s="23">
        <f>-(Données!I$51*1E-24*H75+Données!F$51)*Y75+Données!F$48*Q75</f>
        <v>-14804919658464.578</v>
      </c>
      <c r="AA75" s="15">
        <f t="shared" si="35"/>
        <v>1.365577242654773E+22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3459355206463252.5</v>
      </c>
      <c r="I76" s="40">
        <f t="shared" si="26"/>
        <v>2.5289742486511772E+19</v>
      </c>
      <c r="J76" s="21">
        <f>-(Données!I$44*1E-24*H76+Données!F$44)*I76+(Données!H$49*1E-24*H76*S76)*0.71+Données!H$50*1E-24*H76*W76</f>
        <v>-9154899309.3489761</v>
      </c>
      <c r="K76" s="42">
        <f t="shared" si="27"/>
        <v>1.8568705139581261E+21</v>
      </c>
      <c r="L76" s="23">
        <f>-(Données!I$45*1E-24*H76+Données!F$45)*K76+(I76*Données!H$44*1E-24*H76)+(Données!H$51*1E-24*H76)*Y76</f>
        <v>-1776802570449.1816</v>
      </c>
      <c r="M76" s="40">
        <f t="shared" si="28"/>
        <v>8.7447253265812803E+20</v>
      </c>
      <c r="N76" s="21">
        <f>-(Données!I$46*1E-24*H76+Données!F$46)*M76+Données!H$45*1E-24*H76*K76</f>
        <v>323656476968.36963</v>
      </c>
      <c r="O76" s="42">
        <f t="shared" si="29"/>
        <v>1.1864283455227083E+20</v>
      </c>
      <c r="P76" s="23">
        <f>-(Données!I$47*1E-24*H76+Données!F$47)*O76+(Données!H$46*1E-24*H76)*M76</f>
        <v>13904425899.445312</v>
      </c>
      <c r="Q76" s="40">
        <f t="shared" si="30"/>
        <v>6.4255438110304477E+19</v>
      </c>
      <c r="R76" s="43">
        <f>-(Données!I$48*1E-24*H76+Données!F$48)*Q76+Données!H$47*1E-24*H76*O76+(Données!H$49*1E-24*H76*S76)*0.85*0.16</f>
        <v>40919666009.123444</v>
      </c>
      <c r="S76" s="42">
        <f t="shared" si="31"/>
        <v>2.8535692246170518E+19</v>
      </c>
      <c r="T76" s="22">
        <f>-(Données!I$49*1E-24*H76+Données!F$49)*S76+Données!F$47*O76</f>
        <v>-16215623365.894623</v>
      </c>
      <c r="U76" s="28">
        <f t="shared" si="32"/>
        <v>2.9680667540115114E+21</v>
      </c>
      <c r="V76" s="19"/>
      <c r="W76" s="40">
        <f t="shared" si="33"/>
        <v>1.8105188644817725E+19</v>
      </c>
      <c r="X76" s="21">
        <f>-(Données!I$50*1E-24*H76+Données!F$50)*W76+Données!F$45*K76</f>
        <v>-145810610236.39474</v>
      </c>
      <c r="Y76" s="42">
        <f t="shared" si="34"/>
        <v>1.3598368346441853E+22</v>
      </c>
      <c r="Z76" s="23">
        <f>-(Données!I$51*1E-24*H76+Données!F$51)*Y76+Données!F$48*Q76</f>
        <v>-14762681008719.707</v>
      </c>
      <c r="AA76" s="15">
        <f t="shared" si="35"/>
        <v>1.361647353508667E+22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3459355206463252.5</v>
      </c>
      <c r="I77" s="40">
        <f t="shared" si="26"/>
        <v>2.5265683411126804E+19</v>
      </c>
      <c r="J77" s="21">
        <f>-(Données!I$44*1E-24*H77+Données!F$44)*I77+(Données!H$49*1E-24*H77*S77)*0.71+Données!H$50*1E-24*H77*W77</f>
        <v>-9865790601.7971039</v>
      </c>
      <c r="K77" s="42">
        <f t="shared" si="27"/>
        <v>1.8522010768029857E+21</v>
      </c>
      <c r="L77" s="23">
        <f>-(Données!I$45*1E-24*H77+Données!F$45)*K77+(I77*Données!H$44*1E-24*H77)+(Données!H$51*1E-24*H77)*Y77</f>
        <v>-1776471695867.6562</v>
      </c>
      <c r="M77" s="40">
        <f t="shared" si="28"/>
        <v>8.7532310187960094E+20</v>
      </c>
      <c r="N77" s="21">
        <f>-(Données!I$46*1E-24*H77+Données!F$46)*M77+Données!H$45*1E-24*H77*K77</f>
        <v>313665600163.90674</v>
      </c>
      <c r="O77" s="42">
        <f t="shared" si="29"/>
        <v>1.1867937538353457E+20</v>
      </c>
      <c r="P77" s="23">
        <f>-(Données!I$47*1E-24*H77+Données!F$47)*O77+(Données!H$46*1E-24*H77)*M77</f>
        <v>14826660714.624512</v>
      </c>
      <c r="Q77" s="40">
        <f t="shared" si="30"/>
        <v>6.4362974992576455E+19</v>
      </c>
      <c r="R77" s="43">
        <f>-(Données!I$48*1E-24*H77+Données!F$48)*Q77+Données!H$47*1E-24*H77*O77+(Données!H$49*1E-24*H77*S77)*0.85*0.16</f>
        <v>40664334078.139282</v>
      </c>
      <c r="S77" s="42">
        <f t="shared" si="31"/>
        <v>2.8493077587964944E+19</v>
      </c>
      <c r="T77" s="22">
        <f>-(Données!I$49*1E-24*H77+Données!F$49)*S77+Données!F$47*O77</f>
        <v>-15863486486.667328</v>
      </c>
      <c r="U77" s="28">
        <f t="shared" si="32"/>
        <v>2.9643252900577888E+21</v>
      </c>
      <c r="V77" s="19"/>
      <c r="W77" s="40">
        <f t="shared" si="33"/>
        <v>1.7721998361116479E+19</v>
      </c>
      <c r="X77" s="21">
        <f>-(Données!I$50*1E-24*H77+Données!F$50)*W77+Données!F$45*K77</f>
        <v>-142693006743.24683</v>
      </c>
      <c r="Y77" s="42">
        <f t="shared" si="34"/>
        <v>1.3559572020750937E+22</v>
      </c>
      <c r="Z77" s="23">
        <f>-(Données!I$51*1E-24*H77+Données!F$51)*Y77+Données!F$48*Q77</f>
        <v>-14720562866475.232</v>
      </c>
      <c r="AA77" s="15">
        <f t="shared" si="35"/>
        <v>1.3577294019112053E+22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3459355206463252.5</v>
      </c>
      <c r="I78" s="40">
        <f t="shared" si="26"/>
        <v>2.5239756113425281E+19</v>
      </c>
      <c r="J78" s="21">
        <f>-(Données!I$44*1E-24*H78+Données!F$44)*I78+(Données!H$49*1E-24*H78*S78)*0.71+Données!H$50*1E-24*H78*W78</f>
        <v>-10546342405.477074</v>
      </c>
      <c r="K78" s="42">
        <f t="shared" si="27"/>
        <v>1.8475325091862455E+21</v>
      </c>
      <c r="L78" s="23">
        <f>-(Données!I$45*1E-24*H78+Données!F$45)*K78+(I78*Données!H$44*1E-24*H78)+(Données!H$51*1E-24*H78)*Y78</f>
        <v>-1776049545575.6816</v>
      </c>
      <c r="M78" s="40">
        <f t="shared" si="28"/>
        <v>8.7614741507683163E+20</v>
      </c>
      <c r="N78" s="21">
        <f>-(Données!I$46*1E-24*H78+Données!F$46)*M78+Données!H$45*1E-24*H78*K78</f>
        <v>303755118227.8418</v>
      </c>
      <c r="O78" s="42">
        <f t="shared" si="29"/>
        <v>1.187183398478926E+20</v>
      </c>
      <c r="P78" s="23">
        <f>-(Données!I$47*1E-24*H78+Données!F$47)*O78+(Données!H$46*1E-24*H78)*M78</f>
        <v>15679501306.099854</v>
      </c>
      <c r="Q78" s="40">
        <f t="shared" si="30"/>
        <v>6.4469840862533804E+19</v>
      </c>
      <c r="R78" s="43">
        <f>-(Données!I$48*1E-24*H78+Données!F$48)*Q78+Données!H$47*1E-24*H78*O78+(Données!H$49*1E-24*H78*S78)*0.85*0.16</f>
        <v>40415243185.756592</v>
      </c>
      <c r="S78" s="42">
        <f t="shared" si="31"/>
        <v>2.8451388345477984E+19</v>
      </c>
      <c r="T78" s="22">
        <f>-(Données!I$49*1E-24*H78+Données!F$49)*S78+Données!F$47*O78</f>
        <v>-15514060345.259399</v>
      </c>
      <c r="U78" s="28">
        <f t="shared" si="32"/>
        <v>2.9605592494324067E+21</v>
      </c>
      <c r="V78" s="19"/>
      <c r="W78" s="40">
        <f t="shared" si="33"/>
        <v>1.7347001139395228E+19</v>
      </c>
      <c r="X78" s="21">
        <f>-(Données!I$50*1E-24*H78+Données!F$50)*W78+Données!F$45*K78</f>
        <v>-139642151527.50055</v>
      </c>
      <c r="Y78" s="42">
        <f t="shared" si="34"/>
        <v>1.3520886381537839E+22</v>
      </c>
      <c r="Z78" s="23">
        <f>-(Données!I$51*1E-24*H78+Données!F$51)*Y78+Données!F$48*Q78</f>
        <v>-14678564887920.553</v>
      </c>
      <c r="AA78" s="15">
        <f t="shared" si="35"/>
        <v>1.3538233382677235E+22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3459355206463252.5</v>
      </c>
      <c r="I79" s="40">
        <f t="shared" si="26"/>
        <v>2.5212040325583688E+19</v>
      </c>
      <c r="J79" s="21">
        <f>-(Données!I$44*1E-24*H79+Données!F$44)*I79+(Données!H$49*1E-24*H79*S79)*0.71+Données!H$50*1E-24*H79*W79</f>
        <v>-11197403088.179008</v>
      </c>
      <c r="K79" s="42">
        <f t="shared" si="27"/>
        <v>1.8428650509804726E+21</v>
      </c>
      <c r="L79" s="23">
        <f>-(Données!I$45*1E-24*H79+Données!F$45)*K79+(I79*Données!H$44*1E-24*H79)+(Données!H$51*1E-24*H79)*Y79</f>
        <v>-1775538111343.9258</v>
      </c>
      <c r="M79" s="40">
        <f t="shared" si="28"/>
        <v>8.7694568352753438E+20</v>
      </c>
      <c r="N79" s="21">
        <f>-(Données!I$46*1E-24*H79+Données!F$46)*M79+Données!H$45*1E-24*H79*K79</f>
        <v>293924777123.60986</v>
      </c>
      <c r="O79" s="42">
        <f t="shared" si="29"/>
        <v>1.1875954557732504E+20</v>
      </c>
      <c r="P79" s="23">
        <f>-(Données!I$47*1E-24*H79+Données!F$47)*O79+(Données!H$46*1E-24*H79)*M79</f>
        <v>16465382814.633545</v>
      </c>
      <c r="Q79" s="40">
        <f t="shared" si="30"/>
        <v>6.4576052121625969E+19</v>
      </c>
      <c r="R79" s="43">
        <f>-(Données!I$48*1E-24*H79+Données!F$48)*Q79+Données!H$47*1E-24*H79*O79+(Données!H$49*1E-24*H79*S79)*0.85*0.16</f>
        <v>40172061647.56308</v>
      </c>
      <c r="S79" s="42">
        <f t="shared" si="31"/>
        <v>2.8410617394890641E+19</v>
      </c>
      <c r="T79" s="22">
        <f>-(Données!I$49*1E-24*H79+Données!F$49)*S79+Données!F$47*O79</f>
        <v>-15167575264.311707</v>
      </c>
      <c r="U79" s="28">
        <f t="shared" si="32"/>
        <v>2.9567689899274325E+21</v>
      </c>
      <c r="V79" s="19"/>
      <c r="W79" s="40">
        <f t="shared" si="33"/>
        <v>1.6980021565180957E+19</v>
      </c>
      <c r="X79" s="21">
        <f>-(Données!I$50*1E-24*H79+Données!F$50)*W79+Données!F$45*K79</f>
        <v>-136656615264.61095</v>
      </c>
      <c r="Y79" s="42">
        <f t="shared" si="34"/>
        <v>1.3482311113012383E+22</v>
      </c>
      <c r="Z79" s="23">
        <f>-(Données!I$51*1E-24*H79+Données!F$51)*Y79+Données!F$48*Q79</f>
        <v>-14636686730226.014</v>
      </c>
      <c r="AA79" s="15">
        <f t="shared" si="35"/>
        <v>1.3499291134577565E+22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3459355206463252.5</v>
      </c>
      <c r="I80" s="40">
        <f t="shared" si="26"/>
        <v>2.5182613550267953E+19</v>
      </c>
      <c r="J80" s="21">
        <f>-(Données!I$44*1E-24*H80+Données!F$44)*I80+(Données!H$49*1E-24*H80*S80)*0.71+Données!H$50*1E-24*H80*W80</f>
        <v>-11819802692.937607</v>
      </c>
      <c r="K80" s="42">
        <f t="shared" si="27"/>
        <v>1.8381989368238608E+21</v>
      </c>
      <c r="L80" s="23">
        <f>-(Données!I$45*1E-24*H80+Données!F$45)*K80+(I80*Données!H$44*1E-24*H80)+(Données!H$51*1E-24*H80)*Y80</f>
        <v>-1774939347801.584</v>
      </c>
      <c r="M80" s="40">
        <f t="shared" si="28"/>
        <v>8.7771811784181521E+20</v>
      </c>
      <c r="N80" s="21">
        <f>-(Données!I$46*1E-24*H80+Données!F$46)*M80+Données!H$45*1E-24*H80*K80</f>
        <v>284174316493.26514</v>
      </c>
      <c r="O80" s="42">
        <f t="shared" si="29"/>
        <v>1.1880281660336189E+20</v>
      </c>
      <c r="P80" s="23">
        <f>-(Données!I$47*1E-24*H80+Données!F$47)*O80+(Données!H$46*1E-24*H80)*M80</f>
        <v>17186665583.101318</v>
      </c>
      <c r="Q80" s="40">
        <f t="shared" si="30"/>
        <v>6.4681624299635761E+19</v>
      </c>
      <c r="R80" s="43">
        <f>-(Données!I$48*1E-24*H80+Données!F$48)*Q80+Données!H$47*1E-24*H80*O80+(Données!H$49*1E-24*H80*S80)*0.85*0.16</f>
        <v>39934469504.368713</v>
      </c>
      <c r="S80" s="42">
        <f t="shared" si="31"/>
        <v>2.8370757007096029E+19</v>
      </c>
      <c r="T80" s="22">
        <f>-(Données!I$49*1E-24*H80+Données!F$49)*S80+Données!F$47*O80</f>
        <v>-14824247542.009796</v>
      </c>
      <c r="U80" s="28">
        <f t="shared" si="32"/>
        <v>2.9529548661260372E+21</v>
      </c>
      <c r="V80" s="19"/>
      <c r="W80" s="40">
        <f t="shared" si="33"/>
        <v>1.662088798026556E+19</v>
      </c>
      <c r="X80" s="21">
        <f>-(Données!I$50*1E-24*H80+Données!F$50)*W80+Données!F$45*K80</f>
        <v>-133734999237.18398</v>
      </c>
      <c r="Y80" s="42">
        <f t="shared" si="34"/>
        <v>1.3443845900285348E+22</v>
      </c>
      <c r="Z80" s="23">
        <f>-(Données!I$51*1E-24*H80+Données!F$51)*Y80+Données!F$48*Q80</f>
        <v>-14594928051540.109</v>
      </c>
      <c r="AA80" s="15">
        <f t="shared" si="35"/>
        <v>1.3460466788265613E+22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3459355206463252.5</v>
      </c>
      <c r="I81" s="40">
        <f t="shared" si="26"/>
        <v>2.5151551108790915E+19</v>
      </c>
      <c r="J81" s="21">
        <f>-(Données!I$44*1E-24*H81+Données!F$44)*I81+(Données!H$49*1E-24*H81*S81)*0.71+Données!H$50*1E-24*H81*W81</f>
        <v>-12414353233.842697</v>
      </c>
      <c r="K81" s="42">
        <f t="shared" si="27"/>
        <v>1.8335343962178383E+21</v>
      </c>
      <c r="L81" s="23">
        <f>-(Données!I$45*1E-24*H81+Données!F$45)*K81+(I81*Données!H$44*1E-24*H81)+(Données!H$51*1E-24*H81)*Y81</f>
        <v>-1774255173104.5645</v>
      </c>
      <c r="M81" s="40">
        <f t="shared" si="28"/>
        <v>8.7846492794555951E+20</v>
      </c>
      <c r="N81" s="21">
        <f>-(Données!I$46*1E-24*H81+Données!F$46)*M81+Données!H$45*1E-24*H81*K81</f>
        <v>274503469862.81445</v>
      </c>
      <c r="O81" s="42">
        <f t="shared" si="29"/>
        <v>1.1884798316051428E+20</v>
      </c>
      <c r="P81" s="23">
        <f>-(Données!I$47*1E-24*H81+Données!F$47)*O81+(Données!H$46*1E-24*H81)*M81</f>
        <v>17845637395.365723</v>
      </c>
      <c r="Q81" s="40">
        <f t="shared" si="30"/>
        <v>6.4786572085493244E+19</v>
      </c>
      <c r="R81" s="43">
        <f>-(Données!I$48*1E-24*H81+Données!F$48)*Q81+Données!H$47*1E-24*H81*O81+(Données!H$49*1E-24*H81*S81)*0.85*0.16</f>
        <v>39702158166.127213</v>
      </c>
      <c r="S81" s="42">
        <f t="shared" si="31"/>
        <v>2.8331798884555629E+19</v>
      </c>
      <c r="T81" s="22">
        <f>-(Données!I$49*1E-24*H81+Données!F$49)*S81+Données!F$47*O81</f>
        <v>-14484280009.752472</v>
      </c>
      <c r="U81" s="28">
        <f t="shared" si="32"/>
        <v>2.949117229402752E+21</v>
      </c>
      <c r="V81" s="19"/>
      <c r="W81" s="40">
        <f t="shared" si="33"/>
        <v>1.6269432402270241E+19</v>
      </c>
      <c r="X81" s="21">
        <f>-(Données!I$50*1E-24*H81+Données!F$50)*W81+Données!F$45*K81</f>
        <v>-130875934679.577</v>
      </c>
      <c r="Y81" s="42">
        <f t="shared" si="34"/>
        <v>1.3405490429365901E+22</v>
      </c>
      <c r="Z81" s="23">
        <f>-(Données!I$51*1E-24*H81+Données!F$51)*Y81+Données!F$48*Q81</f>
        <v>-14553288510986.697</v>
      </c>
      <c r="AA81" s="15">
        <f t="shared" si="35"/>
        <v>1.342175986176817E+22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3459355206463252.5</v>
      </c>
      <c r="I82" s="40">
        <f t="shared" si="26"/>
        <v>2.5118926188492378E+19</v>
      </c>
      <c r="J82" s="21">
        <f>-(Données!I$44*1E-24*H82+Données!F$44)*I82+(Données!H$49*1E-24*H82*S82)*0.71+Données!H$50*1E-24*H82*W82</f>
        <v>-12981848989.929985</v>
      </c>
      <c r="K82" s="42">
        <f t="shared" si="27"/>
        <v>1.8288716536229195E+21</v>
      </c>
      <c r="L82" s="23">
        <f>-(Données!I$45*1E-24*H82+Données!F$45)*K82+(I82*Données!H$44*1E-24*H82)+(Données!H$51*1E-24*H82)*Y82</f>
        <v>-1773487469591.5859</v>
      </c>
      <c r="M82" s="40">
        <f t="shared" si="28"/>
        <v>8.7918632306435896E+20</v>
      </c>
      <c r="N82" s="21">
        <f>-(Données!I$46*1E-24*H82+Données!F$46)*M82+Données!H$45*1E-24*H82*K82</f>
        <v>264911964843.13135</v>
      </c>
      <c r="O82" s="42">
        <f t="shared" si="29"/>
        <v>1.1889488149558931E+20</v>
      </c>
      <c r="P82" s="23">
        <f>-(Données!I$47*1E-24*H82+Données!F$47)*O82+(Données!H$46*1E-24*H82)*M82</f>
        <v>18444515648.202148</v>
      </c>
      <c r="Q82" s="40">
        <f t="shared" si="30"/>
        <v>6.4890909357153829E+19</v>
      </c>
      <c r="R82" s="43">
        <f>-(Données!I$48*1E-24*H82+Données!F$48)*Q82+Données!H$47*1E-24*H82*O82+(Données!H$49*1E-24*H82*S82)*0.85*0.16</f>
        <v>39474830066.262482</v>
      </c>
      <c r="S82" s="42">
        <f t="shared" si="31"/>
        <v>2.8293734196689998E+19</v>
      </c>
      <c r="T82" s="22">
        <f>-(Données!I$49*1E-24*H82+Données!F$49)*S82+Données!F$47*O82</f>
        <v>-14147862570.610657</v>
      </c>
      <c r="U82" s="28">
        <f t="shared" si="32"/>
        <v>2.9452564279252033E+21</v>
      </c>
      <c r="V82" s="19"/>
      <c r="W82" s="40">
        <f t="shared" si="33"/>
        <v>1.5925490445932313E+19</v>
      </c>
      <c r="X82" s="21">
        <f>-(Données!I$50*1E-24*H82+Données!F$50)*W82+Données!F$45*K82</f>
        <v>-128078082136.53307</v>
      </c>
      <c r="Y82" s="42">
        <f t="shared" si="34"/>
        <v>1.3367244387159028E+22</v>
      </c>
      <c r="Z82" s="23">
        <f>-(Données!I$51*1E-24*H82+Données!F$51)*Y82+Données!F$48*Q82</f>
        <v>-14511767768662.197</v>
      </c>
      <c r="AA82" s="15">
        <f t="shared" si="35"/>
        <v>1.3383169877604959E+22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3459355206463252.5</v>
      </c>
      <c r="I83" s="40">
        <f t="shared" si="26"/>
        <v>2.5084809889346843E+19</v>
      </c>
      <c r="J83" s="21">
        <f>-(Données!I$44*1E-24*H83+Données!F$44)*I83+(Données!H$49*1E-24*H83*S83)*0.71+Données!H$50*1E-24*H83*W83</f>
        <v>-13523066797.041187</v>
      </c>
      <c r="K83" s="42">
        <f t="shared" si="27"/>
        <v>1.8242109285528327E+21</v>
      </c>
      <c r="L83" s="23">
        <f>-(Données!I$45*1E-24*H83+Données!F$45)*K83+(I83*Données!H$44*1E-24*H83)+(Données!H$51*1E-24*H83)*Y83</f>
        <v>-1772638084428.3223</v>
      </c>
      <c r="M83" s="40">
        <f t="shared" si="28"/>
        <v>8.7988251170796667E+20</v>
      </c>
      <c r="N83" s="21">
        <f>-(Données!I$46*1E-24*H83+Données!F$46)*M83+Données!H$45*1E-24*H83*K83</f>
        <v>255399523326.53369</v>
      </c>
      <c r="O83" s="42">
        <f t="shared" si="29"/>
        <v>1.1894335368271279E+20</v>
      </c>
      <c r="P83" s="23">
        <f>-(Données!I$47*1E-24*H83+Données!F$47)*O83+(Données!H$46*1E-24*H83)*M83</f>
        <v>18985449458.285645</v>
      </c>
      <c r="Q83" s="40">
        <f t="shared" si="30"/>
        <v>6.4994649210567967E+19</v>
      </c>
      <c r="R83" s="43">
        <f>-(Données!I$48*1E-24*H83+Données!F$48)*Q83+Données!H$47*1E-24*H83*O83+(Données!H$49*1E-24*H83*S83)*0.85*0.16</f>
        <v>39252198326.095627</v>
      </c>
      <c r="S83" s="42">
        <f t="shared" si="31"/>
        <v>2.8256553613854433E+19</v>
      </c>
      <c r="T83" s="22">
        <f>-(Données!I$49*1E-24*H83+Données!F$49)*S83+Données!F$47*O83</f>
        <v>-13815172719.197021</v>
      </c>
      <c r="U83" s="28">
        <f t="shared" si="32"/>
        <v>2.9413728066572811E+21</v>
      </c>
      <c r="V83" s="19"/>
      <c r="W83" s="40">
        <f t="shared" si="33"/>
        <v>1.5588901246077503E+19</v>
      </c>
      <c r="X83" s="21">
        <f>-(Données!I$50*1E-24*H83+Données!F$50)*W83+Données!F$45*K83</f>
        <v>-125340130835.54861</v>
      </c>
      <c r="Y83" s="42">
        <f t="shared" si="34"/>
        <v>1.3329107461462984E+22</v>
      </c>
      <c r="Z83" s="23">
        <f>-(Données!I$51*1E-24*H83+Données!F$51)*Y83+Données!F$48*Q83</f>
        <v>-14470365485632.828</v>
      </c>
      <c r="AA83" s="15">
        <f t="shared" si="35"/>
        <v>1.3344696362709063E+22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3459355206463252.5</v>
      </c>
      <c r="I84" s="40">
        <f t="shared" si="26"/>
        <v>2.504927126980422E+19</v>
      </c>
      <c r="J84" s="21">
        <f>-(Données!I$44*1E-24*H84+Données!F$44)*I84+(Données!H$49*1E-24*H84*S84)*0.71+Données!H$50*1E-24*H84*W84</f>
        <v>-14038766337.548416</v>
      </c>
      <c r="K84" s="42">
        <f t="shared" si="27"/>
        <v>1.819552435666955E+21</v>
      </c>
      <c r="L84" s="23">
        <f>-(Données!I$45*1E-24*H84+Données!F$45)*K84+(I84*Données!H$44*1E-24*H84)+(Données!H$51*1E-24*H84)*Y84</f>
        <v>-1771708830239.9004</v>
      </c>
      <c r="M84" s="40">
        <f t="shared" si="28"/>
        <v>8.8055370165526882E+20</v>
      </c>
      <c r="N84" s="21">
        <f>-(Données!I$46*1E-24*H84+Données!F$46)*M84+Données!H$45*1E-24*H84*K84</f>
        <v>245965861679.11914</v>
      </c>
      <c r="O84" s="42">
        <f t="shared" si="29"/>
        <v>1.1899324744388916E+20</v>
      </c>
      <c r="P84" s="23">
        <f>-(Données!I$47*1E-24*H84+Données!F$47)*O84+(Données!H$46*1E-24*H84)*M84</f>
        <v>19470521706.186768</v>
      </c>
      <c r="Q84" s="40">
        <f t="shared" si="30"/>
        <v>6.5097803987768943E+19</v>
      </c>
      <c r="R84" s="43">
        <f>-(Données!I$48*1E-24*H84+Données!F$48)*Q84+Données!H$47*1E-24*H84*O84+(Données!H$49*1E-24*H84*S84)*0.85*0.16</f>
        <v>39033986429.077301</v>
      </c>
      <c r="S84" s="42">
        <f t="shared" si="31"/>
        <v>2.8220247339948384E+19</v>
      </c>
      <c r="T84" s="22">
        <f>-(Données!I$49*1E-24*H84+Données!F$49)*S84+Données!F$47*O84</f>
        <v>-13486376043.547607</v>
      </c>
      <c r="U84" s="28">
        <f t="shared" si="32"/>
        <v>2.9374667073636343E+21</v>
      </c>
      <c r="V84" s="19"/>
      <c r="W84" s="40">
        <f t="shared" si="33"/>
        <v>1.5259507382241681E+19</v>
      </c>
      <c r="X84" s="21">
        <f>-(Données!I$50*1E-24*H84+Données!F$50)*W84+Données!F$45*K84</f>
        <v>-122660798072.68062</v>
      </c>
      <c r="Y84" s="42">
        <f t="shared" si="34"/>
        <v>1.329107934096674E+22</v>
      </c>
      <c r="Z84" s="23">
        <f>-(Données!I$51*1E-24*H84+Données!F$51)*Y84+Données!F$48*Q84</f>
        <v>-14429081323931.836</v>
      </c>
      <c r="AA84" s="15">
        <f t="shared" si="35"/>
        <v>1.3306338848348983E+22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3459355206463252.5</v>
      </c>
      <c r="I85" s="40">
        <f t="shared" si="26"/>
        <v>2.5012377391869145E+19</v>
      </c>
      <c r="J85" s="21">
        <f>-(Données!I$44*1E-24*H85+Données!F$44)*I85+(Données!H$49*1E-24*H85*S85)*0.71+Données!H$50*1E-24*H85*W85</f>
        <v>-14529690427.845959</v>
      </c>
      <c r="K85" s="42">
        <f t="shared" si="27"/>
        <v>1.8148963848610846E+21</v>
      </c>
      <c r="L85" s="23">
        <f>-(Données!I$45*1E-24*H85+Données!F$45)*K85+(I85*Données!H$44*1E-24*H85)+(Données!H$51*1E-24*H85)*Y85</f>
        <v>-1770701485731.9414</v>
      </c>
      <c r="M85" s="40">
        <f t="shared" si="28"/>
        <v>8.8120009993976152E+20</v>
      </c>
      <c r="N85" s="21">
        <f>-(Données!I$46*1E-24*H85+Données!F$46)*M85+Données!H$45*1E-24*H85*K85</f>
        <v>236610690928.92871</v>
      </c>
      <c r="O85" s="42">
        <f t="shared" si="29"/>
        <v>1.1904441597493302E+20</v>
      </c>
      <c r="P85" s="23">
        <f>-(Données!I$47*1E-24*H85+Données!F$47)*O85+(Données!H$46*1E-24*H85)*M85</f>
        <v>19901751019.268799</v>
      </c>
      <c r="Q85" s="40">
        <f t="shared" si="30"/>
        <v>6.5200385304104559E+19</v>
      </c>
      <c r="R85" s="43">
        <f>-(Données!I$48*1E-24*H85+Données!F$48)*Q85+Données!H$47*1E-24*H85*O85+(Données!H$49*1E-24*H85*S85)*0.85*0.16</f>
        <v>38819927904.539246</v>
      </c>
      <c r="S85" s="42">
        <f t="shared" si="31"/>
        <v>2.818480514370594E+19</v>
      </c>
      <c r="T85" s="22">
        <f>-(Données!I$49*1E-24*H85+Données!F$49)*S85+Données!F$47*O85</f>
        <v>-13161626709.598206</v>
      </c>
      <c r="U85" s="28">
        <f t="shared" si="32"/>
        <v>2.9335384686154587E+21</v>
      </c>
      <c r="V85" s="19"/>
      <c r="W85" s="40">
        <f t="shared" si="33"/>
        <v>1.4937154804906676E+19</v>
      </c>
      <c r="X85" s="21">
        <f>-(Données!I$50*1E-24*H85+Données!F$50)*W85+Données!F$45*K85</f>
        <v>-120038828611.50534</v>
      </c>
      <c r="Y85" s="42">
        <f t="shared" si="34"/>
        <v>1.3253159715247447E+22</v>
      </c>
      <c r="Z85" s="23">
        <f>-(Données!I$51*1E-24*H85+Données!F$51)*Y85+Données!F$48*Q85</f>
        <v>-14387914946556.732</v>
      </c>
      <c r="AA85" s="15">
        <f t="shared" si="35"/>
        <v>1.3268096870052354E+22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3459355206463252.5</v>
      </c>
      <c r="I86" s="40">
        <f t="shared" si="26"/>
        <v>2.4974193365424767E+19</v>
      </c>
      <c r="J86" s="21">
        <f>-(Données!I$44*1E-24*H86+Données!F$44)*I86+(Données!H$49*1E-24*H86*S86)*0.71+Données!H$50*1E-24*H86*W86</f>
        <v>-14996565303.517811</v>
      </c>
      <c r="K86" s="42">
        <f t="shared" si="27"/>
        <v>1.8102429813565812E+21</v>
      </c>
      <c r="L86" s="23">
        <f>-(Données!I$45*1E-24*H86+Données!F$45)*K86+(I86*Données!H$44*1E-24*H86)+(Données!H$51*1E-24*H86)*Y86</f>
        <v>-1769617796300.377</v>
      </c>
      <c r="M86" s="40">
        <f t="shared" si="28"/>
        <v>8.8182191283552269E+20</v>
      </c>
      <c r="N86" s="21">
        <f>-(Données!I$46*1E-24*H86+Données!F$46)*M86+Données!H$45*1E-24*H86*K86</f>
        <v>227333716950.02637</v>
      </c>
      <c r="O86" s="42">
        <f t="shared" si="29"/>
        <v>1.1909671777661166E+20</v>
      </c>
      <c r="P86" s="23">
        <f>-(Données!I$47*1E-24*H86+Données!F$47)*O86+(Données!H$46*1E-24*H86)*M86</f>
        <v>20281093695.316406</v>
      </c>
      <c r="Q86" s="40">
        <f t="shared" si="30"/>
        <v>6.5302404074637689E+19</v>
      </c>
      <c r="R86" s="43">
        <f>-(Données!I$48*1E-24*H86+Données!F$48)*Q86+Données!H$47*1E-24*H86*O86+(Données!H$49*1E-24*H86*S86)*0.85*0.16</f>
        <v>38609766020.686584</v>
      </c>
      <c r="S86" s="42">
        <f t="shared" si="31"/>
        <v>2.8150216388713116E+19</v>
      </c>
      <c r="T86" s="22">
        <f>-(Données!I$49*1E-24*H86+Données!F$49)*S86+Données!F$47*O86</f>
        <v>-12841067928.819183</v>
      </c>
      <c r="U86" s="28">
        <f t="shared" si="32"/>
        <v>2.9295884257974912E+21</v>
      </c>
      <c r="V86" s="19"/>
      <c r="W86" s="40">
        <f t="shared" si="33"/>
        <v>1.462169276331564E+19</v>
      </c>
      <c r="X86" s="21">
        <f>-(Données!I$50*1E-24*H86+Données!F$50)*W86+Données!F$45*K86</f>
        <v>-117472994094.94711</v>
      </c>
      <c r="Y86" s="42">
        <f t="shared" si="34"/>
        <v>1.3215348274767895E+22</v>
      </c>
      <c r="Z86" s="23">
        <f>-(Données!I$51*1E-24*H86+Données!F$51)*Y86+Données!F$48*Q86</f>
        <v>-14346866017466.551</v>
      </c>
      <c r="AA86" s="15">
        <f t="shared" si="35"/>
        <v>1.3229969967531212E+22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3459355206463252.5</v>
      </c>
      <c r="I87" s="40">
        <f t="shared" si="26"/>
        <v>2.4934782391807123E+19</v>
      </c>
      <c r="J87" s="21">
        <f>-(Données!I$44*1E-24*H87+Données!F$44)*I87+(Données!H$49*1E-24*H87*S87)*0.71+Données!H$50*1E-24*H87*W87</f>
        <v>-15440100902.096973</v>
      </c>
      <c r="K87" s="42">
        <f t="shared" si="27"/>
        <v>1.8055924257879037E+21</v>
      </c>
      <c r="L87" s="23">
        <f>-(Données!I$45*1E-24*H87+Données!F$45)*K87+(I87*Données!H$44*1E-24*H87)+(Données!H$51*1E-24*H87)*Y87</f>
        <v>-1768459474630.2637</v>
      </c>
      <c r="M87" s="40">
        <f t="shared" si="28"/>
        <v>8.8241934584366734E+20</v>
      </c>
      <c r="N87" s="21">
        <f>-(Données!I$46*1E-24*H87+Données!F$46)*M87+Données!H$45*1E-24*H87*K87</f>
        <v>218134640642.57275</v>
      </c>
      <c r="O87" s="42">
        <f t="shared" si="29"/>
        <v>1.1915001649084295E+20</v>
      </c>
      <c r="P87" s="23">
        <f>-(Données!I$47*1E-24*H87+Données!F$47)*O87+(Données!H$46*1E-24*H87)*M87</f>
        <v>20610445568.675781</v>
      </c>
      <c r="Q87" s="40">
        <f t="shared" si="30"/>
        <v>6.5403870539740054E+19</v>
      </c>
      <c r="R87" s="43">
        <f>-(Données!I$48*1E-24*H87+Données!F$48)*Q87+Données!H$47*1E-24*H87*O87+(Données!H$49*1E-24*H87*S87)*0.85*0.16</f>
        <v>38403253486.561226</v>
      </c>
      <c r="S87" s="42">
        <f t="shared" si="31"/>
        <v>2.8116470062196179E+19</v>
      </c>
      <c r="T87" s="22">
        <f>-(Données!I$49*1E-24*H87+Données!F$49)*S87+Données!F$47*O87</f>
        <v>-12524832409.555664</v>
      </c>
      <c r="U87" s="28">
        <f t="shared" si="32"/>
        <v>2.9256169111161573E+21</v>
      </c>
      <c r="V87" s="19"/>
      <c r="W87" s="40">
        <f t="shared" si="33"/>
        <v>1.4312973734834119E+19</v>
      </c>
      <c r="X87" s="21">
        <f>-(Données!I$50*1E-24*H87+Données!F$50)*W87+Données!F$45*K87</f>
        <v>-114962092469.70146</v>
      </c>
      <c r="Y87" s="42">
        <f t="shared" si="34"/>
        <v>1.3177644710873994E+22</v>
      </c>
      <c r="Z87" s="23">
        <f>-(Données!I$51*1E-24*H87+Données!F$51)*Y87+Données!F$48*Q87</f>
        <v>-14305934201579.08</v>
      </c>
      <c r="AA87" s="15">
        <f t="shared" si="35"/>
        <v>1.3191957684608827E+22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3459355206463252.5</v>
      </c>
      <c r="I88" s="40">
        <f t="shared" si="26"/>
        <v>2.4894205806636413E+19</v>
      </c>
      <c r="J88" s="21">
        <f>-(Données!I$44*1E-24*H88+Données!F$44)*I88+(Données!H$49*1E-24*H88*S88)*0.71+Données!H$50*1E-24*H88*W88</f>
        <v>-15860991143.337978</v>
      </c>
      <c r="K88" s="42">
        <f t="shared" si="27"/>
        <v>1.8009449142885753E+21</v>
      </c>
      <c r="L88" s="23">
        <f>-(Données!I$45*1E-24*H88+Données!F$45)*K88+(I88*Données!H$44*1E-24*H88)+(Données!H$51*1E-24*H88)*Y88</f>
        <v>-1767228201283.7871</v>
      </c>
      <c r="M88" s="40">
        <f t="shared" si="28"/>
        <v>8.8299260367927601E+20</v>
      </c>
      <c r="N88" s="21">
        <f>-(Données!I$46*1E-24*H88+Données!F$46)*M88+Données!H$45*1E-24*H88*K88</f>
        <v>209013158108.97314</v>
      </c>
      <c r="O88" s="42">
        <f t="shared" si="29"/>
        <v>1.1920418074179743E+20</v>
      </c>
      <c r="P88" s="23">
        <f>-(Données!I$47*1E-24*H88+Données!F$47)*O88+(Données!H$46*1E-24*H88)*M88</f>
        <v>20891643820.629639</v>
      </c>
      <c r="Q88" s="40">
        <f t="shared" si="30"/>
        <v>6.5504794289902739E+19</v>
      </c>
      <c r="R88" s="43">
        <f>-(Données!I$48*1E-24*H88+Données!F$48)*Q88+Données!H$47*1E-24*H88*O88+(Données!H$49*1E-24*H88*S88)*0.85*0.16</f>
        <v>38200152162.714462</v>
      </c>
      <c r="S88" s="42">
        <f t="shared" si="31"/>
        <v>2.8083554802623865E+19</v>
      </c>
      <c r="T88" s="22">
        <f>-(Données!I$49*1E-24*H88+Données!F$49)*S88+Données!F$47*O88</f>
        <v>-12213042792.602112</v>
      </c>
      <c r="U88" s="28">
        <f t="shared" si="32"/>
        <v>2.9216242536088118E+21</v>
      </c>
      <c r="V88" s="19"/>
      <c r="W88" s="40">
        <f t="shared" si="33"/>
        <v>1.4010853355823743E+19</v>
      </c>
      <c r="X88" s="21">
        <f>-(Données!I$50*1E-24*H88+Données!F$50)*W88+Données!F$45*K88</f>
        <v>-112504947422.98312</v>
      </c>
      <c r="Y88" s="42">
        <f t="shared" si="34"/>
        <v>1.3140048715792245E+22</v>
      </c>
      <c r="Z88" s="23">
        <f>-(Données!I$51*1E-24*H88+Données!F$51)*Y88+Données!F$48*Q88</f>
        <v>-14265119164768.152</v>
      </c>
      <c r="AA88" s="15">
        <f t="shared" si="35"/>
        <v>1.3154059569148069E+22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3459355206463252.5</v>
      </c>
      <c r="I89" s="40">
        <f t="shared" si="26"/>
        <v>2.4852523121911722E+19</v>
      </c>
      <c r="J89" s="21">
        <f>-(Données!I$44*1E-24*H89+Données!F$44)*I89+(Données!H$49*1E-24*H89*S89)*0.71+Données!H$50*1E-24*H89*W89</f>
        <v>-16259914206.929634</v>
      </c>
      <c r="K89" s="42">
        <f t="shared" si="27"/>
        <v>1.7963006385756014E+21</v>
      </c>
      <c r="L89" s="23">
        <f>-(Données!I$45*1E-24*H89+Données!F$45)*K89+(I89*Données!H$44*1E-24*H89)+(Données!H$51*1E-24*H89)*Y89</f>
        <v>-1765925625277.6816</v>
      </c>
      <c r="M89" s="40">
        <f t="shared" si="28"/>
        <v>8.8354189025878645E+20</v>
      </c>
      <c r="N89" s="21">
        <f>-(Données!I$46*1E-24*H89+Données!F$46)*M89+Données!H$45*1E-24*H89*K89</f>
        <v>199968960826.1665</v>
      </c>
      <c r="O89" s="42">
        <f t="shared" si="29"/>
        <v>1.1925908398175804E+20</v>
      </c>
      <c r="P89" s="23">
        <f>-(Données!I$47*1E-24*H89+Données!F$47)*O89+(Données!H$46*1E-24*H89)*M89</f>
        <v>21126468735.678223</v>
      </c>
      <c r="Q89" s="40">
        <f t="shared" si="30"/>
        <v>6.5605184289786356E+19</v>
      </c>
      <c r="R89" s="43">
        <f>-(Données!I$48*1E-24*H89+Données!F$48)*Q89+Données!H$47*1E-24*H89*O89+(Données!H$49*1E-24*H89*S89)*0.85*0.16</f>
        <v>38000232780.33477</v>
      </c>
      <c r="S89" s="42">
        <f t="shared" si="31"/>
        <v>2.8051458926164906E+19</v>
      </c>
      <c r="T89" s="22">
        <f>-(Données!I$49*1E-24*H89+Données!F$49)*S89+Données!F$47*O89</f>
        <v>-11905812071.524231</v>
      </c>
      <c r="U89" s="28">
        <f t="shared" si="32"/>
        <v>2.917610779154009E+21</v>
      </c>
      <c r="V89" s="19"/>
      <c r="W89" s="40">
        <f t="shared" si="33"/>
        <v>1.3715190353996143E+19</v>
      </c>
      <c r="X89" s="21">
        <f>-(Données!I$50*1E-24*H89+Données!F$50)*W89+Données!F$45*K89</f>
        <v>-110100407831.33476</v>
      </c>
      <c r="Y89" s="42">
        <f t="shared" si="34"/>
        <v>1.3102559982627234E+22</v>
      </c>
      <c r="Z89" s="23">
        <f>-(Données!I$51*1E-24*H89+Données!F$51)*Y89+Données!F$48*Q89</f>
        <v>-14224420573860.898</v>
      </c>
      <c r="AA89" s="15">
        <f t="shared" si="35"/>
        <v>1.3116275172981229E+22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3459355206463252.5</v>
      </c>
      <c r="I90" s="40">
        <f t="shared" si="26"/>
        <v>2.4809792067375911E+19</v>
      </c>
      <c r="J90" s="21">
        <f>-(Données!I$44*1E-24*H90+Données!F$44)*I90+(Données!H$49*1E-24*H90*S90)*0.71+Données!H$50*1E-24*H90*W90</f>
        <v>-16637532807.581085</v>
      </c>
      <c r="K90" s="42">
        <f t="shared" si="27"/>
        <v>1.7916597860323717E+21</v>
      </c>
      <c r="L90" s="23">
        <f>-(Données!I$45*1E-24*H90+Données!F$45)*K90+(I90*Données!H$44*1E-24*H90)+(Données!H$51*1E-24*H90)*Y90</f>
        <v>-1764553364650.2344</v>
      </c>
      <c r="M90" s="40">
        <f t="shared" si="28"/>
        <v>8.8406740868783761E+20</v>
      </c>
      <c r="N90" s="21">
        <f>-(Données!I$46*1E-24*H90+Données!F$46)*M90+Données!H$45*1E-24*H90*K90</f>
        <v>191001735814.14307</v>
      </c>
      <c r="O90" s="42">
        <f t="shared" si="29"/>
        <v>1.1931460434159541E+20</v>
      </c>
      <c r="P90" s="23">
        <f>-(Données!I$47*1E-24*H90+Données!F$47)*O90+(Données!H$46*1E-24*H90)*M90</f>
        <v>21316645405.351807</v>
      </c>
      <c r="Q90" s="40">
        <f t="shared" si="30"/>
        <v>6.5705048901533073E+19</v>
      </c>
      <c r="R90" s="43">
        <f>-(Données!I$48*1E-24*H90+Données!F$48)*Q90+Données!H$47*1E-24*H90*O90+(Données!H$49*1E-24*H90*S90)*0.85*0.16</f>
        <v>37803274668.583771</v>
      </c>
      <c r="S90" s="42">
        <f t="shared" si="31"/>
        <v>2.8020170452040942E+19</v>
      </c>
      <c r="T90" s="22">
        <f>-(Données!I$49*1E-24*H90+Données!F$49)*S90+Données!F$47*O90</f>
        <v>-11603243998.224365</v>
      </c>
      <c r="U90" s="28">
        <f t="shared" si="32"/>
        <v>2.9135768104827544E+21</v>
      </c>
      <c r="V90" s="19"/>
      <c r="W90" s="40">
        <f t="shared" si="33"/>
        <v>1.3425846482215395E+19</v>
      </c>
      <c r="X90" s="21">
        <f>-(Données!I$50*1E-24*H90+Données!F$50)*W90+Données!F$45*K90</f>
        <v>-107747347221.23842</v>
      </c>
      <c r="Y90" s="42">
        <f t="shared" si="34"/>
        <v>1.3065178205359127E+22</v>
      </c>
      <c r="Z90" s="23">
        <f>-(Données!I$51*1E-24*H90+Données!F$51)*Y90+Données!F$48*Q90</f>
        <v>-14183838096635.029</v>
      </c>
      <c r="AA90" s="15">
        <f t="shared" si="35"/>
        <v>1.3078604051841343E+22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3459355206463252.5</v>
      </c>
      <c r="I91" s="40">
        <f t="shared" si="26"/>
        <v>2.4766068631157588E+19</v>
      </c>
      <c r="J91" s="21">
        <f>-(Données!I$44*1E-24*H91+Données!F$44)*I91+(Données!H$49*1E-24*H91*S91)*0.71+Données!H$50*1E-24*H91*W91</f>
        <v>-16994494467.419674</v>
      </c>
      <c r="K91" s="42">
        <f t="shared" si="27"/>
        <v>1.7870225397900708E+21</v>
      </c>
      <c r="L91" s="23">
        <f>-(Données!I$45*1E-24*H91+Données!F$45)*K91+(I91*Données!H$44*1E-24*H91)+(Données!H$51*1E-24*H91)*Y91</f>
        <v>-1763113007018.1484</v>
      </c>
      <c r="M91" s="40">
        <f t="shared" si="28"/>
        <v>8.8456936124955715E+20</v>
      </c>
      <c r="N91" s="21">
        <f>-(Données!I$46*1E-24*H91+Données!F$46)*M91+Données!H$45*1E-24*H91*K91</f>
        <v>182111165800.75586</v>
      </c>
      <c r="O91" s="42">
        <f t="shared" si="29"/>
        <v>1.1937062448572067E+20</v>
      </c>
      <c r="P91" s="23">
        <f>-(Données!I$47*1E-24*H91+Données!F$47)*O91+(Données!H$46*1E-24*H91)*M91</f>
        <v>21463845381.125488</v>
      </c>
      <c r="Q91" s="40">
        <f t="shared" si="30"/>
        <v>6.5804395907362111E+19</v>
      </c>
      <c r="R91" s="43">
        <f>-(Données!I$48*1E-24*H91+Données!F$48)*Q91+Données!H$47*1E-24*H91*O91+(Données!H$49*1E-24*H91*S91)*0.85*0.16</f>
        <v>37609065489.901367</v>
      </c>
      <c r="S91" s="42">
        <f t="shared" si="31"/>
        <v>2.7989677126813606E+19</v>
      </c>
      <c r="T91" s="22">
        <f>-(Données!I$49*1E-24*H91+Données!F$49)*S91+Données!F$47*O91</f>
        <v>-11305433474.232269</v>
      </c>
      <c r="U91" s="28">
        <f t="shared" si="32"/>
        <v>2.9095226671906821E+21</v>
      </c>
      <c r="V91" s="19"/>
      <c r="W91" s="40">
        <f t="shared" si="33"/>
        <v>1.3142686453717981E+19</v>
      </c>
      <c r="X91" s="21">
        <f>-(Données!I$50*1E-24*H91+Données!F$50)*W91+Données!F$45*K91</f>
        <v>-105444663241.27676</v>
      </c>
      <c r="Y91" s="42">
        <f t="shared" si="34"/>
        <v>1.3027903078841172E+22</v>
      </c>
      <c r="Z91" s="23">
        <f>-(Données!I$51*1E-24*H91+Données!F$51)*Y91+Données!F$48*Q91</f>
        <v>-14143371401816.133</v>
      </c>
      <c r="AA91" s="15">
        <f t="shared" si="35"/>
        <v>1.304104576529489E+22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3459355206463252.5</v>
      </c>
      <c r="I92" s="40">
        <f t="shared" si="26"/>
        <v>2.4721407099697209E+19</v>
      </c>
      <c r="J92" s="21">
        <f>-(Données!I$44*1E-24*H92+Données!F$44)*I92+(Données!H$49*1E-24*H92*S92)*0.71+Données!H$50*1E-24*H92*W92</f>
        <v>-17331431785.643349</v>
      </c>
      <c r="K92" s="42">
        <f t="shared" si="27"/>
        <v>1.7823890788076272E+21</v>
      </c>
      <c r="L92" s="23">
        <f>-(Données!I$45*1E-24*H92+Données!F$45)*K92+(I92*Données!H$44*1E-24*H92)+(Données!H$51*1E-24*H92)*Y92</f>
        <v>-1761606110123.3496</v>
      </c>
      <c r="M92" s="40">
        <f t="shared" si="28"/>
        <v>8.8504794939328155E+20</v>
      </c>
      <c r="N92" s="21">
        <f>-(Données!I$46*1E-24*H92+Données!F$46)*M92+Données!H$45*1E-24*H92*K92</f>
        <v>173296929382.896</v>
      </c>
      <c r="O92" s="42">
        <f t="shared" si="29"/>
        <v>1.1942703147138227E+20</v>
      </c>
      <c r="P92" s="23">
        <f>-(Données!I$47*1E-24*H92+Données!F$47)*O92+(Données!H$46*1E-24*H92)*M92</f>
        <v>21569688277.960449</v>
      </c>
      <c r="Q92" s="40">
        <f t="shared" si="30"/>
        <v>6.5903232531469574E+19</v>
      </c>
      <c r="R92" s="43">
        <f>-(Données!I$48*1E-24*H92+Données!F$48)*Q92+Données!H$47*1E-24*H92*O92+(Données!H$49*1E-24*H92*S92)*0.85*0.16</f>
        <v>37417400983.047623</v>
      </c>
      <c r="S92" s="42">
        <f t="shared" si="31"/>
        <v>2.7959966447643324E+19</v>
      </c>
      <c r="T92" s="22">
        <f>-(Données!I$49*1E-24*H92+Données!F$49)*S92+Données!F$47*O92</f>
        <v>-11012466928.186005</v>
      </c>
      <c r="U92" s="28">
        <f t="shared" si="32"/>
        <v>2.9054486657511011E+21</v>
      </c>
      <c r="V92" s="19"/>
      <c r="W92" s="40">
        <f t="shared" si="33"/>
        <v>1.2865577878719906E+19</v>
      </c>
      <c r="X92" s="21">
        <f>-(Données!I$50*1E-24*H92+Données!F$50)*W92+Données!F$45*K92</f>
        <v>-103191277145.59677</v>
      </c>
      <c r="Y92" s="42">
        <f t="shared" si="34"/>
        <v>1.2990734298797199E+22</v>
      </c>
      <c r="Z92" s="23">
        <f>-(Données!I$51*1E-24*H92+Données!F$51)*Y92+Données!F$48*Q92</f>
        <v>-14103020159074.949</v>
      </c>
      <c r="AA92" s="15">
        <f t="shared" si="35"/>
        <v>1.3003599876675919E+22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3459355206463252.5</v>
      </c>
      <c r="I93" s="40">
        <f t="shared" si="26"/>
        <v>2.4675860096964538E+19</v>
      </c>
      <c r="J93" s="21">
        <f>-(Données!I$44*1E-24*H93+Données!F$44)*I93+(Données!H$49*1E-24*H93*S93)*0.71+Données!H$50*1E-24*H93*W93</f>
        <v>-17648962705.376068</v>
      </c>
      <c r="K93" s="42">
        <f t="shared" si="27"/>
        <v>1.7777595779502231E+21</v>
      </c>
      <c r="L93" s="23">
        <f>-(Données!I$45*1E-24*H93+Données!F$45)*K93+(I93*Données!H$44*1E-24*H93)+(Données!H$51*1E-24*H93)*Y93</f>
        <v>-1760034202370.0137</v>
      </c>
      <c r="M93" s="40">
        <f t="shared" si="28"/>
        <v>8.8550337372369977E+20</v>
      </c>
      <c r="N93" s="21">
        <f>-(Données!I$46*1E-24*H93+Données!F$46)*M93+Données!H$45*1E-24*H93*K93</f>
        <v>164558701184.11621</v>
      </c>
      <c r="O93" s="42">
        <f t="shared" si="29"/>
        <v>1.1948371661217674E+20</v>
      </c>
      <c r="P93" s="23">
        <f>-(Données!I$47*1E-24*H93+Données!F$47)*O93+(Données!H$46*1E-24*H93)*M93</f>
        <v>21635743329.958008</v>
      </c>
      <c r="Q93" s="40">
        <f t="shared" si="30"/>
        <v>6.6001565461253022E+19</v>
      </c>
      <c r="R93" s="43">
        <f>-(Données!I$48*1E-24*H93+Données!F$48)*Q93+Données!H$47*1E-24*H93*O93+(Données!H$49*1E-24*H93*S93)*0.85*0.16</f>
        <v>37228084713.655533</v>
      </c>
      <c r="S93" s="42">
        <f t="shared" si="31"/>
        <v>2.793102568455605E+19</v>
      </c>
      <c r="T93" s="22">
        <f>-(Données!I$49*1E-24*H93+Données!F$49)*S93+Données!F$47*O93</f>
        <v>-10724422679.954926</v>
      </c>
      <c r="U93" s="28">
        <f t="shared" si="32"/>
        <v>2.9013551195288738E+21</v>
      </c>
      <c r="V93" s="19"/>
      <c r="W93" s="40">
        <f t="shared" si="33"/>
        <v>1.2594391202381277E+19</v>
      </c>
      <c r="X93" s="21">
        <f>-(Données!I$50*1E-24*H93+Données!F$50)*W93+Données!F$45*K93</f>
        <v>-100986133288.43434</v>
      </c>
      <c r="Y93" s="42">
        <f t="shared" si="34"/>
        <v>1.2953671561819149E+22</v>
      </c>
      <c r="Z93" s="23">
        <f>-(Données!I$51*1E-24*H93+Données!F$51)*Y93+Données!F$48*Q93</f>
        <v>-14062784039024.693</v>
      </c>
      <c r="AA93" s="15">
        <f t="shared" si="35"/>
        <v>1.2966265953021531E+22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3459355206463252.5</v>
      </c>
      <c r="I94" s="40">
        <f t="shared" si="26"/>
        <v>2.4629478622974808E+19</v>
      </c>
      <c r="J94" s="21">
        <f>-(Données!I$44*1E-24*H94+Données!F$44)*I94+(Données!H$49*1E-24*H94*S94)*0.71+Données!H$50*1E-24*H94*W94</f>
        <v>-17947690777.67942</v>
      </c>
      <c r="K94" s="42">
        <f t="shared" si="27"/>
        <v>1.7731342080663948E+21</v>
      </c>
      <c r="L94" s="23">
        <f>-(Données!I$45*1E-24*H94+Données!F$45)*K94+(I94*Données!H$44*1E-24*H94)+(Données!H$51*1E-24*H94)*Y94</f>
        <v>-1758398783351.9687</v>
      </c>
      <c r="M94" s="40">
        <f t="shared" si="28"/>
        <v>8.8593583399041158E+20</v>
      </c>
      <c r="N94" s="21">
        <f>-(Données!I$46*1E-24*H94+Données!F$46)*M94+Données!H$45*1E-24*H94*K94</f>
        <v>155896152008.74854</v>
      </c>
      <c r="O94" s="42">
        <f t="shared" si="29"/>
        <v>1.1954057534564788E+20</v>
      </c>
      <c r="P94" s="23">
        <f>-(Données!I$47*1E-24*H94+Données!F$47)*O94+(Données!H$46*1E-24*H94)*M94</f>
        <v>21663530899.553955</v>
      </c>
      <c r="Q94" s="40">
        <f t="shared" si="30"/>
        <v>6.6099400867880509E+19</v>
      </c>
      <c r="R94" s="43">
        <f>-(Données!I$48*1E-24*H94+Données!F$48)*Q94+Données!H$47*1E-24*H94*O94+(Données!H$49*1E-24*H94*S94)*0.85*0.16</f>
        <v>37040927832.076416</v>
      </c>
      <c r="S94" s="42">
        <f t="shared" si="31"/>
        <v>2.7902841901753127E+19</v>
      </c>
      <c r="T94" s="22">
        <f>-(Données!I$49*1E-24*H94+Données!F$49)*S94+Données!F$47*O94</f>
        <v>-10441371291.841858</v>
      </c>
      <c r="U94" s="28">
        <f t="shared" si="32"/>
        <v>2.8972423387950623E+21</v>
      </c>
      <c r="V94" s="19"/>
      <c r="W94" s="40">
        <f t="shared" si="33"/>
        <v>1.2328999644099273E+19</v>
      </c>
      <c r="X94" s="21">
        <f>-(Données!I$50*1E-24*H94+Données!F$50)*W94+Données!F$45*K94</f>
        <v>-98828198629.462158</v>
      </c>
      <c r="Y94" s="42">
        <f t="shared" si="34"/>
        <v>1.2916714565364592E+22</v>
      </c>
      <c r="Z94" s="23">
        <f>-(Données!I$51*1E-24*H94+Données!F$51)*Y94+Données!F$48*Q94</f>
        <v>-14022662713218.348</v>
      </c>
      <c r="AA94" s="15">
        <f t="shared" si="35"/>
        <v>1.2929043565008692E+22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3459355206463252.5</v>
      </c>
      <c r="I95" s="40">
        <f t="shared" ref="I95:I136" si="38">I94+J94*D$5</f>
        <v>2.4582312091611066E+19</v>
      </c>
      <c r="J95" s="21">
        <f>-(Données!I$44*1E-24*H95+Données!F$44)*I95+(Données!H$49*1E-24*H95*S95)*0.71+Données!H$50*1E-24*H95*W95</f>
        <v>-18228205422.676582</v>
      </c>
      <c r="K95" s="42">
        <f t="shared" ref="K95:K136" si="39">K94+L94*D$5</f>
        <v>1.7685131360637459E+21</v>
      </c>
      <c r="L95" s="23">
        <f>-(Données!I$45*1E-24*H95+Données!F$45)*K95+(I95*Données!H$44*1E-24*H95)+(Données!H$51*1E-24*H95)*Y95</f>
        <v>-1756701324370.6289</v>
      </c>
      <c r="M95" s="40">
        <f t="shared" ref="M95:M136" si="40">M94+N94*D$5</f>
        <v>8.8634552907789055E+20</v>
      </c>
      <c r="N95" s="21">
        <f>-(Données!I$46*1E-24*H95+Données!F$46)*M95+Données!H$45*1E-24*H95*K95</f>
        <v>147308948992.60937</v>
      </c>
      <c r="O95" s="42">
        <f t="shared" ref="O95:O136" si="41">O94+P94*D$5</f>
        <v>1.195975071048519E+20</v>
      </c>
      <c r="P95" s="23">
        <f>-(Données!I$47*1E-24*H95+Données!F$47)*O95+(Données!H$46*1E-24*H95)*M95</f>
        <v>21654523941.6521</v>
      </c>
      <c r="Q95" s="40">
        <f t="shared" ref="Q95:Q136" si="42">Q94+R94*D$5</f>
        <v>6.6196744426223206E+19</v>
      </c>
      <c r="R95" s="43">
        <f>-(Données!I$48*1E-24*H95+Données!F$48)*Q95+Données!H$47*1E-24*H95*O95+(Données!H$49*1E-24*H95*S95)*0.85*0.16</f>
        <v>36855748838.304779</v>
      </c>
      <c r="S95" s="42">
        <f t="shared" ref="S95:S136" si="43">S94+T94*D$5</f>
        <v>2.7875401977998168E+19</v>
      </c>
      <c r="T95" s="22">
        <f>-(Données!I$49*1E-24*H95+Données!F$49)*S95+Données!F$47*O95</f>
        <v>-10163375907.286987</v>
      </c>
      <c r="U95" s="28">
        <f t="shared" ref="U95:U136" si="44">I95+K95+M95+O95+Q95+S95</f>
        <v>2.8931106307423213E+21</v>
      </c>
      <c r="V95" s="19"/>
      <c r="W95" s="40">
        <f t="shared" ref="W95:W136" si="45">W94+X94*D$5</f>
        <v>1.2069279138101045E+19</v>
      </c>
      <c r="X95" s="21">
        <f>-(Données!I$50*1E-24*H95+Données!F$50)*W95+Données!F$45*K95</f>
        <v>-96716462249.729752</v>
      </c>
      <c r="Y95" s="42">
        <f t="shared" ref="Y95:Y136" si="46">Y94+Z94*D$5</f>
        <v>1.2879863007754255E+22</v>
      </c>
      <c r="Z95" s="23">
        <f>-(Données!I$51*1E-24*H95+Données!F$51)*Y95+Données!F$48*Q95</f>
        <v>-13982655854146</v>
      </c>
      <c r="AA95" s="15">
        <f t="shared" ref="AA95:AA136" si="47">W95+Y95</f>
        <v>1.2891932286892355E+22</v>
      </c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3459355206463252.5</v>
      </c>
      <c r="I96" s="40">
        <f t="shared" si="38"/>
        <v>2.4534408367760273E+19</v>
      </c>
      <c r="J96" s="21">
        <f>-(Données!I$44*1E-24*H96+Données!F$44)*I96+(Données!H$49*1E-24*H96*S96)*0.71+Données!H$50*1E-24*H96*W96</f>
        <v>-18491082187.751579</v>
      </c>
      <c r="K96" s="42">
        <f t="shared" si="39"/>
        <v>1.7638965249833E+21</v>
      </c>
      <c r="L96" s="23">
        <f>-(Données!I$45*1E-24*H96+Données!F$45)*K96+(I96*Données!H$44*1E-24*H96)+(Données!H$51*1E-24*H96)*Y96</f>
        <v>-1754943268943.7109</v>
      </c>
      <c r="M96" s="40">
        <f t="shared" si="40"/>
        <v>8.8673265699584318E+20</v>
      </c>
      <c r="N96" s="21">
        <f>-(Données!I$46*1E-24*H96+Données!F$46)*M96+Données!H$45*1E-24*H96*K96</f>
        <v>138796755750.33838</v>
      </c>
      <c r="O96" s="42">
        <f t="shared" si="41"/>
        <v>1.1965441519377056E+20</v>
      </c>
      <c r="P96" s="23">
        <f>-(Données!I$47*1E-24*H96+Données!F$47)*O96+(Données!H$46*1E-24*H96)*M96</f>
        <v>21610149424.044189</v>
      </c>
      <c r="Q96" s="40">
        <f t="shared" si="42"/>
        <v>6.6293601334170272E+19</v>
      </c>
      <c r="R96" s="43">
        <f>-(Données!I$48*1E-24*H96+Données!F$48)*Q96+Données!H$47*1E-24*H96*O96+(Données!H$49*1E-24*H96*S96)*0.85*0.16</f>
        <v>36672373353.777405</v>
      </c>
      <c r="S96" s="42">
        <f t="shared" si="43"/>
        <v>2.7848692626113819E+19</v>
      </c>
      <c r="T96" s="22">
        <f>-(Données!I$49*1E-24*H96+Données!F$49)*S96+Données!F$47*O96</f>
        <v>-9890492577.4840698</v>
      </c>
      <c r="U96" s="28">
        <f t="shared" si="44"/>
        <v>2.8889602995009581E+21</v>
      </c>
      <c r="V96" s="19"/>
      <c r="W96" s="40">
        <f t="shared" si="45"/>
        <v>1.1815108275308755E+19</v>
      </c>
      <c r="X96" s="21">
        <f>-(Données!I$50*1E-24*H96+Données!F$50)*W96+Données!F$45*K96</f>
        <v>-94649934877.968781</v>
      </c>
      <c r="Y96" s="42">
        <f t="shared" si="46"/>
        <v>1.2843116588169559E+22</v>
      </c>
      <c r="Z96" s="23">
        <f>-(Données!I$51*1E-24*H96+Données!F$51)*Y96+Données!F$48*Q96</f>
        <v>-13942763135232.141</v>
      </c>
      <c r="AA96" s="15">
        <f t="shared" si="47"/>
        <v>1.2854931696444867E+22</v>
      </c>
    </row>
    <row r="97" spans="3:27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3459355206463252.5</v>
      </c>
      <c r="I97" s="40">
        <f t="shared" si="38"/>
        <v>2.4485813803770864E+19</v>
      </c>
      <c r="J97" s="21">
        <f>-(Données!I$44*1E-24*H97+Données!F$44)*I97+(Données!H$49*1E-24*H97*S97)*0.71+Données!H$50*1E-24*H97*W97</f>
        <v>-18736883002.78801</v>
      </c>
      <c r="K97" s="42">
        <f t="shared" si="39"/>
        <v>1.759284534072516E+21</v>
      </c>
      <c r="L97" s="23">
        <f>-(Données!I$45*1E-24*H97+Données!F$45)*K97+(I97*Données!H$44*1E-24*H97)+(Données!H$51*1E-24*H97)*Y97</f>
        <v>-1753126033304.7891</v>
      </c>
      <c r="M97" s="40">
        <f t="shared" si="40"/>
        <v>8.8709741486995512E+20</v>
      </c>
      <c r="N97" s="21">
        <f>-(Données!I$46*1E-24*H97+Données!F$46)*M97+Données!H$45*1E-24*H97*K97</f>
        <v>130359232519.45117</v>
      </c>
      <c r="O97" s="42">
        <f t="shared" si="41"/>
        <v>1.1971120666645694E+20</v>
      </c>
      <c r="P97" s="23">
        <f>-(Données!I$47*1E-24*H97+Données!F$47)*O97+(Données!H$46*1E-24*H97)*M97</f>
        <v>21531789705.425293</v>
      </c>
      <c r="Q97" s="40">
        <f t="shared" si="42"/>
        <v>6.6389976331343995E+19</v>
      </c>
      <c r="R97" s="43">
        <f>-(Données!I$48*1E-24*H97+Données!F$48)*Q97+Données!H$47*1E-24*H97*O97+(Données!H$49*1E-24*H97*S97)*0.85*0.16</f>
        <v>36490633899.84568</v>
      </c>
      <c r="S97" s="42">
        <f t="shared" si="43"/>
        <v>2.7822700411620192E+19</v>
      </c>
      <c r="T97" s="22">
        <f>-(Données!I$49*1E-24*H97+Données!F$49)*S97+Données!F$47*O97</f>
        <v>-9622770576.305542</v>
      </c>
      <c r="U97" s="28">
        <f t="shared" si="44"/>
        <v>2.8847916461556635E+21</v>
      </c>
      <c r="V97" s="19"/>
      <c r="W97" s="40">
        <f t="shared" si="45"/>
        <v>1.1566368246449453E+19</v>
      </c>
      <c r="X97" s="21">
        <f>-(Données!I$50*1E-24*H97+Données!F$50)*W97+Données!F$45*K97</f>
        <v>-92627648427.041306</v>
      </c>
      <c r="Y97" s="42">
        <f t="shared" si="46"/>
        <v>1.2806475006650169E+22</v>
      </c>
      <c r="Z97" s="23">
        <f>-(Données!I$51*1E-24*H97+Données!F$51)*Y97+Données!F$48*Q97</f>
        <v>-13902984230833.02</v>
      </c>
      <c r="AA97" s="15">
        <f t="shared" si="47"/>
        <v>1.2818041374896619E+22</v>
      </c>
    </row>
    <row r="98" spans="3:27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3459355206463252.5</v>
      </c>
      <c r="I98" s="40">
        <f t="shared" si="38"/>
        <v>2.4436573275239539E+19</v>
      </c>
      <c r="J98" s="21">
        <f>-(Données!I$44*1E-24*H98+Données!F$44)*I98+(Données!H$49*1E-24*H98*S98)*0.71+Données!H$50*1E-24*H98*W98</f>
        <v>-18966156432.417679</v>
      </c>
      <c r="K98" s="42">
        <f t="shared" si="39"/>
        <v>1.754677318856991E+21</v>
      </c>
      <c r="L98" s="23">
        <f>-(Données!I$45*1E-24*H98+Données!F$45)*K98+(I98*Données!H$44*1E-24*H98)+(Données!H$51*1E-24*H98)*Y98</f>
        <v>-1751251006893.9824</v>
      </c>
      <c r="M98" s="40">
        <f t="shared" si="40"/>
        <v>8.8743999893301625E+20</v>
      </c>
      <c r="N98" s="21">
        <f>-(Données!I$46*1E-24*H98+Données!F$46)*M98+Données!H$45*1E-24*H98*K98</f>
        <v>121996036301.15479</v>
      </c>
      <c r="O98" s="42">
        <f t="shared" si="41"/>
        <v>1.1976779220980281E+20</v>
      </c>
      <c r="P98" s="23">
        <f>-(Données!I$47*1E-24*H98+Données!F$47)*O98+(Données!H$46*1E-24*H98)*M98</f>
        <v>21420783872.278076</v>
      </c>
      <c r="Q98" s="40">
        <f t="shared" si="42"/>
        <v>6.6485873717232787E+19</v>
      </c>
      <c r="R98" s="43">
        <f>-(Données!I$48*1E-24*H98+Données!F$48)*Q98+Données!H$47*1E-24*H98*O98+(Données!H$49*1E-24*H98*S98)*0.85*0.16</f>
        <v>36310369682.727386</v>
      </c>
      <c r="S98" s="42">
        <f t="shared" si="43"/>
        <v>2.779741177054566E+19</v>
      </c>
      <c r="T98" s="22">
        <f>-(Données!I$49*1E-24*H98+Données!F$49)*S98+Données!F$47*O98</f>
        <v>-9360252703.921051</v>
      </c>
      <c r="U98" s="28">
        <f t="shared" si="44"/>
        <v>2.8806049687628273E+21</v>
      </c>
      <c r="V98" s="19"/>
      <c r="W98" s="40">
        <f t="shared" si="45"/>
        <v>1.1322942786383188E+19</v>
      </c>
      <c r="X98" s="21">
        <f>-(Données!I$50*1E-24*H98+Données!F$50)*W98+Données!F$45*K98</f>
        <v>-90648655540.314163</v>
      </c>
      <c r="Y98" s="42">
        <f t="shared" si="46"/>
        <v>1.2769937964091541E+22</v>
      </c>
      <c r="Z98" s="23">
        <f>-(Données!I$51*1E-24*H98+Données!F$51)*Y98+Données!F$48*Q98</f>
        <v>-13863318816233.984</v>
      </c>
      <c r="AA98" s="15">
        <f t="shared" si="47"/>
        <v>1.2781260906877925E+22</v>
      </c>
    </row>
    <row r="99" spans="3:27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3459355206463252.5</v>
      </c>
      <c r="I99" s="40">
        <f t="shared" si="38"/>
        <v>2.4386730216135143E+19</v>
      </c>
      <c r="J99" s="21">
        <f>-(Données!I$44*1E-24*H99+Données!F$44)*I99+(Données!H$49*1E-24*H99*S99)*0.71+Données!H$50*1E-24*H99*W99</f>
        <v>-19179437925.251362</v>
      </c>
      <c r="K99" s="42">
        <f t="shared" si="39"/>
        <v>1.7500750312108736E+21</v>
      </c>
      <c r="L99" s="23">
        <f>-(Données!I$45*1E-24*H99+Données!F$45)*K99+(I99*Données!H$44*1E-24*H99)+(Données!H$51*1E-24*H99)*Y99</f>
        <v>-1749319552839.8691</v>
      </c>
      <c r="M99" s="40">
        <f t="shared" si="40"/>
        <v>8.877606045164157E+20</v>
      </c>
      <c r="N99" s="21">
        <f>-(Données!I$46*1E-24*H99+Données!F$46)*M99+Données!H$45*1E-24*H99*K99</f>
        <v>113706820998.00635</v>
      </c>
      <c r="O99" s="42">
        <f t="shared" si="41"/>
        <v>1.1982408602981915E+20</v>
      </c>
      <c r="P99" s="23">
        <f>-(Données!I$47*1E-24*H99+Données!F$47)*O99+(Données!H$46*1E-24*H99)*M99</f>
        <v>21278429035.85791</v>
      </c>
      <c r="Q99" s="40">
        <f t="shared" si="42"/>
        <v>6.6581297368758993E+19</v>
      </c>
      <c r="R99" s="43">
        <f>-(Données!I$48*1E-24*H99+Données!F$48)*Q99+Données!H$47*1E-24*H99*O99+(Données!H$49*1E-24*H99*S99)*0.85*0.16</f>
        <v>36131426384.749283</v>
      </c>
      <c r="S99" s="42">
        <f t="shared" si="43"/>
        <v>2.7772813026439754E+19</v>
      </c>
      <c r="T99" s="22">
        <f>-(Données!I$49*1E-24*H99+Données!F$49)*S99+Données!F$47*O99</f>
        <v>-9102975579.4820557</v>
      </c>
      <c r="U99" s="28">
        <f t="shared" si="44"/>
        <v>2.8764005623684425E+21</v>
      </c>
      <c r="V99" s="19"/>
      <c r="W99" s="40">
        <f t="shared" si="45"/>
        <v>1.1084718119623242E+19</v>
      </c>
      <c r="X99" s="21">
        <f>-(Données!I$50*1E-24*H99+Données!F$50)*W99+Données!F$45*K99</f>
        <v>-88712029147.746918</v>
      </c>
      <c r="Y99" s="42">
        <f t="shared" si="46"/>
        <v>1.2733505162242477E+22</v>
      </c>
      <c r="Z99" s="23">
        <f>-(Données!I$51*1E-24*H99+Données!F$51)*Y99+Données!F$48*Q99</f>
        <v>-13823766567646.811</v>
      </c>
      <c r="AA99" s="15">
        <f t="shared" si="47"/>
        <v>1.2744589880362101E+22</v>
      </c>
    </row>
    <row r="100" spans="3:27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3459355206463252.5</v>
      </c>
      <c r="I100" s="40">
        <f t="shared" si="38"/>
        <v>2.4336326653267583E+19</v>
      </c>
      <c r="J100" s="21">
        <f>-(Données!I$44*1E-24*H100+Données!F$44)*I100+(Données!H$49*1E-24*H100*S100)*0.71+Données!H$50*1E-24*H100*W100</f>
        <v>-19377250060.069092</v>
      </c>
      <c r="K100" s="42">
        <f t="shared" si="39"/>
        <v>1.7454778194260103E+21</v>
      </c>
      <c r="L100" s="23">
        <f>-(Données!I$45*1E-24*H100+Données!F$45)*K100+(I100*Données!H$44*1E-24*H100)+(Données!H$51*1E-24*H100)*Y100</f>
        <v>-1747333008432.7969</v>
      </c>
      <c r="M100" s="40">
        <f t="shared" si="40"/>
        <v>8.8805942604199848E+20</v>
      </c>
      <c r="N100" s="21">
        <f>-(Données!I$46*1E-24*H100+Données!F$46)*M100+Données!H$45*1E-24*H100*K100</f>
        <v>105491237548.46387</v>
      </c>
      <c r="O100" s="42">
        <f t="shared" si="41"/>
        <v>1.1988000574132539E+20</v>
      </c>
      <c r="P100" s="23">
        <f>-(Données!I$47*1E-24*H100+Données!F$47)*O100+(Données!H$46*1E-24*H100)*M100</f>
        <v>21105981590.468018</v>
      </c>
      <c r="Q100" s="40">
        <f t="shared" si="42"/>
        <v>6.667625075729811E+19</v>
      </c>
      <c r="R100" s="43">
        <f>-(Données!I$48*1E-24*H100+Données!F$48)*Q100+Données!H$47*1E-24*H100*O100+(Données!H$49*1E-24*H100*S100)*0.85*0.16</f>
        <v>35953655961.697906</v>
      </c>
      <c r="S100" s="42">
        <f t="shared" si="43"/>
        <v>2.7748890406616875E+19</v>
      </c>
      <c r="T100" s="22">
        <f>-(Données!I$49*1E-24*H100+Données!F$49)*S100+Données!F$47*O100</f>
        <v>-8850969923.2321777</v>
      </c>
      <c r="U100" s="28">
        <f t="shared" si="44"/>
        <v>2.8721787190265171E+21</v>
      </c>
      <c r="V100" s="19"/>
      <c r="W100" s="40">
        <f t="shared" si="45"/>
        <v>1.0851582907022963E+19</v>
      </c>
      <c r="X100" s="21">
        <f>-(Données!I$50*1E-24*H100+Données!F$50)*W100+Données!F$45*K100</f>
        <v>-86816862031.485077</v>
      </c>
      <c r="Y100" s="42">
        <f t="shared" si="46"/>
        <v>1.2697176303702702E+22</v>
      </c>
      <c r="Z100" s="23">
        <f>-(Données!I$51*1E-24*H100+Données!F$51)*Y100+Données!F$48*Q100</f>
        <v>-13784327162207.076</v>
      </c>
      <c r="AA100" s="15">
        <f t="shared" si="47"/>
        <v>1.2708027886609724E+22</v>
      </c>
    </row>
    <row r="101" spans="3:27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3459355206463252.5</v>
      </c>
      <c r="I101" s="40">
        <f t="shared" si="38"/>
        <v>2.428540324010972E+19</v>
      </c>
      <c r="J101" s="21">
        <f>-(Données!I$44*1E-24*H101+Données!F$44)*I101+(Données!H$49*1E-24*H101*S101)*0.71+Données!H$50*1E-24*H101*W101</f>
        <v>-19560102788.94931</v>
      </c>
      <c r="K101" s="42">
        <f t="shared" si="39"/>
        <v>1.7408858282798489E+21</v>
      </c>
      <c r="L101" s="23">
        <f>-(Données!I$45*1E-24*H101+Données!F$45)*K101+(I101*Données!H$44*1E-24*H101)+(Données!H$51*1E-24*H101)*Y101</f>
        <v>-1745292685589.7734</v>
      </c>
      <c r="M101" s="40">
        <f t="shared" si="40"/>
        <v>8.8833665701427583E+20</v>
      </c>
      <c r="N101" s="21">
        <f>-(Données!I$46*1E-24*H101+Données!F$46)*M101+Données!H$45*1E-24*H101*K101</f>
        <v>97348934058.389648</v>
      </c>
      <c r="O101" s="42">
        <f t="shared" si="41"/>
        <v>1.1993547226094513E+20</v>
      </c>
      <c r="P101" s="23">
        <f>-(Données!I$47*1E-24*H101+Données!F$47)*O101+(Données!H$46*1E-24*H101)*M101</f>
        <v>20904658434.194824</v>
      </c>
      <c r="Q101" s="40">
        <f t="shared" si="42"/>
        <v>6.6770736965165449E+19</v>
      </c>
      <c r="R101" s="43">
        <f>-(Données!I$48*1E-24*H101+Données!F$48)*Q101+Données!H$47*1E-24*H101*O101+(Données!H$49*1E-24*H101*S101)*0.85*0.16</f>
        <v>35776916446.100128</v>
      </c>
      <c r="S101" s="42">
        <f t="shared" si="43"/>
        <v>2.7725630057658622E+19</v>
      </c>
      <c r="T101" s="22">
        <f>-(Données!I$49*1E-24*H101+Données!F$49)*S101+Données!F$47*O101</f>
        <v>-8604260828.3933105</v>
      </c>
      <c r="U101" s="28">
        <f t="shared" si="44"/>
        <v>2.8679397278180033E+21</v>
      </c>
      <c r="V101" s="19"/>
      <c r="W101" s="40">
        <f t="shared" si="45"/>
        <v>1.0623428193604219E+19</v>
      </c>
      <c r="X101" s="21">
        <f>-(Données!I$50*1E-24*H101+Données!F$50)*W101+Données!F$45*K101</f>
        <v>-84962266400.755508</v>
      </c>
      <c r="Y101" s="42">
        <f t="shared" si="46"/>
        <v>1.2660951091920421E+22</v>
      </c>
      <c r="Z101" s="23">
        <f>-(Données!I$51*1E-24*H101+Données!F$51)*Y101+Données!F$48*Q101</f>
        <v>-13745000277971.521</v>
      </c>
      <c r="AA101" s="15">
        <f t="shared" si="47"/>
        <v>1.2671574520114025E+22</v>
      </c>
    </row>
    <row r="102" spans="3:27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3459355206463252.5</v>
      </c>
      <c r="I102" s="40">
        <f t="shared" si="38"/>
        <v>2.4233999289980363E+19</v>
      </c>
      <c r="J102" s="21">
        <f>-(Données!I$44*1E-24*H102+Données!F$44)*I102+(Données!H$49*1E-24*H102*S102)*0.71+Données!H$50*1E-24*H102*W102</f>
        <v>-19728493677.320103</v>
      </c>
      <c r="K102" s="42">
        <f t="shared" si="39"/>
        <v>1.7362991991021191E+21</v>
      </c>
      <c r="L102" s="23">
        <f>-(Données!I$45*1E-24*H102+Données!F$45)*K102+(I102*Données!H$44*1E-24*H102)+(Données!H$51*1E-24*H102)*Y102</f>
        <v>-1743199871311.0625</v>
      </c>
      <c r="M102" s="40">
        <f t="shared" si="40"/>
        <v>8.8859249001298133E+20</v>
      </c>
      <c r="N102" s="21">
        <f>-(Données!I$46*1E-24*H102+Données!F$46)*M102+Données!H$45*1E-24*H102*K102</f>
        <v>89279555929.574707</v>
      </c>
      <c r="O102" s="42">
        <f t="shared" si="41"/>
        <v>1.199904097033102E+20</v>
      </c>
      <c r="P102" s="23">
        <f>-(Données!I$47*1E-24*H102+Données!F$47)*O102+(Données!H$46*1E-24*H102)*M102</f>
        <v>20675638153.214111</v>
      </c>
      <c r="Q102" s="40">
        <f t="shared" si="42"/>
        <v>6.6864758701585801E+19</v>
      </c>
      <c r="R102" s="43">
        <f>-(Données!I$48*1E-24*H102+Données!F$48)*Q102+Données!H$47*1E-24*H102*O102+(Données!H$49*1E-24*H102*S102)*0.85*0.16</f>
        <v>35601071756.262161</v>
      </c>
      <c r="S102" s="42">
        <f t="shared" si="43"/>
        <v>2.7703018060201603E+19</v>
      </c>
      <c r="T102" s="22">
        <f>-(Données!I$49*1E-24*H102+Données!F$49)*S102+Données!F$47*O102</f>
        <v>-8362868023.1652222</v>
      </c>
      <c r="U102" s="28">
        <f t="shared" si="44"/>
        <v>2.8636838748701783E+21</v>
      </c>
      <c r="V102" s="19"/>
      <c r="W102" s="40">
        <f t="shared" si="45"/>
        <v>1.0400147357503033E+19</v>
      </c>
      <c r="X102" s="21">
        <f>-(Données!I$50*1E-24*H102+Données!F$50)*W102+Données!F$45*K102</f>
        <v>-83147373475.86441</v>
      </c>
      <c r="Y102" s="42">
        <f t="shared" si="46"/>
        <v>1.2624829231189912E+22</v>
      </c>
      <c r="Z102" s="23">
        <f>-(Données!I$51*1E-24*H102+Données!F$51)*Y102+Données!F$48*Q102</f>
        <v>-13705785593915.412</v>
      </c>
      <c r="AA102" s="15">
        <f t="shared" si="47"/>
        <v>1.2635229378547414E+22</v>
      </c>
    </row>
    <row r="103" spans="3:27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3459355206463252.5</v>
      </c>
      <c r="I103" s="40">
        <f t="shared" si="38"/>
        <v>2.4182152808596365E+19</v>
      </c>
      <c r="J103" s="21">
        <f>-(Données!I$44*1E-24*H103+Données!F$44)*I103+(Données!H$49*1E-24*H103*S103)*0.71+Données!H$50*1E-24*H103*W103</f>
        <v>-19882908140.918941</v>
      </c>
      <c r="K103" s="42">
        <f t="shared" si="39"/>
        <v>1.7317180698403136E+21</v>
      </c>
      <c r="L103" s="23">
        <f>-(Données!I$45*1E-24*H103+Données!F$45)*K103+(I103*Données!H$44*1E-24*H103)+(Données!H$51*1E-24*H103)*Y103</f>
        <v>-1741055828128.6699</v>
      </c>
      <c r="M103" s="40">
        <f t="shared" si="40"/>
        <v>8.8882711668596421E+20</v>
      </c>
      <c r="N103" s="21">
        <f>-(Données!I$46*1E-24*H103+Données!F$46)*M103+Données!H$45*1E-24*H103*K103</f>
        <v>81282745985.337891</v>
      </c>
      <c r="O103" s="42">
        <f t="shared" si="41"/>
        <v>1.2004474528037685E+20</v>
      </c>
      <c r="P103" s="23">
        <f>-(Données!I$47*1E-24*H103+Données!F$47)*O103+(Données!H$46*1E-24*H103)*M103</f>
        <v>20420062170.773926</v>
      </c>
      <c r="Q103" s="40">
        <f t="shared" si="42"/>
        <v>6.6958318318161256E+19</v>
      </c>
      <c r="R103" s="43">
        <f>-(Données!I$48*1E-24*H103+Données!F$48)*Q103+Données!H$47*1E-24*H103*O103+(Données!H$49*1E-24*H103*S103)*0.85*0.16</f>
        <v>35425991510.898712</v>
      </c>
      <c r="S103" s="42">
        <f t="shared" si="43"/>
        <v>2.7681040443036725E+19</v>
      </c>
      <c r="T103" s="22">
        <f>-(Données!I$49*1E-24*H103+Données!F$49)*S103+Données!F$47*O103</f>
        <v>-8126806123.1659241</v>
      </c>
      <c r="U103" s="28">
        <f t="shared" si="44"/>
        <v>2.8594114433764494E+21</v>
      </c>
      <c r="V103" s="19"/>
      <c r="W103" s="40">
        <f t="shared" si="45"/>
        <v>1.0181636060008462E+19</v>
      </c>
      <c r="X103" s="21">
        <f>-(Données!I$50*1E-24*H103+Données!F$50)*W103+Données!F$45*K103</f>
        <v>-81371333081.103226</v>
      </c>
      <c r="Y103" s="42">
        <f t="shared" si="46"/>
        <v>1.2588810426649101E+22</v>
      </c>
      <c r="Z103" s="23">
        <f>-(Données!I$51*1E-24*H103+Données!F$51)*Y103+Données!F$48*Q103</f>
        <v>-13666682789929.926</v>
      </c>
      <c r="AA103" s="15">
        <f t="shared" si="47"/>
        <v>1.259899206270911E+22</v>
      </c>
    </row>
    <row r="104" spans="3:27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3459355206463252.5</v>
      </c>
      <c r="I104" s="40">
        <f t="shared" si="38"/>
        <v>2.4129900526002029E+19</v>
      </c>
      <c r="J104" s="21">
        <f>-(Données!I$44*1E-24*H104+Données!F$44)*I104+(Données!H$49*1E-24*H104*S104)*0.71+Données!H$50*1E-24*H104*W104</f>
        <v>-20023819679.649734</v>
      </c>
      <c r="K104" s="42">
        <f t="shared" si="39"/>
        <v>1.7271425751239914E+21</v>
      </c>
      <c r="L104" s="23">
        <f>-(Données!I$45*1E-24*H104+Données!F$45)*K104+(I104*Données!H$44*1E-24*H104)+(Données!H$51*1E-24*H104)*Y104</f>
        <v>-1738861794546.8477</v>
      </c>
      <c r="M104" s="40">
        <f t="shared" si="40"/>
        <v>8.8904072774241367E+20</v>
      </c>
      <c r="N104" s="21">
        <f>-(Données!I$46*1E-24*H104+Données!F$46)*M104+Données!H$45*1E-24*H104*K104</f>
        <v>73358144593.246582</v>
      </c>
      <c r="O104" s="42">
        <f t="shared" si="41"/>
        <v>1.2009840920376164E+20</v>
      </c>
      <c r="P104" s="23">
        <f>-(Données!I$47*1E-24*H104+Données!F$47)*O104+(Données!H$46*1E-24*H104)*M104</f>
        <v>20139035861.898926</v>
      </c>
      <c r="Q104" s="40">
        <f t="shared" si="42"/>
        <v>6.7051417823851897E+19</v>
      </c>
      <c r="R104" s="43">
        <f>-(Données!I$48*1E-24*H104+Données!F$48)*Q104+Données!H$47*1E-24*H104*O104+(Données!H$49*1E-24*H104*S104)*0.85*0.16</f>
        <v>35251550849.190613</v>
      </c>
      <c r="S104" s="42">
        <f t="shared" si="43"/>
        <v>2.7659683196545044E+19</v>
      </c>
      <c r="T104" s="22">
        <f>-(Données!I$49*1E-24*H104+Données!F$49)*S104+Données!F$47*O104</f>
        <v>-7896084874.6297913</v>
      </c>
      <c r="U104" s="28">
        <f t="shared" si="44"/>
        <v>2.8551227136165659E+21</v>
      </c>
      <c r="V104" s="19"/>
      <c r="W104" s="40">
        <f t="shared" si="45"/>
        <v>9.9677921966713221E+18</v>
      </c>
      <c r="X104" s="21">
        <f>-(Données!I$50*1E-24*H104+Données!F$50)*W104+Données!F$45*K104</f>
        <v>-79633313246.371643</v>
      </c>
      <c r="Y104" s="42">
        <f t="shared" si="46"/>
        <v>1.2552894384277165E+22</v>
      </c>
      <c r="Z104" s="23">
        <f>-(Données!I$51*1E-24*H104+Données!F$51)*Y104+Données!F$48*Q104</f>
        <v>-13627691546819.535</v>
      </c>
      <c r="AA104" s="15">
        <f t="shared" si="47"/>
        <v>1.2562862176473836E+22</v>
      </c>
    </row>
    <row r="105" spans="3:27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3459355206463252.5</v>
      </c>
      <c r="I105" s="40">
        <f t="shared" si="38"/>
        <v>2.4077277927883907E+19</v>
      </c>
      <c r="J105" s="21">
        <f>-(Données!I$44*1E-24*H105+Données!F$44)*I105+(Données!H$49*1E-24*H105*S105)*0.71+Données!H$50*1E-24*H105*W105</f>
        <v>-20151690108.328899</v>
      </c>
      <c r="K105" s="42">
        <f t="shared" si="39"/>
        <v>1.7225728463279222E+21</v>
      </c>
      <c r="L105" s="23">
        <f>-(Données!I$45*1E-24*H105+Données!F$45)*K105+(I105*Données!H$44*1E-24*H105)+(Données!H$51*1E-24*H105)*Y105</f>
        <v>-1736618985474.7695</v>
      </c>
      <c r="M105" s="40">
        <f t="shared" si="40"/>
        <v>8.8923351294640469E+20</v>
      </c>
      <c r="N105" s="21">
        <f>-(Données!I$46*1E-24*H105+Données!F$46)*M105+Données!H$45*1E-24*H105*K105</f>
        <v>65505389785.038574</v>
      </c>
      <c r="O105" s="42">
        <f t="shared" si="41"/>
        <v>1.2015133459000671E+20</v>
      </c>
      <c r="P105" s="23">
        <f>-(Données!I$47*1E-24*H105+Données!F$47)*O105+(Données!H$46*1E-24*H105)*M105</f>
        <v>19833629634.8479</v>
      </c>
      <c r="Q105" s="40">
        <f t="shared" si="42"/>
        <v>6.7144058899483566E+19</v>
      </c>
      <c r="R105" s="43">
        <f>-(Données!I$48*1E-24*H105+Données!F$48)*Q105+Données!H$47*1E-24*H105*O105+(Données!H$49*1E-24*H105*S105)*0.85*0.16</f>
        <v>35077630256.112534</v>
      </c>
      <c r="S105" s="42">
        <f t="shared" si="43"/>
        <v>2.7638932285494518E+19</v>
      </c>
      <c r="T105" s="22">
        <f>-(Données!I$49*1E-24*H105+Données!F$49)*S105+Données!F$47*O105</f>
        <v>-7670709388.6708679</v>
      </c>
      <c r="U105" s="28">
        <f t="shared" si="44"/>
        <v>2.8508179629771955E+21</v>
      </c>
      <c r="V105" s="19"/>
      <c r="W105" s="40">
        <f t="shared" si="45"/>
        <v>9.7585158494598574E+18</v>
      </c>
      <c r="X105" s="21">
        <f>-(Données!I$50*1E-24*H105+Données!F$50)*W105+Données!F$45*K105</f>
        <v>-77932499817.331146</v>
      </c>
      <c r="Y105" s="42">
        <f t="shared" si="46"/>
        <v>1.2517080810892124E+22</v>
      </c>
      <c r="Z105" s="23">
        <f>-(Données!I$51*1E-24*H105+Données!F$51)*Y105+Données!F$48*Q105</f>
        <v>-13588811546299.398</v>
      </c>
      <c r="AA105" s="15">
        <f t="shared" si="47"/>
        <v>1.2526839326741585E+22</v>
      </c>
    </row>
    <row r="106" spans="3:27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3459355206463252.5</v>
      </c>
      <c r="I106" s="40">
        <f t="shared" si="38"/>
        <v>2.4024319286279217E+19</v>
      </c>
      <c r="J106" s="21">
        <f>-(Données!I$44*1E-24*H106+Données!F$44)*I106+(Données!H$49*1E-24*H106*S106)*0.71+Données!H$50*1E-24*H106*W106</f>
        <v>-20266969784.315208</v>
      </c>
      <c r="K106" s="42">
        <f t="shared" si="39"/>
        <v>1.7180090116340945E+21</v>
      </c>
      <c r="L106" s="23">
        <f>-(Données!I$45*1E-24*H106+Données!F$45)*K106+(I106*Données!H$44*1E-24*H106)+(Données!H$51*1E-24*H106)*Y106</f>
        <v>-1734328592651.5352</v>
      </c>
      <c r="M106" s="40">
        <f t="shared" si="40"/>
        <v>8.8940566111075972E+20</v>
      </c>
      <c r="N106" s="21">
        <f>-(Données!I$46*1E-24*H106+Données!F$46)*M106+Données!H$45*1E-24*H106*K106</f>
        <v>57724117373.774414</v>
      </c>
      <c r="O106" s="42">
        <f t="shared" si="41"/>
        <v>1.2020345736868708E+20</v>
      </c>
      <c r="P106" s="23">
        <f>-(Données!I$47*1E-24*H106+Données!F$47)*O106+(Données!H$46*1E-24*H106)*M106</f>
        <v>19504879980.322021</v>
      </c>
      <c r="Q106" s="40">
        <f t="shared" si="42"/>
        <v>6.7236242911796634E+19</v>
      </c>
      <c r="R106" s="43">
        <f>-(Données!I$48*1E-24*H106+Données!F$48)*Q106+Données!H$47*1E-24*H106*O106+(Données!H$49*1E-24*H106*S106)*0.85*0.16</f>
        <v>34904115392.878906</v>
      </c>
      <c r="S106" s="42">
        <f t="shared" si="43"/>
        <v>2.7618773661221089E+19</v>
      </c>
      <c r="T106" s="22">
        <f>-(Données!I$49*1E-24*H106+Données!F$49)*S106+Données!F$47*O106</f>
        <v>-7450680366.9076538</v>
      </c>
      <c r="U106" s="28">
        <f t="shared" si="44"/>
        <v>2.8464974659728378E+21</v>
      </c>
      <c r="V106" s="19"/>
      <c r="W106" s="40">
        <f t="shared" si="45"/>
        <v>9.5537092399399117E+18</v>
      </c>
      <c r="X106" s="21">
        <f>-(Données!I$50*1E-24*H106+Données!F$50)*W106+Données!F$45*K106</f>
        <v>-76268096073.906219</v>
      </c>
      <c r="Y106" s="42">
        <f t="shared" si="46"/>
        <v>1.248136941414845E+22</v>
      </c>
      <c r="Z106" s="23">
        <f>-(Données!I$51*1E-24*H106+Données!F$51)*Y106+Données!F$48*Q106</f>
        <v>-13550042470992.77</v>
      </c>
      <c r="AA106" s="15">
        <f t="shared" si="47"/>
        <v>1.249092312338839E+22</v>
      </c>
    </row>
    <row r="107" spans="3:27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3459355206463252.5</v>
      </c>
      <c r="I107" s="40">
        <f t="shared" si="38"/>
        <v>2.3971057689686036E+19</v>
      </c>
      <c r="J107" s="21">
        <f>-(Données!I$44*1E-24*H107+Données!F$44)*I107+(Données!H$49*1E-24*H107*S107)*0.71+Données!H$50*1E-24*H107*W107</f>
        <v>-20370097832.019791</v>
      </c>
      <c r="K107" s="42">
        <f t="shared" si="39"/>
        <v>1.7134511960926063E+21</v>
      </c>
      <c r="L107" s="23">
        <f>-(Données!I$45*1E-24*H107+Données!F$45)*K107+(I107*Données!H$44*1E-24*H107)+(Données!H$51*1E-24*H107)*Y107</f>
        <v>-1731991785063.5996</v>
      </c>
      <c r="M107" s="40">
        <f t="shared" si="40"/>
        <v>8.8955736009121805E+20</v>
      </c>
      <c r="N107" s="21">
        <f>-(Données!I$46*1E-24*H107+Données!F$46)*M107+Données!H$45*1E-24*H107*K107</f>
        <v>50013961068.289551</v>
      </c>
      <c r="O107" s="42">
        <f t="shared" si="41"/>
        <v>1.2025471619327536E+20</v>
      </c>
      <c r="P107" s="23">
        <f>-(Données!I$47*1E-24*H107+Données!F$47)*O107+(Données!H$46*1E-24*H107)*M107</f>
        <v>19153790489.38208</v>
      </c>
      <c r="Q107" s="40">
        <f t="shared" si="42"/>
        <v>6.7327970927049122E+19</v>
      </c>
      <c r="R107" s="43">
        <f>-(Données!I$48*1E-24*H107+Données!F$48)*Q107+Données!H$47*1E-24*H107*O107+(Données!H$49*1E-24*H107*S107)*0.85*0.16</f>
        <v>34730896932.357941</v>
      </c>
      <c r="S107" s="42">
        <f t="shared" si="43"/>
        <v>2.7599193273216856E+19</v>
      </c>
      <c r="T107" s="22">
        <f>-(Données!I$49*1E-24*H107+Données!F$49)*S107+Données!F$47*O107</f>
        <v>-7235994318.7382202</v>
      </c>
      <c r="U107" s="28">
        <f t="shared" si="44"/>
        <v>2.8421614942670516E+21</v>
      </c>
      <c r="V107" s="19"/>
      <c r="W107" s="40">
        <f t="shared" si="45"/>
        <v>9.3532766834576855E+18</v>
      </c>
      <c r="X107" s="21">
        <f>-(Données!I$50*1E-24*H107+Données!F$50)*W107+Données!F$45*K107</f>
        <v>-74639322356.954681</v>
      </c>
      <c r="Y107" s="42">
        <f t="shared" si="46"/>
        <v>1.244575990253468E+22</v>
      </c>
      <c r="Z107" s="23">
        <f>-(Données!I$51*1E-24*H107+Données!F$51)*Y107+Données!F$48*Q107</f>
        <v>-13511384004428.391</v>
      </c>
      <c r="AA107" s="15">
        <f t="shared" si="47"/>
        <v>1.2455113179218139E+22</v>
      </c>
    </row>
    <row r="108" spans="3:27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3459355206463252.5</v>
      </c>
      <c r="I108" s="40">
        <f t="shared" si="38"/>
        <v>2.3917525072583487E+19</v>
      </c>
      <c r="J108" s="21">
        <f>-(Données!I$44*1E-24*H108+Données!F$44)*I108+(Données!H$49*1E-24*H108*S108)*0.71+Données!H$50*1E-24*H108*W108</f>
        <v>-20461502364.295753</v>
      </c>
      <c r="K108" s="42">
        <f t="shared" si="39"/>
        <v>1.7088995216814592E+21</v>
      </c>
      <c r="L108" s="23">
        <f>-(Données!I$45*1E-24*H108+Données!F$45)*K108+(I108*Données!H$44*1E-24*H108)+(Données!H$51*1E-24*H108)*Y108</f>
        <v>-1729609709354.8203</v>
      </c>
      <c r="M108" s="40">
        <f t="shared" si="40"/>
        <v>8.896887967809055E+20</v>
      </c>
      <c r="N108" s="21">
        <f>-(Données!I$46*1E-24*H108+Données!F$46)*M108+Données!H$45*1E-24*H108*K108</f>
        <v>42374552585</v>
      </c>
      <c r="O108" s="42">
        <f t="shared" si="41"/>
        <v>1.2030505235468145E+20</v>
      </c>
      <c r="P108" s="23">
        <f>-(Données!I$47*1E-24*H108+Données!F$47)*O108+(Données!H$46*1E-24*H108)*M108</f>
        <v>18781332841.019287</v>
      </c>
      <c r="Q108" s="40">
        <f t="shared" si="42"/>
        <v>6.7419243724187361E+19</v>
      </c>
      <c r="R108" s="43">
        <f>-(Données!I$48*1E-24*H108+Données!F$48)*Q108+Données!H$47*1E-24*H108*O108+(Données!H$49*1E-24*H108*S108)*0.85*0.16</f>
        <v>34557870399.310928</v>
      </c>
      <c r="S108" s="42">
        <f t="shared" si="43"/>
        <v>2.758017708014721E+19</v>
      </c>
      <c r="T108" s="22">
        <f>-(Données!I$49*1E-24*H108+Données!F$49)*S108+Données!F$47*O108</f>
        <v>-7026643770.5431824</v>
      </c>
      <c r="U108" s="28">
        <f t="shared" si="44"/>
        <v>2.8378103166939641E+21</v>
      </c>
      <c r="V108" s="19"/>
      <c r="W108" s="40">
        <f t="shared" si="45"/>
        <v>9.1571245443036088E+18</v>
      </c>
      <c r="X108" s="21">
        <f>-(Données!I$50*1E-24*H108+Données!F$50)*W108+Données!F$45*K108</f>
        <v>-73045415702.932159</v>
      </c>
      <c r="Y108" s="42">
        <f t="shared" si="46"/>
        <v>1.2410251985371043E+22</v>
      </c>
      <c r="Z108" s="23">
        <f>-(Données!I$51*1E-24*H108+Données!F$51)*Y108+Données!F$48*Q108</f>
        <v>-13472835831037.928</v>
      </c>
      <c r="AA108" s="15">
        <f t="shared" si="47"/>
        <v>1.2419409109915347E+22</v>
      </c>
    </row>
    <row r="109" spans="3:27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3459355206463252.5</v>
      </c>
      <c r="I109" s="40">
        <f t="shared" si="38"/>
        <v>2.3863752244370117E+19</v>
      </c>
      <c r="J109" s="21">
        <f>-(Données!I$44*1E-24*H109+Données!F$44)*I109+(Données!H$49*1E-24*H109*S109)*0.71+Données!H$50*1E-24*H109*W109</f>
        <v>-20541600700.709045</v>
      </c>
      <c r="K109" s="42">
        <f t="shared" si="39"/>
        <v>1.7043541073652747E+21</v>
      </c>
      <c r="L109" s="23">
        <f>-(Données!I$45*1E-24*H109+Données!F$45)*K109+(I109*Données!H$44*1E-24*H109)+(Données!H$51*1E-24*H109)*Y109</f>
        <v>-1727183490229.2441</v>
      </c>
      <c r="M109" s="40">
        <f t="shared" si="40"/>
        <v>8.8980015710509885E+20</v>
      </c>
      <c r="N109" s="21">
        <f>-(Données!I$46*1E-24*H109+Données!F$46)*M109+Données!H$45*1E-24*H109*K109</f>
        <v>34805521757.099121</v>
      </c>
      <c r="O109" s="42">
        <f t="shared" si="41"/>
        <v>1.2035440969738766E+20</v>
      </c>
      <c r="P109" s="23">
        <f>-(Données!I$47*1E-24*H109+Données!F$47)*O109+(Données!H$46*1E-24*H109)*M109</f>
        <v>18388447760.278809</v>
      </c>
      <c r="Q109" s="40">
        <f t="shared" si="42"/>
        <v>6.7510061807596749E+19</v>
      </c>
      <c r="R109" s="43">
        <f>-(Données!I$48*1E-24*H109+Données!F$48)*Q109+Données!H$47*1E-24*H109*O109+(Données!H$49*1E-24*H109*S109)*0.85*0.16</f>
        <v>34384936015.316284</v>
      </c>
      <c r="S109" s="42">
        <f t="shared" si="43"/>
        <v>2.7561711060318224E+19</v>
      </c>
      <c r="T109" s="22">
        <f>-(Données!I$49*1E-24*H109+Données!F$49)*S109+Données!F$47*O109</f>
        <v>-6822617467.0873718</v>
      </c>
      <c r="U109" s="28">
        <f t="shared" si="44"/>
        <v>2.8334441992800462E+21</v>
      </c>
      <c r="V109" s="19"/>
      <c r="W109" s="40">
        <f t="shared" si="45"/>
        <v>8.9651611918363034E+18</v>
      </c>
      <c r="X109" s="21">
        <f>-(Données!I$50*1E-24*H109+Données!F$50)*W109+Données!F$45*K109</f>
        <v>-71485629486.379456</v>
      </c>
      <c r="Y109" s="42">
        <f t="shared" si="46"/>
        <v>1.2374845372807076E+22</v>
      </c>
      <c r="Z109" s="23">
        <f>-(Données!I$51*1E-24*H109+Données!F$51)*Y109+Données!F$48*Q109</f>
        <v>-13434397636153.377</v>
      </c>
      <c r="AA109" s="15">
        <f t="shared" si="47"/>
        <v>1.2383810533998912E+22</v>
      </c>
    </row>
    <row r="110" spans="3:27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3459355206463252.5</v>
      </c>
      <c r="I110" s="40">
        <f t="shared" si="38"/>
        <v>2.3809768917728653E+19</v>
      </c>
      <c r="J110" s="21">
        <f>-(Données!I$44*1E-24*H110+Données!F$44)*I110+(Données!H$49*1E-24*H110*S110)*0.71+Données!H$50*1E-24*H110*W110</f>
        <v>-20610799582.69371</v>
      </c>
      <c r="K110" s="42">
        <f t="shared" si="39"/>
        <v>1.6998150691529522E+21</v>
      </c>
      <c r="L110" s="23">
        <f>-(Données!I$45*1E-24*H110+Données!F$45)*K110+(I110*Données!H$44*1E-24*H110)+(Données!H$51*1E-24*H110)*Y110</f>
        <v>-1724714230846.7227</v>
      </c>
      <c r="M110" s="40">
        <f t="shared" si="40"/>
        <v>8.8989162601627648E+20</v>
      </c>
      <c r="N110" s="21">
        <f>-(Données!I$46*1E-24*H110+Données!F$46)*M110+Données!H$45*1E-24*H110*K110</f>
        <v>27306496641.21582</v>
      </c>
      <c r="O110" s="42">
        <f t="shared" si="41"/>
        <v>1.2040273453810167E+20</v>
      </c>
      <c r="P110" s="23">
        <f>-(Données!I$47*1E-24*H110+Données!F$47)*O110+(Données!H$46*1E-24*H110)*M110</f>
        <v>17976045947.826904</v>
      </c>
      <c r="Q110" s="40">
        <f t="shared" si="42"/>
        <v>6.7600425419445002E+19</v>
      </c>
      <c r="R110" s="43">
        <f>-(Données!I$48*1E-24*H110+Données!F$48)*Q110+Données!H$47*1E-24*H110*O110+(Données!H$49*1E-24*H110*S110)*0.85*0.16</f>
        <v>34211998548.242245</v>
      </c>
      <c r="S110" s="42">
        <f t="shared" si="43"/>
        <v>2.7543781221614719E+19</v>
      </c>
      <c r="T110" s="22">
        <f>-(Données!I$49*1E-24*H110+Données!F$49)*S110+Données!F$47*O110</f>
        <v>-6623900565.3803101</v>
      </c>
      <c r="U110" s="28">
        <f t="shared" si="44"/>
        <v>2.8290634052661192E+21</v>
      </c>
      <c r="V110" s="19"/>
      <c r="W110" s="40">
        <f t="shared" si="45"/>
        <v>8.7772969575460977E+18</v>
      </c>
      <c r="X110" s="21">
        <f>-(Données!I$50*1E-24*H110+Données!F$50)*W110+Données!F$45*K110</f>
        <v>-69959233070.06546</v>
      </c>
      <c r="Y110" s="42">
        <f t="shared" si="46"/>
        <v>1.2339539775819264E+22</v>
      </c>
      <c r="Z110" s="23">
        <f>-(Données!I$51*1E-24*H110+Données!F$51)*Y110+Données!F$48*Q110</f>
        <v>-13396069106004.504</v>
      </c>
      <c r="AA110" s="15">
        <f t="shared" si="47"/>
        <v>1.234831707277681E+22</v>
      </c>
    </row>
    <row r="111" spans="3:27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3459355206463252.5</v>
      </c>
      <c r="I111" s="40">
        <f t="shared" si="38"/>
        <v>2.3755603736425333E+19</v>
      </c>
      <c r="J111" s="21">
        <f>-(Données!I$44*1E-24*H111+Données!F$44)*I111+(Données!H$49*1E-24*H111*S111)*0.71+Données!H$50*1E-24*H111*W111</f>
        <v>-20669495385.597473</v>
      </c>
      <c r="K111" s="42">
        <f t="shared" si="39"/>
        <v>1.6952825201542871E+21</v>
      </c>
      <c r="L111" s="23">
        <f>-(Données!I$45*1E-24*H111+Données!F$45)*K111+(I111*Données!H$44*1E-24*H111)+(Données!H$51*1E-24*H111)*Y111</f>
        <v>-1722203013211.5508</v>
      </c>
      <c r="M111" s="40">
        <f t="shared" si="40"/>
        <v>8.8996338748944954E+20</v>
      </c>
      <c r="N111" s="21">
        <f>-(Données!I$46*1E-24*H111+Données!F$46)*M111+Données!H$45*1E-24*H111*K111</f>
        <v>19877103621.569824</v>
      </c>
      <c r="O111" s="42">
        <f t="shared" si="41"/>
        <v>1.2044997558685255E+20</v>
      </c>
      <c r="P111" s="23">
        <f>-(Données!I$47*1E-24*H111+Données!F$47)*O111+(Données!H$46*1E-24*H111)*M111</f>
        <v>17545008981.80542</v>
      </c>
      <c r="Q111" s="40">
        <f t="shared" si="42"/>
        <v>6.7690334551629783E+19</v>
      </c>
      <c r="R111" s="43">
        <f>-(Données!I$48*1E-24*H111+Données!F$48)*Q111+Données!H$47*1E-24*H111*O111+(Données!H$49*1E-24*H111*S111)*0.85*0.16</f>
        <v>34038967166.13689</v>
      </c>
      <c r="S111" s="42">
        <f t="shared" si="43"/>
        <v>2.7526373610928898E+19</v>
      </c>
      <c r="T111" s="22">
        <f>-(Données!I$49*1E-24*H111+Données!F$49)*S111+Données!F$47*O111</f>
        <v>-6430474821.2492676</v>
      </c>
      <c r="U111" s="28">
        <f t="shared" si="44"/>
        <v>2.824668195129573E+21</v>
      </c>
      <c r="V111" s="19"/>
      <c r="W111" s="40">
        <f t="shared" si="45"/>
        <v>8.5934440930379653E+18</v>
      </c>
      <c r="X111" s="21">
        <f>-(Données!I$50*1E-24*H111+Données!F$50)*W111+Données!F$45*K111</f>
        <v>-68465511462.621498</v>
      </c>
      <c r="Y111" s="42">
        <f t="shared" si="46"/>
        <v>1.2304334906208685E+22</v>
      </c>
      <c r="Z111" s="23">
        <f>-(Données!I$51*1E-24*H111+Données!F$51)*Y111+Données!F$48*Q111</f>
        <v>-13357849927716.283</v>
      </c>
      <c r="AA111" s="15">
        <f t="shared" si="47"/>
        <v>1.2312928350301724E+22</v>
      </c>
    </row>
    <row r="112" spans="3:27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3459355206463252.5</v>
      </c>
      <c r="I112" s="40">
        <f t="shared" si="38"/>
        <v>2.3701284302551982E+19</v>
      </c>
      <c r="J112" s="21">
        <f>-(Données!I$44*1E-24*H112+Données!F$44)*I112+(Données!H$49*1E-24*H112*S112)*0.71+Données!H$50*1E-24*H112*W112</f>
        <v>-20718074327.624939</v>
      </c>
      <c r="K112" s="42">
        <f t="shared" si="39"/>
        <v>1.6907565706355671E+21</v>
      </c>
      <c r="L112" s="23">
        <f>-(Données!I$45*1E-24*H112+Données!F$45)*K112+(I112*Données!H$44*1E-24*H112)+(Données!H$51*1E-24*H112)*Y112</f>
        <v>-1719650898554.2012</v>
      </c>
      <c r="M112" s="40">
        <f t="shared" si="40"/>
        <v>8.90015624517767E+20</v>
      </c>
      <c r="N112" s="21">
        <f>-(Données!I$46*1E-24*H112+Données!F$46)*M112+Données!H$45*1E-24*H112*K112</f>
        <v>12516967511.676758</v>
      </c>
      <c r="O112" s="42">
        <f t="shared" si="41"/>
        <v>1.2049608387045674E+20</v>
      </c>
      <c r="P112" s="23">
        <f>-(Données!I$47*1E-24*H112+Données!F$47)*O112+(Données!H$46*1E-24*H112)*M112</f>
        <v>17096190192.811768</v>
      </c>
      <c r="Q112" s="40">
        <f t="shared" si="42"/>
        <v>6.7779788957342392E+19</v>
      </c>
      <c r="R112" s="43">
        <f>-(Données!I$48*1E-24*H112+Données!F$48)*Q112+Données!H$47*1E-24*H112*O112+(Données!H$49*1E-24*H112*S112)*0.85*0.16</f>
        <v>33865755295.407085</v>
      </c>
      <c r="S112" s="42">
        <f t="shared" si="43"/>
        <v>2.7509474323098657E+19</v>
      </c>
      <c r="T112" s="22">
        <f>-(Données!I$49*1E-24*H112+Données!F$49)*S112+Données!F$47*O112</f>
        <v>-6242318768.868927</v>
      </c>
      <c r="U112" s="28">
        <f t="shared" si="44"/>
        <v>2.820258826606784E+21</v>
      </c>
      <c r="V112" s="19"/>
      <c r="W112" s="40">
        <f t="shared" si="45"/>
        <v>8.4135167289141965E+18</v>
      </c>
      <c r="X112" s="21">
        <f>-(Données!I$50*1E-24*H112+Données!F$50)*W112+Données!F$45*K112</f>
        <v>-67003764983.506775</v>
      </c>
      <c r="Y112" s="42">
        <f t="shared" si="46"/>
        <v>1.2269230476598647E+22</v>
      </c>
      <c r="Z112" s="23">
        <f>-(Données!I$51*1E-24*H112+Données!F$51)*Y112+Données!F$48*Q112</f>
        <v>-13319739789306.336</v>
      </c>
      <c r="AA112" s="15">
        <f t="shared" si="47"/>
        <v>1.2277643993327562E+22</v>
      </c>
    </row>
    <row r="113" spans="1:27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3459355206463252.5</v>
      </c>
      <c r="I113" s="40">
        <f t="shared" si="38"/>
        <v>2.3646837203218985E+19</v>
      </c>
      <c r="J113" s="21">
        <f>-(Données!I$44*1E-24*H113+Données!F$44)*I113+(Données!H$49*1E-24*H113*S113)*0.71+Données!H$50*1E-24*H113*W113</f>
        <v>-20756912675.687458</v>
      </c>
      <c r="K113" s="42">
        <f t="shared" si="39"/>
        <v>1.6862373280741668E+21</v>
      </c>
      <c r="L113" s="23">
        <f>-(Données!I$45*1E-24*H113+Données!F$45)*K113+(I113*Données!H$44*1E-24*H113)+(Données!H$51*1E-24*H113)*Y113</f>
        <v>-1717058927706.3184</v>
      </c>
      <c r="M113" s="40">
        <f t="shared" si="40"/>
        <v>8.9004851910838767E+20</v>
      </c>
      <c r="N113" s="21">
        <f>-(Données!I$46*1E-24*H113+Données!F$46)*M113+Données!H$45*1E-24*H113*K113</f>
        <v>5225711653.6572266</v>
      </c>
      <c r="O113" s="42">
        <f t="shared" si="41"/>
        <v>1.2054101265828345E+20</v>
      </c>
      <c r="P113" s="23">
        <f>-(Données!I$47*1E-24*H113+Données!F$47)*O113+(Données!H$46*1E-24*H113)*M113</f>
        <v>16630415512.800537</v>
      </c>
      <c r="Q113" s="40">
        <f t="shared" si="42"/>
        <v>6.7868788162258723E+19</v>
      </c>
      <c r="R113" s="43">
        <f>-(Données!I$48*1E-24*H113+Données!F$48)*Q113+Données!H$47*1E-24*H113*O113+(Données!H$49*1E-24*H113*S113)*0.85*0.16</f>
        <v>33692280483.1619</v>
      </c>
      <c r="S113" s="42">
        <f t="shared" si="43"/>
        <v>2.7493069509374071E+19</v>
      </c>
      <c r="T113" s="22">
        <f>-(Données!I$49*1E-24*H113+Données!F$49)*S113+Données!F$47*O113</f>
        <v>-6059407893.4854126</v>
      </c>
      <c r="U113" s="28">
        <f t="shared" si="44"/>
        <v>2.8158355547156895E+21</v>
      </c>
      <c r="V113" s="19"/>
      <c r="W113" s="40">
        <f t="shared" si="45"/>
        <v>8.2374308345375406E+18</v>
      </c>
      <c r="X113" s="21">
        <f>-(Données!I$50*1E-24*H113+Données!F$50)*W113+Données!F$45*K113</f>
        <v>-65573308935.148033</v>
      </c>
      <c r="Y113" s="42">
        <f t="shared" si="46"/>
        <v>1.2234226200432351E+22</v>
      </c>
      <c r="Z113" s="23">
        <f>-(Données!I$51*1E-24*H113+Données!F$51)*Y113+Données!F$48*Q113</f>
        <v>-13281738379682.387</v>
      </c>
      <c r="AA113" s="15">
        <f t="shared" si="47"/>
        <v>1.224246363126689E+22</v>
      </c>
    </row>
    <row r="114" spans="1:27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3459355206463252.5</v>
      </c>
      <c r="I114" s="40">
        <f t="shared" si="38"/>
        <v>2.3592288036707279E+19</v>
      </c>
      <c r="J114" s="21">
        <f>-(Données!I$44*1E-24*H114+Données!F$44)*I114+(Données!H$49*1E-24*H114*S114)*0.71+Données!H$50*1E-24*H114*W114</f>
        <v>-20786376948.171028</v>
      </c>
      <c r="K114" s="42">
        <f t="shared" si="39"/>
        <v>1.6817248972121545E+21</v>
      </c>
      <c r="L114" s="23">
        <f>-(Données!I$45*1E-24*H114+Données!F$45)*K114+(I114*Données!H$44*1E-24*H114)+(Données!H$51*1E-24*H114)*Y114</f>
        <v>-1714428121469.0723</v>
      </c>
      <c r="M114" s="40">
        <f t="shared" si="40"/>
        <v>8.9006225227861354E+20</v>
      </c>
      <c r="N114" s="21">
        <f>-(Données!I$46*1E-24*H114+Données!F$46)*M114+Données!H$45*1E-24*H114*K114</f>
        <v>-1997041984.8144531</v>
      </c>
      <c r="O114" s="42">
        <f t="shared" si="41"/>
        <v>1.2058471739025108E+20</v>
      </c>
      <c r="P114" s="23">
        <f>-(Données!I$47*1E-24*H114+Données!F$47)*O114+(Données!H$46*1E-24*H114)*M114</f>
        <v>16148484298.692871</v>
      </c>
      <c r="Q114" s="40">
        <f t="shared" si="42"/>
        <v>6.7957331475368468E+19</v>
      </c>
      <c r="R114" s="43">
        <f>-(Données!I$48*1E-24*H114+Données!F$48)*Q114+Données!H$47*1E-24*H114*O114+(Données!H$49*1E-24*H114*S114)*0.85*0.16</f>
        <v>33518464263.600647</v>
      </c>
      <c r="S114" s="42">
        <f t="shared" si="43"/>
        <v>2.7477145385429991E+19</v>
      </c>
      <c r="T114" s="22">
        <f>-(Données!I$49*1E-24*H114+Données!F$49)*S114+Données!F$47*O114</f>
        <v>-5881714797.5630798</v>
      </c>
      <c r="U114" s="28">
        <f t="shared" si="44"/>
        <v>2.8113986317785251E+21</v>
      </c>
      <c r="V114" s="19"/>
      <c r="W114" s="40">
        <f t="shared" si="45"/>
        <v>8.0651041786559713E+18</v>
      </c>
      <c r="X114" s="21">
        <f>-(Données!I$50*1E-24*H114+Données!F$50)*W114+Données!F$45*K114</f>
        <v>-64173473282.09967</v>
      </c>
      <c r="Y114" s="42">
        <f t="shared" si="46"/>
        <v>1.2199321791970547E+22</v>
      </c>
      <c r="Z114" s="23">
        <f>-(Données!I$51*1E-24*H114+Données!F$51)*Y114+Données!F$48*Q114</f>
        <v>-13243845388639.729</v>
      </c>
      <c r="AA114" s="15">
        <f t="shared" si="47"/>
        <v>1.2207386896149202E+22</v>
      </c>
    </row>
    <row r="115" spans="1:27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3459355206463252.5</v>
      </c>
      <c r="I115" s="40">
        <f t="shared" si="38"/>
        <v>2.3537661438087483E+19</v>
      </c>
      <c r="J115" s="21">
        <f>-(Données!I$44*1E-24*H115+Données!F$44)*I115+(Données!H$49*1E-24*H115*S115)*0.71+Données!H$50*1E-24*H115*W115</f>
        <v>-20806824114.634628</v>
      </c>
      <c r="K115" s="42">
        <f t="shared" si="39"/>
        <v>1.6772193801089337E+21</v>
      </c>
      <c r="L115" s="23">
        <f>-(Données!I$45*1E-24*H115+Données!F$45)*K115+(I115*Données!H$44*1E-24*H115)+(Données!H$51*1E-24*H115)*Y115</f>
        <v>-1711759480974.998</v>
      </c>
      <c r="M115" s="40">
        <f t="shared" si="40"/>
        <v>8.9005700405227749E+20</v>
      </c>
      <c r="N115" s="21">
        <f>-(Données!I$46*1E-24*H115+Données!F$46)*M115+Données!H$45*1E-24*H115*K115</f>
        <v>-9151672715.8608398</v>
      </c>
      <c r="O115" s="42">
        <f t="shared" si="41"/>
        <v>1.2062715560698805E+20</v>
      </c>
      <c r="P115" s="23">
        <f>-(Données!I$47*1E-24*H115+Données!F$47)*O115+(Données!H$46*1E-24*H115)*M115</f>
        <v>15651170131.445068</v>
      </c>
      <c r="Q115" s="40">
        <f t="shared" si="42"/>
        <v>6.8045417999453209E+19</v>
      </c>
      <c r="R115" s="43">
        <f>-(Données!I$48*1E-24*H115+Données!F$48)*Q115+Données!H$47*1E-24*H115*O115+(Données!H$49*1E-24*H115*S115)*0.85*0.16</f>
        <v>33344232028.32716</v>
      </c>
      <c r="S115" s="42">
        <f t="shared" si="43"/>
        <v>2.7461688238941995E+19</v>
      </c>
      <c r="T115" s="22">
        <f>-(Données!I$49*1E-24*H115+Données!F$49)*S115+Données!F$47*O115</f>
        <v>-5709209360.577301</v>
      </c>
      <c r="U115" s="28">
        <f t="shared" si="44"/>
        <v>2.8069483074446814E+21</v>
      </c>
      <c r="V115" s="19"/>
      <c r="W115" s="40">
        <f t="shared" si="45"/>
        <v>7.896456290870613E+18</v>
      </c>
      <c r="X115" s="21">
        <f>-(Données!I$50*1E-24*H115+Données!F$50)*W115+Données!F$45*K115</f>
        <v>-62803602337.074066</v>
      </c>
      <c r="Y115" s="42">
        <f t="shared" si="46"/>
        <v>1.2164516966289201E+22</v>
      </c>
      <c r="Z115" s="23">
        <f>-(Données!I$51*1E-24*H115+Données!F$51)*Y115+Données!F$48*Q115</f>
        <v>-13206060506858.676</v>
      </c>
      <c r="AA115" s="15">
        <f t="shared" si="47"/>
        <v>1.2172413422580072E+22</v>
      </c>
    </row>
    <row r="116" spans="1:27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3459355206463252.5</v>
      </c>
      <c r="I116" s="40">
        <f t="shared" si="38"/>
        <v>2.3482981104314225E+19</v>
      </c>
      <c r="J116" s="21">
        <f>-(Données!I$44*1E-24*H116+Données!F$44)*I116+(Données!H$49*1E-24*H116*S116)*0.71+Données!H$50*1E-24*H116*W116</f>
        <v>-20818601792.452591</v>
      </c>
      <c r="K116" s="42">
        <f t="shared" si="39"/>
        <v>1.6727208761929315E+21</v>
      </c>
      <c r="L116" s="23">
        <f>-(Données!I$45*1E-24*H116+Données!F$45)*K116+(I116*Données!H$44*1E-24*H116)+(Données!H$51*1E-24*H116)*Y116</f>
        <v>-1709053988043.4395</v>
      </c>
      <c r="M116" s="40">
        <f t="shared" si="40"/>
        <v>8.9003295345638022E+20</v>
      </c>
      <c r="N116" s="21">
        <f>-(Données!I$46*1E-24*H116+Données!F$46)*M116+Données!H$45*1E-24*H116*K116</f>
        <v>-16238561039.022461</v>
      </c>
      <c r="O116" s="42">
        <f t="shared" si="41"/>
        <v>1.2066828688209348E+20</v>
      </c>
      <c r="P116" s="23">
        <f>-(Données!I$47*1E-24*H116+Données!F$47)*O116+(Données!H$46*1E-24*H116)*M116</f>
        <v>15139221591.311523</v>
      </c>
      <c r="Q116" s="40">
        <f t="shared" si="42"/>
        <v>6.8133046641223655E+19</v>
      </c>
      <c r="R116" s="43">
        <f>-(Données!I$48*1E-24*H116+Données!F$48)*Q116+Données!H$47*1E-24*H116*O116+(Données!H$49*1E-24*H116*S116)*0.85*0.16</f>
        <v>33169512900.477859</v>
      </c>
      <c r="S116" s="42">
        <f t="shared" si="43"/>
        <v>2.7446684436742398E+19</v>
      </c>
      <c r="T116" s="22">
        <f>-(Données!I$49*1E-24*H116+Données!F$49)*S116+Données!F$47*O116</f>
        <v>-5541858892.6673279</v>
      </c>
      <c r="U116" s="28">
        <f t="shared" si="44"/>
        <v>2.8024848287136859E+21</v>
      </c>
      <c r="V116" s="19"/>
      <c r="W116" s="40">
        <f t="shared" si="45"/>
        <v>7.7314084239287828E+18</v>
      </c>
      <c r="X116" s="21">
        <f>-(Données!I$50*1E-24*H116+Données!F$50)*W116+Données!F$45*K116</f>
        <v>-61463054453.694923</v>
      </c>
      <c r="Y116" s="42">
        <f t="shared" si="46"/>
        <v>1.2129811439277176E+22</v>
      </c>
      <c r="Z116" s="23">
        <f>-(Données!I$51*1E-24*H116+Données!F$51)*Y116+Données!F$48*Q116</f>
        <v>-13168383425902.057</v>
      </c>
      <c r="AA116" s="15">
        <f t="shared" si="47"/>
        <v>1.2137542847701105E+22</v>
      </c>
    </row>
    <row r="117" spans="1:27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3459355206463252.5</v>
      </c>
      <c r="I117" s="40">
        <f t="shared" si="38"/>
        <v>2.3428269818803659E+19</v>
      </c>
      <c r="J117" s="21">
        <f>-(Données!I$44*1E-24*H117+Données!F$44)*I117+(Données!H$49*1E-24*H117*S117)*0.71+Données!H$50*1E-24*H117*W117</f>
        <v>-20822048440.41745</v>
      </c>
      <c r="K117" s="42">
        <f t="shared" si="39"/>
        <v>1.6682294823123534E+21</v>
      </c>
      <c r="L117" s="23">
        <f>-(Données!I$45*1E-24*H117+Données!F$45)*K117+(I117*Données!H$44*1E-24*H117)+(Données!H$51*1E-24*H117)*Y117</f>
        <v>-1706312605529.7051</v>
      </c>
      <c r="M117" s="40">
        <f t="shared" si="40"/>
        <v>8.8999027851796965E+20</v>
      </c>
      <c r="N117" s="21">
        <f>-(Données!I$46*1E-24*H117+Données!F$46)*M117+Données!H$45*1E-24*H117*K117</f>
        <v>-23258088551.089355</v>
      </c>
      <c r="O117" s="42">
        <f t="shared" si="41"/>
        <v>1.2070807275643545E+20</v>
      </c>
      <c r="P117" s="23">
        <f>-(Données!I$47*1E-24*H117+Données!F$47)*O117+(Données!H$46*1E-24*H117)*M117</f>
        <v>14613363010.016357</v>
      </c>
      <c r="Q117" s="40">
        <f t="shared" si="42"/>
        <v>6.8220216121126109E+19</v>
      </c>
      <c r="R117" s="43">
        <f>-(Données!I$48*1E-24*H117+Données!F$48)*Q117+Données!H$47*1E-24*H117*O117+(Données!H$49*1E-24*H117*S117)*0.85*0.16</f>
        <v>32994239612.552689</v>
      </c>
      <c r="S117" s="42">
        <f t="shared" si="43"/>
        <v>2.7432120431572468E+19</v>
      </c>
      <c r="T117" s="22">
        <f>-(Données!I$49*1E-24*H117+Données!F$49)*S117+Données!F$47*O117</f>
        <v>-5379628282.357666</v>
      </c>
      <c r="U117" s="28">
        <f t="shared" si="44"/>
        <v>2.7980084399582609E+21</v>
      </c>
      <c r="V117" s="19"/>
      <c r="W117" s="40">
        <f t="shared" si="45"/>
        <v>7.5698835168244726E+18</v>
      </c>
      <c r="X117" s="21">
        <f>-(Données!I$50*1E-24*H117+Données!F$50)*W117+Données!F$45*K117</f>
        <v>-60151201725.829826</v>
      </c>
      <c r="Y117" s="42">
        <f t="shared" si="46"/>
        <v>1.2095204927633904E+22</v>
      </c>
      <c r="Z117" s="23">
        <f>-(Données!I$51*1E-24*H117+Données!F$51)*Y117+Données!F$48*Q117</f>
        <v>-13130813838212.68</v>
      </c>
      <c r="AA117" s="15">
        <f t="shared" si="47"/>
        <v>1.2102774811150728E+22</v>
      </c>
    </row>
    <row r="118" spans="1:27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3459355206463252.5</v>
      </c>
      <c r="I118" s="40">
        <f t="shared" si="38"/>
        <v>2.337354947550224E+19</v>
      </c>
      <c r="J118" s="21">
        <f>-(Données!I$44*1E-24*H118+Données!F$44)*I118+(Données!H$49*1E-24*H118*S118)*0.71+Données!H$50*1E-24*H118*W118</f>
        <v>-20817493549.3186</v>
      </c>
      <c r="K118" s="42">
        <f t="shared" si="39"/>
        <v>1.6637452927850214E+21</v>
      </c>
      <c r="L118" s="23">
        <f>-(Données!I$45*1E-24*H118+Données!F$45)*K118+(I118*Données!H$44*1E-24*H118)+(Données!H$51*1E-24*H118)*Y118</f>
        <v>-1703536277668.0684</v>
      </c>
      <c r="M118" s="40">
        <f t="shared" si="40"/>
        <v>8.8992915626125741E+20</v>
      </c>
      <c r="N118" s="21">
        <f>-(Données!I$46*1E-24*H118+Données!F$46)*M118+Données!H$45*1E-24*H118*K118</f>
        <v>-30210637858.109863</v>
      </c>
      <c r="O118" s="42">
        <f t="shared" si="41"/>
        <v>1.2074647667442578E+20</v>
      </c>
      <c r="P118" s="23">
        <f>-(Données!I$47*1E-24*H118+Données!F$47)*O118+(Données!H$46*1E-24*H118)*M118</f>
        <v>14074295200.516846</v>
      </c>
      <c r="Q118" s="40">
        <f t="shared" si="42"/>
        <v>6.8306924982827901E+19</v>
      </c>
      <c r="R118" s="43">
        <f>-(Données!I$48*1E-24*H118+Données!F$48)*Q118+Données!H$47*1E-24*H118*O118+(Données!H$49*1E-24*H118*S118)*0.85*0.16</f>
        <v>32818348387.84124</v>
      </c>
      <c r="S118" s="42">
        <f t="shared" si="43"/>
        <v>2.7417982768446431E+19</v>
      </c>
      <c r="T118" s="22">
        <f>-(Données!I$49*1E-24*H118+Données!F$49)*S118+Données!F$47*O118</f>
        <v>-5222480138.5493774</v>
      </c>
      <c r="U118" s="28">
        <f t="shared" si="44"/>
        <v>2.7935193829474807E+21</v>
      </c>
      <c r="V118" s="19"/>
      <c r="W118" s="40">
        <f t="shared" si="45"/>
        <v>7.4118061586889923E+18</v>
      </c>
      <c r="X118" s="21">
        <f>-(Données!I$50*1E-24*H118+Données!F$50)*W118+Données!F$45*K118</f>
        <v>-58867429693.36097</v>
      </c>
      <c r="Y118" s="42">
        <f t="shared" si="46"/>
        <v>1.2060697148867081E+22</v>
      </c>
      <c r="Z118" s="23">
        <f>-(Données!I$51*1E-24*H118+Données!F$51)*Y118+Données!F$48*Q118</f>
        <v>-13093351437110.836</v>
      </c>
      <c r="AA118" s="15">
        <f t="shared" si="47"/>
        <v>1.2068108955025771E+22</v>
      </c>
    </row>
    <row r="119" spans="1:27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3459355206463252.5</v>
      </c>
      <c r="I119" s="40">
        <f t="shared" si="38"/>
        <v>2.3318841102454632E+19</v>
      </c>
      <c r="J119" s="21">
        <f>-(Données!I$44*1E-24*H119+Données!F$44)*I119+(Données!H$49*1E-24*H119*S119)*0.71+Données!H$50*1E-24*H119*W119</f>
        <v>-20805257829.516769</v>
      </c>
      <c r="K119" s="42">
        <f t="shared" si="39"/>
        <v>1.6592683994473095E+21</v>
      </c>
      <c r="L119" s="23">
        <f>-(Données!I$45*1E-24*H119+Données!F$45)*K119+(I119*Données!H$44*1E-24*H119)+(Données!H$51*1E-24*H119)*Y119</f>
        <v>-1700725930408.6934</v>
      </c>
      <c r="M119" s="40">
        <f t="shared" si="40"/>
        <v>8.8984976270496629E+20</v>
      </c>
      <c r="N119" s="21">
        <f>-(Données!I$46*1E-24*H119+Données!F$46)*M119+Données!H$45*1E-24*H119*K119</f>
        <v>-37096592489.526367</v>
      </c>
      <c r="O119" s="42">
        <f t="shared" si="41"/>
        <v>1.2078346392221273E+20</v>
      </c>
      <c r="P119" s="23">
        <f>-(Données!I$47*1E-24*H119+Données!F$47)*O119+(Données!H$46*1E-24*H119)*M119</f>
        <v>13522696165.036865</v>
      </c>
      <c r="Q119" s="40">
        <f t="shared" si="42"/>
        <v>6.8393171602391146E+19</v>
      </c>
      <c r="R119" s="43">
        <f>-(Données!I$48*1E-24*H119+Données!F$48)*Q119+Données!H$47*1E-24*H119*O119+(Données!H$49*1E-24*H119*S119)*0.85*0.16</f>
        <v>32641778825.341167</v>
      </c>
      <c r="S119" s="42">
        <f t="shared" si="43"/>
        <v>2.7404258090642326E+19</v>
      </c>
      <c r="T119" s="22">
        <f>-(Données!I$49*1E-24*H119+Données!F$49)*S119+Données!F$47*O119</f>
        <v>-5070374926.9762878</v>
      </c>
      <c r="U119" s="28">
        <f t="shared" si="44"/>
        <v>2.7890178968699766E+21</v>
      </c>
      <c r="V119" s="19"/>
      <c r="W119" s="40">
        <f t="shared" si="45"/>
        <v>7.2571025534548398E+18</v>
      </c>
      <c r="X119" s="21">
        <f>-(Données!I$50*1E-24*H119+Données!F$50)*W119+Données!F$45*K119</f>
        <v>-57611137054.256248</v>
      </c>
      <c r="Y119" s="42">
        <f t="shared" si="46"/>
        <v>1.2026287821290354E+22</v>
      </c>
      <c r="Z119" s="23">
        <f>-(Données!I$51*1E-24*H119+Données!F$51)*Y119+Données!F$48*Q119</f>
        <v>-13055995916791.779</v>
      </c>
      <c r="AA119" s="15">
        <f t="shared" si="47"/>
        <v>1.2033544923843809E+22</v>
      </c>
    </row>
    <row r="120" spans="1:27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3459355206463252.5</v>
      </c>
      <c r="I120" s="40">
        <f t="shared" si="38"/>
        <v>2.3264164884878664E+19</v>
      </c>
      <c r="J120" s="21">
        <f>-(Données!I$44*1E-24*H120+Données!F$44)*I120+(Données!H$49*1E-24*H120*S120)*0.71+Données!H$50*1E-24*H120*W120</f>
        <v>-20785653395.531418</v>
      </c>
      <c r="K120" s="42">
        <f t="shared" si="39"/>
        <v>1.6547988917021956E+21</v>
      </c>
      <c r="L120" s="23">
        <f>-(Données!I$45*1E-24*H120+Données!F$45)*K120+(I120*Données!H$44*1E-24*H120)+(Données!H$51*1E-24*H120)*Y120</f>
        <v>-1697882471748.6328</v>
      </c>
      <c r="M120" s="40">
        <f t="shared" si="40"/>
        <v>8.8975227285990382E+20</v>
      </c>
      <c r="N120" s="21">
        <f>-(Données!I$46*1E-24*H120+Données!F$46)*M120+Données!H$45*1E-24*H120*K120</f>
        <v>-43916336814.404785</v>
      </c>
      <c r="O120" s="42">
        <f t="shared" si="41"/>
        <v>1.2081900156773445E+20</v>
      </c>
      <c r="P120" s="23">
        <f>-(Données!I$47*1E-24*H120+Données!F$47)*O120+(Données!H$46*1E-24*H120)*M120</f>
        <v>12959221782.012207</v>
      </c>
      <c r="Q120" s="40">
        <f t="shared" si="42"/>
        <v>6.8478954197144142E+19</v>
      </c>
      <c r="R120" s="43">
        <f>-(Données!I$48*1E-24*H120+Données!F$48)*Q120+Données!H$47*1E-24*H120*O120+(Données!H$49*1E-24*H120*S120)*0.85*0.16</f>
        <v>32464473788.067127</v>
      </c>
      <c r="S120" s="42">
        <f t="shared" si="43"/>
        <v>2.7390933145334231E+19</v>
      </c>
      <c r="T120" s="22">
        <f>-(Données!I$49*1E-24*H120+Données!F$49)*S120+Données!F$47*O120</f>
        <v>-4923271101.3146362</v>
      </c>
      <c r="U120" s="28">
        <f t="shared" si="44"/>
        <v>2.7845042183571914E+21</v>
      </c>
      <c r="V120" s="19"/>
      <c r="W120" s="40">
        <f t="shared" si="45"/>
        <v>7.1057004852762542E+18</v>
      </c>
      <c r="X120" s="21">
        <f>-(Données!I$50*1E-24*H120+Données!F$50)*W120+Données!F$45*K120</f>
        <v>-56381735382.805939</v>
      </c>
      <c r="Y120" s="42">
        <f t="shared" si="46"/>
        <v>1.1991976664021026E+22</v>
      </c>
      <c r="Z120" s="23">
        <f>-(Données!I$51*1E-24*H120+Données!F$51)*Y120+Données!F$48*Q120</f>
        <v>-13018746972323.246</v>
      </c>
      <c r="AA120" s="15">
        <f t="shared" si="47"/>
        <v>1.1999082364506303E+22</v>
      </c>
    </row>
    <row r="121" spans="1:27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3459355206463252.5</v>
      </c>
      <c r="I121" s="40">
        <f t="shared" si="38"/>
        <v>2.3209540187755209E+19</v>
      </c>
      <c r="J121" s="21">
        <f>-(Données!I$44*1E-24*H121+Données!F$44)*I121+(Données!H$49*1E-24*H121*S121)*0.71+Données!H$50*1E-24*H121*W121</f>
        <v>-20758983947.663246</v>
      </c>
      <c r="K121" s="42">
        <f t="shared" si="39"/>
        <v>1.6503368565664401E+21</v>
      </c>
      <c r="L121" s="23">
        <f>-(Données!I$45*1E-24*H121+Données!F$45)*K121+(I121*Données!H$44*1E-24*H121)+(Données!H$51*1E-24*H121)*Y121</f>
        <v>-1695006792056.9551</v>
      </c>
      <c r="M121" s="40">
        <f t="shared" si="40"/>
        <v>8.8963686072675559E+20</v>
      </c>
      <c r="N121" s="21">
        <f>-(Données!I$46*1E-24*H121+Données!F$46)*M121+Données!H$45*1E-24*H121*K121</f>
        <v>-50670255959.70459</v>
      </c>
      <c r="O121" s="42">
        <f t="shared" si="41"/>
        <v>1.2085305840257758E+20</v>
      </c>
      <c r="P121" s="23">
        <f>-(Données!I$47*1E-24*H121+Données!F$47)*O121+(Données!H$46*1E-24*H121)*M121</f>
        <v>12384506472.582764</v>
      </c>
      <c r="Q121" s="40">
        <f t="shared" si="42"/>
        <v>6.8564270834259182E+19</v>
      </c>
      <c r="R121" s="43">
        <f>-(Données!I$48*1E-24*H121+Données!F$48)*Q121+Données!H$47*1E-24*H121*O121+(Données!H$49*1E-24*H121*S121)*0.85*0.16</f>
        <v>32286379294.65205</v>
      </c>
      <c r="S121" s="42">
        <f t="shared" si="43"/>
        <v>2.7377994788879974E+19</v>
      </c>
      <c r="T121" s="22">
        <f>-(Données!I$49*1E-24*H121+Données!F$49)*S121+Données!F$47*O121</f>
        <v>-4781125229.1290894</v>
      </c>
      <c r="U121" s="28">
        <f t="shared" si="44"/>
        <v>2.7799785815066678E+21</v>
      </c>
      <c r="V121" s="19"/>
      <c r="W121" s="40">
        <f t="shared" si="45"/>
        <v>6.9575292846902405E+18</v>
      </c>
      <c r="X121" s="21">
        <f>-(Données!I$50*1E-24*H121+Données!F$50)*W121+Données!F$45*K121</f>
        <v>-55178648853.892685</v>
      </c>
      <c r="Y121" s="42">
        <f t="shared" si="46"/>
        <v>1.1957763396977761E+22</v>
      </c>
      <c r="Z121" s="23">
        <f>-(Données!I$51*1E-24*H121+Données!F$51)*Y121+Données!F$48*Q121</f>
        <v>-12981604299642.949</v>
      </c>
      <c r="AA121" s="15">
        <f t="shared" si="47"/>
        <v>1.1964720926262452E+22</v>
      </c>
    </row>
    <row r="122" spans="1:27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3459355206463252.5</v>
      </c>
      <c r="I122" s="40">
        <f t="shared" si="38"/>
        <v>2.315498557794075E+19</v>
      </c>
      <c r="J122" s="21">
        <f>-(Données!I$44*1E-24*H122+Données!F$44)*I122+(Données!H$49*1E-24*H122*S122)*0.71+Données!H$50*1E-24*H122*W122</f>
        <v>-20725544950.671913</v>
      </c>
      <c r="K122" s="42">
        <f t="shared" si="39"/>
        <v>1.6458823787169144E+21</v>
      </c>
      <c r="L122" s="23">
        <f>-(Données!I$45*1E-24*H122+Données!F$45)*K122+(I122*Données!H$44*1E-24*H122)+(Données!H$51*1E-24*H122)*Y122</f>
        <v>-1692099764394.1641</v>
      </c>
      <c r="M122" s="40">
        <f t="shared" si="40"/>
        <v>8.8950369929409344E+20</v>
      </c>
      <c r="N122" s="21">
        <f>-(Données!I$46*1E-24*H122+Données!F$46)*M122+Données!H$45*1E-24*H122*K122</f>
        <v>-57358735730.556641</v>
      </c>
      <c r="O122" s="42">
        <f t="shared" si="41"/>
        <v>1.2088560488558753E+20</v>
      </c>
      <c r="P122" s="23">
        <f>-(Données!I$47*1E-24*H122+Données!F$47)*O122+(Données!H$46*1E-24*H122)*M122</f>
        <v>11799163847.239746</v>
      </c>
      <c r="Q122" s="40">
        <f t="shared" si="42"/>
        <v>6.8649119439045526E+19</v>
      </c>
      <c r="R122" s="43">
        <f>-(Données!I$48*1E-24*H122+Données!F$48)*Q122+Données!H$47*1E-24*H122*O122+(Données!H$49*1E-24*H122*S122)*0.85*0.16</f>
        <v>32107444414.146358</v>
      </c>
      <c r="S122" s="42">
        <f t="shared" si="43"/>
        <v>2.7365429991777825E+19</v>
      </c>
      <c r="T122" s="22">
        <f>-(Données!I$49*1E-24*H122+Données!F$49)*S122+Données!F$47*O122</f>
        <v>-4643892112.831604</v>
      </c>
      <c r="U122" s="28">
        <f t="shared" si="44"/>
        <v>2.7754412179053598E+21</v>
      </c>
      <c r="V122" s="19"/>
      <c r="W122" s="40">
        <f t="shared" si="45"/>
        <v>6.81251979550221E+18</v>
      </c>
      <c r="X122" s="21">
        <f>-(Données!I$50*1E-24*H122+Données!F$50)*W122+Données!F$45*K122</f>
        <v>-54001313973.165855</v>
      </c>
      <c r="Y122" s="42">
        <f t="shared" si="46"/>
        <v>1.19236477408783E+22</v>
      </c>
      <c r="Z122" s="23">
        <f>-(Données!I$51*1E-24*H122+Données!F$51)*Y122+Données!F$48*Q122</f>
        <v>-12944567595556.111</v>
      </c>
      <c r="AA122" s="15">
        <f t="shared" si="47"/>
        <v>1.1930460260673803E+22</v>
      </c>
    </row>
    <row r="123" spans="1:27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3459355206463252.5</v>
      </c>
      <c r="I123" s="40">
        <f t="shared" si="38"/>
        <v>2.3100518845810385E+19</v>
      </c>
      <c r="J123" s="21">
        <f>-(Données!I$44*1E-24*H123+Données!F$44)*I123+(Données!H$49*1E-24*H123*S123)*0.71+Données!H$50*1E-24*H123*W123</f>
        <v>-20685623809.532135</v>
      </c>
      <c r="K123" s="42">
        <f t="shared" si="39"/>
        <v>1.6414355405360865E+21</v>
      </c>
      <c r="L123" s="23">
        <f>-(Données!I$45*1E-24*H123+Données!F$45)*K123+(I123*Données!H$44*1E-24*H123)+(Données!H$51*1E-24*H123)*Y123</f>
        <v>-1689162244825.9473</v>
      </c>
      <c r="M123" s="40">
        <f t="shared" si="40"/>
        <v>8.8935296053659356E+20</v>
      </c>
      <c r="N123" s="21">
        <f>-(Données!I$46*1E-24*H123+Données!F$46)*M123+Données!H$45*1E-24*H123*K123</f>
        <v>-63982162532.515137</v>
      </c>
      <c r="O123" s="42">
        <f t="shared" si="41"/>
        <v>1.2091661308817808E+20</v>
      </c>
      <c r="P123" s="23">
        <f>-(Données!I$47*1E-24*H123+Données!F$47)*O123+(Données!H$46*1E-24*H123)*M123</f>
        <v>11203787333.220703</v>
      </c>
      <c r="Q123" s="40">
        <f t="shared" si="42"/>
        <v>6.8733497802965901E+19</v>
      </c>
      <c r="R123" s="43">
        <f>-(Données!I$48*1E-24*H123+Données!F$48)*Q123+Données!H$47*1E-24*H123*O123+(Données!H$49*1E-24*H123*S123)*0.85*0.16</f>
        <v>31927621163.921993</v>
      </c>
      <c r="S123" s="42">
        <f t="shared" si="43"/>
        <v>2.7353225843305304E+19</v>
      </c>
      <c r="T123" s="22">
        <f>-(Données!I$49*1E-24*H123+Données!F$49)*S123+Données!F$47*O123</f>
        <v>-4511524905.8242493</v>
      </c>
      <c r="U123" s="28">
        <f t="shared" si="44"/>
        <v>2.7708923566529393E+21</v>
      </c>
      <c r="V123" s="19"/>
      <c r="W123" s="40">
        <f t="shared" si="45"/>
        <v>6.6706043423807304E+18</v>
      </c>
      <c r="X123" s="21">
        <f>-(Données!I$50*1E-24*H123+Données!F$50)*W123+Données!F$45*K123</f>
        <v>-52849179312.993683</v>
      </c>
      <c r="Y123" s="42">
        <f t="shared" si="46"/>
        <v>1.1889629417237178E+22</v>
      </c>
      <c r="Z123" s="23">
        <f>-(Données!I$51*1E-24*H123+Données!F$51)*Y123+Données!F$48*Q123</f>
        <v>-12907636557732.975</v>
      </c>
      <c r="AA123" s="15">
        <f t="shared" si="47"/>
        <v>1.1896300021579558E+22</v>
      </c>
    </row>
    <row r="124" spans="1:27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3459355206463252.5</v>
      </c>
      <c r="I124" s="40">
        <f t="shared" si="38"/>
        <v>2.3046157026438935E+19</v>
      </c>
      <c r="J124" s="21">
        <f>-(Données!I$44*1E-24*H124+Données!F$44)*I124+(Données!H$49*1E-24*H124*S124)*0.71+Données!H$50*1E-24*H124*W124</f>
        <v>-20639500042.290756</v>
      </c>
      <c r="K124" s="42">
        <f t="shared" si="39"/>
        <v>1.6369964221566838E+21</v>
      </c>
      <c r="L124" s="23">
        <f>-(Données!I$45*1E-24*H124+Données!F$45)*K124+(I124*Données!H$44*1E-24*H124)+(Données!H$51*1E-24*H124)*Y124</f>
        <v>-1686195072731.4199</v>
      </c>
      <c r="M124" s="40">
        <f t="shared" si="40"/>
        <v>8.8918481541345811E+20</v>
      </c>
      <c r="N124" s="21">
        <f>-(Données!I$46*1E-24*H124+Données!F$46)*M124+Données!H$45*1E-24*H124*K124</f>
        <v>-70540923295.72168</v>
      </c>
      <c r="O124" s="42">
        <f t="shared" si="41"/>
        <v>1.2094605664128978E+20</v>
      </c>
      <c r="P124" s="23">
        <f>-(Données!I$47*1E-24*H124+Données!F$47)*O124+(Données!H$46*1E-24*H124)*M124</f>
        <v>10598950783.22876</v>
      </c>
      <c r="Q124" s="40">
        <f t="shared" si="42"/>
        <v>6.8817403591384687E+19</v>
      </c>
      <c r="R124" s="43">
        <f>-(Données!I$48*1E-24*H124+Données!F$48)*Q124+Données!H$47*1E-24*H124*O124+(Données!H$49*1E-24*H124*S124)*0.85*0.16</f>
        <v>31746864410.591633</v>
      </c>
      <c r="S124" s="42">
        <f t="shared" si="43"/>
        <v>2.7341369555852796E+19</v>
      </c>
      <c r="T124" s="22">
        <f>-(Données!I$49*1E-24*H124+Données!F$49)*S124+Données!F$47*O124</f>
        <v>-4383975223.9919434</v>
      </c>
      <c r="U124" s="28">
        <f t="shared" si="44"/>
        <v>2.7663322243851081E+21</v>
      </c>
      <c r="V124" s="19"/>
      <c r="W124" s="40">
        <f t="shared" si="45"/>
        <v>6.5317166991461827E+18</v>
      </c>
      <c r="X124" s="21">
        <f>-(Données!I$50*1E-24*H124+Données!F$50)*W124+Données!F$45*K124</f>
        <v>-51721705254.069527</v>
      </c>
      <c r="Y124" s="42">
        <f t="shared" si="46"/>
        <v>1.1855708148363455E+22</v>
      </c>
      <c r="Z124" s="23">
        <f>-(Données!I$51*1E-24*H124+Données!F$51)*Y124+Données!F$48*Q124</f>
        <v>-12870810884706.346</v>
      </c>
      <c r="AA124" s="15">
        <f t="shared" si="47"/>
        <v>1.1862239865062602E+22</v>
      </c>
    </row>
    <row r="125" spans="1:27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3459355206463252.5</v>
      </c>
      <c r="I125" s="40">
        <f t="shared" si="38"/>
        <v>2.2991916420327793E+19</v>
      </c>
      <c r="J125" s="21">
        <f>-(Données!I$44*1E-24*H125+Données!F$44)*I125+(Données!H$49*1E-24*H125*S125)*0.71+Données!H$50*1E-24*H125*W125</f>
        <v>-20587445450.049408</v>
      </c>
      <c r="K125" s="42">
        <f t="shared" si="39"/>
        <v>1.6325651015055458E+21</v>
      </c>
      <c r="L125" s="23">
        <f>-(Données!I$45*1E-24*H125+Données!F$45)*K125+(I125*Données!H$44*1E-24*H125)+(Données!H$51*1E-24*H125)*Y125</f>
        <v>-1683199071105.9141</v>
      </c>
      <c r="M125" s="40">
        <f t="shared" si="40"/>
        <v>8.8899943386703698E+20</v>
      </c>
      <c r="N125" s="21">
        <f>-(Données!I$46*1E-24*H125+Données!F$46)*M125+Données!H$45*1E-24*H125*K125</f>
        <v>-77035405400.973145</v>
      </c>
      <c r="O125" s="42">
        <f t="shared" si="41"/>
        <v>1.2097391068394811E+20</v>
      </c>
      <c r="P125" s="23">
        <f>-(Données!I$47*1E-24*H125+Données!F$47)*O125+(Données!H$46*1E-24*H125)*M125</f>
        <v>9985209066.0319824</v>
      </c>
      <c r="Q125" s="40">
        <f t="shared" si="42"/>
        <v>6.8900834351055725E+19</v>
      </c>
      <c r="R125" s="43">
        <f>-(Données!I$48*1E-24*H125+Données!F$48)*Q125+Données!H$47*1E-24*H125*O125+(Données!H$49*1E-24*H125*S125)*0.85*0.16</f>
        <v>31565131773.856579</v>
      </c>
      <c r="S125" s="42">
        <f t="shared" si="43"/>
        <v>2.7329848468964143E+19</v>
      </c>
      <c r="T125" s="22">
        <f>-(Données!I$49*1E-24*H125+Données!F$49)*S125+Données!F$47*O125</f>
        <v>-4261193252.7045288</v>
      </c>
      <c r="U125" s="28">
        <f t="shared" si="44"/>
        <v>2.761761045296879E+21</v>
      </c>
      <c r="V125" s="19"/>
      <c r="W125" s="40">
        <f t="shared" si="45"/>
        <v>6.3957920577384878E+18</v>
      </c>
      <c r="X125" s="21">
        <f>-(Données!I$50*1E-24*H125+Données!F$50)*W125+Données!F$45*K125</f>
        <v>-50618363732.551201</v>
      </c>
      <c r="Y125" s="42">
        <f t="shared" si="46"/>
        <v>1.1821883657358447E+22</v>
      </c>
      <c r="Z125" s="23">
        <f>-(Données!I$51*1E-24*H125+Données!F$51)*Y125+Données!F$48*Q125</f>
        <v>-12834090275869.131</v>
      </c>
      <c r="AA125" s="15">
        <f t="shared" si="47"/>
        <v>1.1828279449416186E+22</v>
      </c>
    </row>
    <row r="126" spans="1:27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3459355206463252.5</v>
      </c>
      <c r="I126" s="40">
        <f t="shared" si="38"/>
        <v>2.2937812613685064E+19</v>
      </c>
      <c r="J126" s="21">
        <f>-(Données!I$44*1E-24*H126+Données!F$44)*I126+(Données!H$49*1E-24*H126*S126)*0.71+Données!H$50*1E-24*H126*W126</f>
        <v>-20529724284.097206</v>
      </c>
      <c r="K126" s="42">
        <f t="shared" si="39"/>
        <v>1.6281416543466795E+21</v>
      </c>
      <c r="L126" s="23">
        <f>-(Données!I$45*1E-24*H126+Données!F$45)*K126+(I126*Données!H$44*1E-24*H126)+(Données!H$51*1E-24*H126)*Y126</f>
        <v>-1680175046858.4375</v>
      </c>
      <c r="M126" s="40">
        <f t="shared" si="40"/>
        <v>8.8879698482164321E+20</v>
      </c>
      <c r="N126" s="21">
        <f>-(Données!I$46*1E-24*H126+Données!F$46)*M126+Données!H$45*1E-24*H126*K126</f>
        <v>-83465996607.630859</v>
      </c>
      <c r="O126" s="42">
        <f t="shared" si="41"/>
        <v>1.2100015181337364E+20</v>
      </c>
      <c r="P126" s="23">
        <f>-(Données!I$47*1E-24*H126+Données!F$47)*O126+(Données!H$46*1E-24*H126)*M126</f>
        <v>9363098639.4853516</v>
      </c>
      <c r="Q126" s="40">
        <f t="shared" si="42"/>
        <v>6.8983787517357416E+19</v>
      </c>
      <c r="R126" s="43">
        <f>-(Données!I$48*1E-24*H126+Données!F$48)*Q126+Données!H$47*1E-24*H126*O126+(Données!H$49*1E-24*H126*S126)*0.85*0.16</f>
        <v>31382383533.197903</v>
      </c>
      <c r="S126" s="42">
        <f t="shared" si="43"/>
        <v>2.7318650053096034E+19</v>
      </c>
      <c r="T126" s="22">
        <f>-(Données!I$49*1E-24*H126+Données!F$49)*S126+Données!F$47*O126</f>
        <v>-4143127849.4841614</v>
      </c>
      <c r="U126" s="28">
        <f t="shared" si="44"/>
        <v>2.757179041165835E+21</v>
      </c>
      <c r="V126" s="19"/>
      <c r="W126" s="40">
        <f t="shared" si="45"/>
        <v>6.262766997849343E+18</v>
      </c>
      <c r="X126" s="21">
        <f>-(Données!I$50*1E-24*H126+Données!F$50)*W126+Données!F$45*K126</f>
        <v>-49538637992.614853</v>
      </c>
      <c r="Y126" s="42">
        <f t="shared" si="46"/>
        <v>1.1788155668113463E+22</v>
      </c>
      <c r="Z126" s="23">
        <f>-(Données!I$51*1E-24*H126+Données!F$51)*Y126+Données!F$48*Q126</f>
        <v>-12797474431471.867</v>
      </c>
      <c r="AA126" s="15">
        <f t="shared" si="47"/>
        <v>1.1794418435111313E+22</v>
      </c>
    </row>
    <row r="127" spans="1:27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3459355206463252.5</v>
      </c>
      <c r="I127" s="40">
        <f t="shared" si="38"/>
        <v>2.2883860498266456E+19</v>
      </c>
      <c r="J127" s="21">
        <f>-(Données!I$44*1E-24*H127+Données!F$44)*I127+(Données!H$49*1E-24*H127*S127)*0.71+Données!H$50*1E-24*H127*W127</f>
        <v>-20466593410.219364</v>
      </c>
      <c r="K127" s="42">
        <f t="shared" si="39"/>
        <v>1.6237261543235356E+21</v>
      </c>
      <c r="L127" s="23">
        <f>-(Données!I$45*1E-24*H127+Données!F$45)*K127+(I127*Données!H$44*1E-24*H127)+(Données!H$51*1E-24*H127)*Y127</f>
        <v>-1677123791103.8672</v>
      </c>
      <c r="M127" s="40">
        <f t="shared" si="40"/>
        <v>8.8857763618255838E+20</v>
      </c>
      <c r="N127" s="21">
        <f>-(Données!I$46*1E-24*H127+Données!F$46)*M127+Données!H$45*1E-24*H127*K127</f>
        <v>-89833084983.349121</v>
      </c>
      <c r="O127" s="42">
        <f t="shared" si="41"/>
        <v>1.2102475803659821E+20</v>
      </c>
      <c r="P127" s="23">
        <f>-(Données!I$47*1E-24*H127+Données!F$47)*O127+(Données!H$46*1E-24*H127)*M127</f>
        <v>8733138106.4980469</v>
      </c>
      <c r="Q127" s="40">
        <f t="shared" si="42"/>
        <v>6.906626042128266E+19</v>
      </c>
      <c r="R127" s="43">
        <f>-(Données!I$48*1E-24*H127+Données!F$48)*Q127+Données!H$47*1E-24*H127*O127+(Données!H$49*1E-24*H127*S127)*0.85*0.16</f>
        <v>31198582537.329224</v>
      </c>
      <c r="S127" s="42">
        <f t="shared" si="43"/>
        <v>2.7307761913107591E+19</v>
      </c>
      <c r="T127" s="22">
        <f>-(Données!I$49*1E-24*H127+Données!F$49)*S127+Données!F$47*O127</f>
        <v>-4029726642.4873047</v>
      </c>
      <c r="U127" s="28">
        <f t="shared" si="44"/>
        <v>2.7525864313753489E+21</v>
      </c>
      <c r="V127" s="19"/>
      <c r="W127" s="40">
        <f t="shared" si="45"/>
        <v>6.1325794572047514E+18</v>
      </c>
      <c r="X127" s="21">
        <f>-(Données!I$50*1E-24*H127+Données!F$50)*W127+Données!F$45*K127</f>
        <v>-48482022344.307472</v>
      </c>
      <c r="Y127" s="42">
        <f t="shared" si="46"/>
        <v>1.1754523905307554E+22</v>
      </c>
      <c r="Z127" s="23">
        <f>-(Données!I$51*1E-24*H127+Données!F$51)*Y127+Données!F$48*Q127</f>
        <v>-12760963052620.299</v>
      </c>
      <c r="AA127" s="15">
        <f t="shared" si="47"/>
        <v>1.1760656484764758E+22</v>
      </c>
    </row>
    <row r="128" spans="1:27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3459355206463252.5</v>
      </c>
      <c r="I128" s="40">
        <f t="shared" si="38"/>
        <v>2.2830074290784399E+19</v>
      </c>
      <c r="J128" s="21">
        <f>-(Données!I$44*1E-24*H128+Données!F$44)*I128+(Données!H$49*1E-24*H128*S128)*0.71+Données!H$50*1E-24*H128*W128</f>
        <v>-20398302470.207745</v>
      </c>
      <c r="K128" s="42">
        <f t="shared" si="39"/>
        <v>1.6193186730005147E+21</v>
      </c>
      <c r="L128" s="23">
        <f>-(Données!I$45*1E-24*H128+Données!F$45)*K128+(I128*Données!H$44*1E-24*H128)+(Données!H$51*1E-24*H128)*Y128</f>
        <v>-1674046079450.0234</v>
      </c>
      <c r="M128" s="40">
        <f t="shared" si="40"/>
        <v>8.8834155483522217E+20</v>
      </c>
      <c r="N128" s="21">
        <f>-(Données!I$46*1E-24*H128+Données!F$46)*M128+Données!H$45*1E-24*H128*K128</f>
        <v>-96137058835.579102</v>
      </c>
      <c r="O128" s="42">
        <f t="shared" si="41"/>
        <v>1.2104770872354208E+20</v>
      </c>
      <c r="P128" s="23">
        <f>-(Données!I$47*1E-24*H128+Données!F$47)*O128+(Données!H$46*1E-24*H128)*M128</f>
        <v>8095828754.4567871</v>
      </c>
      <c r="Q128" s="40">
        <f t="shared" si="42"/>
        <v>6.9148250296190763E+19</v>
      </c>
      <c r="R128" s="43">
        <f>-(Données!I$48*1E-24*H128+Données!F$48)*Q128+Données!H$47*1E-24*H128*O128+(Données!H$49*1E-24*H128*S128)*0.85*0.16</f>
        <v>31013694116.331474</v>
      </c>
      <c r="S128" s="42">
        <f t="shared" si="43"/>
        <v>2.7297171791491133E+19</v>
      </c>
      <c r="T128" s="22">
        <f>-(Données!I$49*1E-24*H128+Données!F$49)*S128+Données!F$47*O128</f>
        <v>-3920936124.9468079</v>
      </c>
      <c r="U128" s="28">
        <f t="shared" si="44"/>
        <v>2.7479834329377454E+21</v>
      </c>
      <c r="V128" s="19"/>
      <c r="W128" s="40">
        <f t="shared" si="45"/>
        <v>6.0051687024839117E+18</v>
      </c>
      <c r="X128" s="21">
        <f>-(Données!I$50*1E-24*H128+Données!F$50)*W128+Données!F$45*K128</f>
        <v>-47448021926.584564</v>
      </c>
      <c r="Y128" s="42">
        <f t="shared" si="46"/>
        <v>1.1720988094405267E+22</v>
      </c>
      <c r="Z128" s="23">
        <f>-(Données!I$51*1E-24*H128+Données!F$51)*Y128+Données!F$48*Q128</f>
        <v>-12724555841272.92</v>
      </c>
      <c r="AA128" s="15">
        <f t="shared" si="47"/>
        <v>1.1726993263107752E+22</v>
      </c>
    </row>
    <row r="129" spans="1:27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3459355206463252.5</v>
      </c>
      <c r="I129" s="40">
        <f t="shared" si="38"/>
        <v>2.2776467551892693E+19</v>
      </c>
      <c r="J129" s="21">
        <f>-(Données!I$44*1E-24*H129+Données!F$44)*I129+(Données!H$49*1E-24*H129*S129)*0.71+Données!H$50*1E-24*H129*W129</f>
        <v>-20325094040.600426</v>
      </c>
      <c r="K129" s="42">
        <f t="shared" si="39"/>
        <v>1.6149192799037201E+21</v>
      </c>
      <c r="L129" s="23">
        <f>-(Données!I$45*1E-24*H129+Données!F$45)*K129+(I129*Données!H$44*1E-24*H129)+(Données!H$51*1E-24*H129)*Y129</f>
        <v>-1670942672279.6348</v>
      </c>
      <c r="M129" s="40">
        <f t="shared" si="40"/>
        <v>8.8808890664460222E+20</v>
      </c>
      <c r="N129" s="21">
        <f>-(Données!I$46*1E-24*H129+Données!F$46)*M129+Données!H$45*1E-24*H129*K129</f>
        <v>-102378306644.81543</v>
      </c>
      <c r="O129" s="42">
        <f t="shared" si="41"/>
        <v>1.2106898456150879E+20</v>
      </c>
      <c r="P129" s="23">
        <f>-(Données!I$47*1E-24*H129+Données!F$47)*O129+(Données!H$46*1E-24*H129)*M129</f>
        <v>7451655078.5969238</v>
      </c>
      <c r="Q129" s="40">
        <f t="shared" si="42"/>
        <v>6.9229754284328485E+19</v>
      </c>
      <c r="R129" s="43">
        <f>-(Données!I$48*1E-24*H129+Données!F$48)*Q129+Données!H$47*1E-24*H129*O129+(Données!H$49*1E-24*H129*S129)*0.85*0.16</f>
        <v>30827685996.391994</v>
      </c>
      <c r="S129" s="42">
        <f t="shared" si="43"/>
        <v>2.7286867571354771E+19</v>
      </c>
      <c r="T129" s="22">
        <f>-(Données!I$49*1E-24*H129+Données!F$49)*S129+Données!F$47*O129</f>
        <v>-3816701745.7146606</v>
      </c>
      <c r="U129" s="28">
        <f t="shared" si="44"/>
        <v>2.7433702605174064E+21</v>
      </c>
      <c r="V129" s="19"/>
      <c r="W129" s="40">
        <f t="shared" si="45"/>
        <v>5.8804753008608471E+18</v>
      </c>
      <c r="X129" s="21">
        <f>-(Données!I$50*1E-24*H129+Données!F$50)*W129+Données!F$45*K129</f>
        <v>-46436152475.421967</v>
      </c>
      <c r="Y129" s="42">
        <f t="shared" si="46"/>
        <v>1.1687547961654402E+22</v>
      </c>
      <c r="Z129" s="23">
        <f>-(Données!I$51*1E-24*H129+Données!F$51)*Y129+Données!F$48*Q129</f>
        <v>-12688252500238.551</v>
      </c>
      <c r="AA129" s="15">
        <f t="shared" si="47"/>
        <v>1.1693428436955262E+22</v>
      </c>
    </row>
    <row r="130" spans="1:27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3459355206463252.5</v>
      </c>
      <c r="I130" s="40">
        <f t="shared" si="38"/>
        <v>2.2723053204753994E+19</v>
      </c>
      <c r="J130" s="21">
        <f>-(Données!I$44*1E-24*H130+Données!F$44)*I130+(Données!H$49*1E-24*H130*S130)*0.71+Données!H$50*1E-24*H130*W130</f>
        <v>-20247203788.677406</v>
      </c>
      <c r="K130" s="42">
        <f t="shared" si="39"/>
        <v>1.6105280425609692E+21</v>
      </c>
      <c r="L130" s="23">
        <f>-(Données!I$45*1E-24*H130+Données!F$45)*K130+(I130*Données!H$44*1E-24*H130)+(Données!H$51*1E-24*H130)*Y130</f>
        <v>-1667814315027.3926</v>
      </c>
      <c r="M130" s="40">
        <f t="shared" si="40"/>
        <v>8.8781985645473969E+20</v>
      </c>
      <c r="N130" s="21">
        <f>-(Données!I$46*1E-24*H130+Données!F$46)*M130+Données!H$45*1E-24*H130*K130</f>
        <v>-108557216999.5498</v>
      </c>
      <c r="O130" s="42">
        <f t="shared" si="41"/>
        <v>1.2108856751105535E+20</v>
      </c>
      <c r="P130" s="23">
        <f>-(Données!I$47*1E-24*H130+Données!F$47)*O130+(Données!H$46*1E-24*H130)*M130</f>
        <v>6801085289.8032227</v>
      </c>
      <c r="Q130" s="40">
        <f t="shared" si="42"/>
        <v>6.9310769443127001E+19</v>
      </c>
      <c r="R130" s="43">
        <f>-(Données!I$48*1E-24*H130+Données!F$48)*Q130+Données!H$47*1E-24*H130*O130+(Données!H$49*1E-24*H130*S130)*0.85*0.16</f>
        <v>30640528217.072872</v>
      </c>
      <c r="S130" s="42">
        <f t="shared" si="43"/>
        <v>2.7276837279167033E+19</v>
      </c>
      <c r="T130" s="22">
        <f>-(Données!I$49*1E-24*H130+Données!F$49)*S130+Données!F$47*O130</f>
        <v>-3716967996.0412292</v>
      </c>
      <c r="U130" s="28">
        <f t="shared" si="44"/>
        <v>2.7387471264538123E+21</v>
      </c>
      <c r="V130" s="19"/>
      <c r="W130" s="40">
        <f t="shared" si="45"/>
        <v>5.7584410921554381E+18</v>
      </c>
      <c r="X130" s="21">
        <f>-(Données!I$50*1E-24*H130+Données!F$50)*W130+Données!F$45*K130</f>
        <v>-45445940096.893211</v>
      </c>
      <c r="Y130" s="42">
        <f t="shared" si="46"/>
        <v>1.1654203234083775E+22</v>
      </c>
      <c r="Z130" s="23">
        <f>-(Données!I$51*1E-24*H130+Données!F$51)*Y130+Données!F$48*Q130</f>
        <v>-12652052733173.9</v>
      </c>
      <c r="AA130" s="15">
        <f t="shared" si="47"/>
        <v>1.1659961675175929E+22</v>
      </c>
    </row>
    <row r="131" spans="1:27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3459355206463252.5</v>
      </c>
      <c r="I131" s="40">
        <f t="shared" si="38"/>
        <v>2.2669843553197351E+19</v>
      </c>
      <c r="J131" s="21">
        <f>-(Données!I$44*1E-24*H131+Données!F$44)*I131+(Données!H$49*1E-24*H131*S131)*0.71+Données!H$50*1E-24*H131*W131</f>
        <v>-20164860625.740711</v>
      </c>
      <c r="K131" s="42">
        <f t="shared" si="39"/>
        <v>1.6061450265410771E+21</v>
      </c>
      <c r="L131" s="23">
        <f>-(Données!I$45*1E-24*H131+Données!F$45)*K131+(I131*Données!H$44*1E-24*H131)+(Données!H$51*1E-24*H131)*Y131</f>
        <v>-1664661738452.0527</v>
      </c>
      <c r="M131" s="40">
        <f t="shared" si="40"/>
        <v>8.8753456808846492E+20</v>
      </c>
      <c r="N131" s="21">
        <f>-(Données!I$46*1E-24*H131+Données!F$46)*M131+Données!H$45*1E-24*H131*K131</f>
        <v>-114674178532.90088</v>
      </c>
      <c r="O131" s="42">
        <f t="shared" si="41"/>
        <v>1.2110644076319695E+20</v>
      </c>
      <c r="P131" s="23">
        <f>-(Données!I$47*1E-24*H131+Données!F$47)*O131+(Données!H$46*1E-24*H131)*M131</f>
        <v>6144571807.3012695</v>
      </c>
      <c r="Q131" s="40">
        <f t="shared" si="42"/>
        <v>6.9391292751281471E+19</v>
      </c>
      <c r="R131" s="43">
        <f>-(Données!I$48*1E-24*H131+Données!F$48)*Q131+Données!H$47*1E-24*H131*O131+(Données!H$49*1E-24*H131*S131)*0.85*0.16</f>
        <v>30452193051.035542</v>
      </c>
      <c r="S131" s="42">
        <f t="shared" si="43"/>
        <v>2.7267069087273435E+19</v>
      </c>
      <c r="T131" s="22">
        <f>-(Données!I$49*1E-24*H131+Données!F$49)*S131+Données!F$47*O131</f>
        <v>-3621678492.7222595</v>
      </c>
      <c r="U131" s="28">
        <f t="shared" si="44"/>
        <v>2.7341142407844913E+21</v>
      </c>
      <c r="V131" s="19"/>
      <c r="W131" s="40">
        <f t="shared" si="45"/>
        <v>5.6390091615808031E+18</v>
      </c>
      <c r="X131" s="21">
        <f>-(Données!I$50*1E-24*H131+Données!F$50)*W131+Données!F$45*K131</f>
        <v>-44476921045.105896</v>
      </c>
      <c r="Y131" s="42">
        <f t="shared" si="46"/>
        <v>1.1620953639500995E+22</v>
      </c>
      <c r="Z131" s="23">
        <f>-(Données!I$51*1E-24*H131+Données!F$51)*Y131+Données!F$48*Q131</f>
        <v>-12615956244581.16</v>
      </c>
      <c r="AA131" s="15">
        <f t="shared" si="47"/>
        <v>1.1626592648662576E+22</v>
      </c>
    </row>
    <row r="132" spans="1:27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3459355206463252.5</v>
      </c>
      <c r="I132" s="40">
        <f t="shared" si="38"/>
        <v>2.2616850299472904E+19</v>
      </c>
      <c r="J132" s="21">
        <f>-(Données!I$44*1E-24*H132+Données!F$44)*I132+(Données!H$49*1E-24*H132*S132)*0.71+Données!H$50*1E-24*H132*W132</f>
        <v>-20078286857.707069</v>
      </c>
      <c r="K132" s="42">
        <f t="shared" si="39"/>
        <v>1.601770295492425E+21</v>
      </c>
      <c r="L132" s="23">
        <f>-(Données!I$45*1E-24*H132+Données!F$45)*K132+(I132*Données!H$44*1E-24*H132)+(Données!H$51*1E-24*H132)*Y132</f>
        <v>-1661485658903.8047</v>
      </c>
      <c r="M132" s="40">
        <f t="shared" si="40"/>
        <v>8.8723320434728042E+20</v>
      </c>
      <c r="N132" s="21">
        <f>-(Données!I$46*1E-24*H132+Données!F$46)*M132+Données!H$45*1E-24*H132*K132</f>
        <v>-120729579860.87695</v>
      </c>
      <c r="O132" s="42">
        <f t="shared" si="41"/>
        <v>1.2112258869790653E+20</v>
      </c>
      <c r="P132" s="23">
        <f>-(Données!I$47*1E-24*H132+Données!F$47)*O132+(Données!H$46*1E-24*H132)*M132</f>
        <v>5482551736.6914062</v>
      </c>
      <c r="Q132" s="40">
        <f t="shared" si="42"/>
        <v>6.9471321114619593E+19</v>
      </c>
      <c r="R132" s="43">
        <f>-(Données!I$48*1E-24*H132+Données!F$48)*Q132+Données!H$47*1E-24*H132*O132+(Données!H$49*1E-24*H132*S132)*0.85*0.16</f>
        <v>30262654926.151169</v>
      </c>
      <c r="S132" s="42">
        <f t="shared" si="43"/>
        <v>2.7257551316194562E+19</v>
      </c>
      <c r="T132" s="22">
        <f>-(Données!I$49*1E-24*H132+Données!F$49)*S132+Données!F$47*O132</f>
        <v>-3530776057.7411499</v>
      </c>
      <c r="U132" s="28">
        <f t="shared" si="44"/>
        <v>2.7294718112678989E+21</v>
      </c>
      <c r="V132" s="19"/>
      <c r="W132" s="40">
        <f t="shared" si="45"/>
        <v>5.5221238130742651E+18</v>
      </c>
      <c r="X132" s="21">
        <f>-(Données!I$50*1E-24*H132+Données!F$50)*W132+Données!F$45*K132</f>
        <v>-43528641504.893402</v>
      </c>
      <c r="Y132" s="42">
        <f t="shared" si="46"/>
        <v>1.1587798906490235E+22</v>
      </c>
      <c r="Z132" s="23">
        <f>-(Données!I$51*1E-24*H132+Données!F$51)*Y132+Données!F$48*Q132</f>
        <v>-12579962739805.58</v>
      </c>
      <c r="AA132" s="15">
        <f t="shared" si="47"/>
        <v>1.1593321030303309E+22</v>
      </c>
    </row>
    <row r="133" spans="1:27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3459355206463252.5</v>
      </c>
      <c r="I133" s="40">
        <f t="shared" si="38"/>
        <v>2.256408456161085E+19</v>
      </c>
      <c r="J133" s="21">
        <f>-(Données!I$44*1E-24*H133+Données!F$44)*I133+(Données!H$49*1E-24*H133*S133)*0.71+Données!H$50*1E-24*H133*W133</f>
        <v>-19987698333.042164</v>
      </c>
      <c r="K133" s="42">
        <f t="shared" si="39"/>
        <v>1.5974039111808259E+21</v>
      </c>
      <c r="L133" s="23">
        <f>-(Données!I$45*1E-24*H133+Données!F$45)*K133+(I133*Données!H$44*1E-24*H133)+(Données!H$51*1E-24*H133)*Y133</f>
        <v>-1658286778586.8594</v>
      </c>
      <c r="M133" s="40">
        <f t="shared" si="40"/>
        <v>8.8691592701140599E+20</v>
      </c>
      <c r="N133" s="21">
        <f>-(Données!I$46*1E-24*H133+Données!F$46)*M133+Données!H$45*1E-24*H133*K133</f>
        <v>-126723809522.25098</v>
      </c>
      <c r="O133" s="42">
        <f t="shared" si="41"/>
        <v>1.2113699684387055E+20</v>
      </c>
      <c r="P133" s="23">
        <f>-(Données!I$47*1E-24*H133+Données!F$47)*O133+(Données!H$46*1E-24*H133)*M133</f>
        <v>4815447333.7644043</v>
      </c>
      <c r="Q133" s="40">
        <f t="shared" si="42"/>
        <v>6.9550851371765514E+19</v>
      </c>
      <c r="R133" s="43">
        <f>-(Données!I$48*1E-24*H133+Données!F$48)*Q133+Données!H$47*1E-24*H133*O133+(Données!H$49*1E-24*H133*S133)*0.85*0.16</f>
        <v>30071890349.927155</v>
      </c>
      <c r="S133" s="42">
        <f t="shared" si="43"/>
        <v>2.724827243671482E+19</v>
      </c>
      <c r="T133" s="22">
        <f>-(Données!I$49*1E-24*H133+Données!F$49)*S133+Données!F$47*O133</f>
        <v>-3444202794.5298157</v>
      </c>
      <c r="U133" s="28">
        <f t="shared" si="44"/>
        <v>2.724820043406194E+21</v>
      </c>
      <c r="V133" s="19"/>
      <c r="W133" s="40">
        <f t="shared" si="45"/>
        <v>5.4077305431994051E+18</v>
      </c>
      <c r="X133" s="21">
        <f>-(Données!I$50*1E-24*H133+Données!F$50)*W133+Données!F$45*K133</f>
        <v>-42600657379.15966</v>
      </c>
      <c r="Y133" s="42">
        <f t="shared" si="46"/>
        <v>1.1554738764410027E+22</v>
      </c>
      <c r="Z133" s="23">
        <f>-(Données!I$51*1E-24*H133+Données!F$51)*Y133+Données!F$48*Q133</f>
        <v>-12544071925033.076</v>
      </c>
      <c r="AA133" s="15">
        <f t="shared" si="47"/>
        <v>1.1560146494953225E+22</v>
      </c>
    </row>
    <row r="134" spans="1:27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3459355206463252.5</v>
      </c>
      <c r="I134" s="40">
        <f t="shared" si="38"/>
        <v>2.2511556890391618E+19</v>
      </c>
      <c r="J134" s="21">
        <f>-(Données!I$44*1E-24*H134+Données!F$44)*I134+(Données!H$49*1E-24*H134*S134)*0.71+Données!H$50*1E-24*H134*W134</f>
        <v>-19893304588.065491</v>
      </c>
      <c r="K134" s="42">
        <f t="shared" si="39"/>
        <v>1.5930459335266997E+21</v>
      </c>
      <c r="L134" s="23">
        <f>-(Données!I$45*1E-24*H134+Données!F$45)*K134+(I134*Données!H$44*1E-24*H134)+(Données!H$51*1E-24*H134)*Y134</f>
        <v>-1655065785817.4883</v>
      </c>
      <c r="M134" s="40">
        <f t="shared" si="40"/>
        <v>8.8658289683998153E+20</v>
      </c>
      <c r="N134" s="21">
        <f>-(Données!I$46*1E-24*H134+Données!F$46)*M134+Données!H$45*1E-24*H134*K134</f>
        <v>-132657255920.00879</v>
      </c>
      <c r="O134" s="42">
        <f t="shared" si="41"/>
        <v>1.2114965183946369E+20</v>
      </c>
      <c r="P134" s="23">
        <f>-(Données!I$47*1E-24*H134+Données!F$47)*O134+(Données!H$46*1E-24*H134)*M134</f>
        <v>4143666454.5195312</v>
      </c>
      <c r="Q134" s="40">
        <f t="shared" si="42"/>
        <v>6.9629880299605123E+19</v>
      </c>
      <c r="R134" s="43">
        <f>-(Données!I$48*1E-24*H134+Données!F$48)*Q134+Données!H$47*1E-24*H134*O134+(Données!H$49*1E-24*H134*S134)*0.85*0.16</f>
        <v>29879877836.184029</v>
      </c>
      <c r="S134" s="42">
        <f t="shared" si="43"/>
        <v>2.7239221071770796E+19</v>
      </c>
      <c r="T134" s="22">
        <f>-(Données!I$49*1E-24*H134+Données!F$49)*S134+Données!F$47*O134</f>
        <v>-3361900160.9663696</v>
      </c>
      <c r="U134" s="28">
        <f t="shared" si="44"/>
        <v>2.7201591404679125E+21</v>
      </c>
      <c r="V134" s="19"/>
      <c r="W134" s="40">
        <f t="shared" si="45"/>
        <v>5.2957760156069734E+18</v>
      </c>
      <c r="X134" s="21">
        <f>-(Données!I$50*1E-24*H134+Données!F$50)*W134+Données!F$45*K134</f>
        <v>-41692534080.777763</v>
      </c>
      <c r="Y134" s="42">
        <f t="shared" si="46"/>
        <v>1.1521772943391039E+22</v>
      </c>
      <c r="Z134" s="23">
        <f>-(Données!I$51*1E-24*H134+Données!F$51)*Y134+Données!F$48*Q134</f>
        <v>-12508283507287.811</v>
      </c>
      <c r="AA134" s="15">
        <f t="shared" si="47"/>
        <v>1.1527068719406645E+22</v>
      </c>
    </row>
    <row r="135" spans="1:27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3459355206463252.5</v>
      </c>
      <c r="I135" s="40">
        <f t="shared" si="38"/>
        <v>2.2459277285934182E+19</v>
      </c>
      <c r="J135" s="21">
        <f>-(Données!I$44*1E-24*H135+Données!F$44)*I135+(Données!H$49*1E-24*H135*S135)*0.71+Données!H$50*1E-24*H135*W135</f>
        <v>-19795308989.65543</v>
      </c>
      <c r="K135" s="42">
        <f t="shared" si="39"/>
        <v>1.5886964206415713E+21</v>
      </c>
      <c r="L135" s="23">
        <f>-(Données!I$45*1E-24*H135+Données!F$45)*K135+(I135*Données!H$44*1E-24*H135)+(Données!H$51*1E-24*H135)*Y135</f>
        <v>-1651823355277.418</v>
      </c>
      <c r="M135" s="40">
        <f t="shared" si="40"/>
        <v>8.8623427357142378E+20</v>
      </c>
      <c r="N135" s="21">
        <f>-(Données!I$46*1E-24*H135+Données!F$46)*M135+Données!H$45*1E-24*H135*K135</f>
        <v>-138530307264.3335</v>
      </c>
      <c r="O135" s="42">
        <f t="shared" si="41"/>
        <v>1.2116054139490617E+20</v>
      </c>
      <c r="P135" s="23">
        <f>-(Données!I$47*1E-24*H135+Données!F$47)*O135+(Données!H$46*1E-24*H135)*M135</f>
        <v>3467602991.7973633</v>
      </c>
      <c r="Q135" s="40">
        <f t="shared" si="42"/>
        <v>6.9708404618558611E+19</v>
      </c>
      <c r="R135" s="43">
        <f>-(Données!I$48*1E-24*H135+Données!F$48)*Q135+Données!H$47*1E-24*H135*O135+(Données!H$49*1E-24*H135*S135)*0.85*0.16</f>
        <v>29686597833.917095</v>
      </c>
      <c r="S135" s="42">
        <f t="shared" si="43"/>
        <v>2.7230385998147777E+19</v>
      </c>
      <c r="T135" s="22">
        <f>-(Données!I$49*1E-24*H135+Données!F$49)*S135+Données!F$47*O135</f>
        <v>-3283809039.2259827</v>
      </c>
      <c r="U135" s="28">
        <f t="shared" si="44"/>
        <v>2.7154893035105419E+21</v>
      </c>
      <c r="V135" s="19"/>
      <c r="W135" s="40">
        <f t="shared" si="45"/>
        <v>5.1862080360426895E+18</v>
      </c>
      <c r="X135" s="21">
        <f>-(Données!I$50*1E-24*H135+Données!F$50)*W135+Données!F$45*K135</f>
        <v>-40803846328.944664</v>
      </c>
      <c r="Y135" s="42">
        <f t="shared" si="46"/>
        <v>1.1488901174333886E+22</v>
      </c>
      <c r="Z135" s="23">
        <f>-(Données!I$51*1E-24*H135+Données!F$51)*Y135+Données!F$48*Q135</f>
        <v>-12472597194429.828</v>
      </c>
      <c r="AA135" s="15">
        <f t="shared" si="47"/>
        <v>1.149408738236993E+22</v>
      </c>
    </row>
    <row r="136" spans="1:27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3459355206463252.5</v>
      </c>
      <c r="I136" s="40">
        <f t="shared" si="38"/>
        <v>2.2407255213909369E+19</v>
      </c>
      <c r="J136" s="21">
        <f>-(Données!I$44*1E-24*H136+Données!F$44)*I136+(Données!H$49*1E-24*H136*S136)*0.71+Données!H$50*1E-24*H136*W136</f>
        <v>-19693908875.384701</v>
      </c>
      <c r="K136" s="42">
        <f t="shared" si="39"/>
        <v>1.5843554288639022E+21</v>
      </c>
      <c r="L136" s="23">
        <f>-(Données!I$45*1E-24*H136+Données!F$45)*K136+(I136*Données!H$44*1E-24*H136)+(Données!H$51*1E-24*H136)*Y136</f>
        <v>-1648560148262.8457</v>
      </c>
      <c r="M136" s="40">
        <f t="shared" si="40"/>
        <v>8.8587021592393312E+20</v>
      </c>
      <c r="N136" s="21">
        <f>-(Données!I$46*1E-24*H136+Données!F$46)*M136+Données!H$45*1E-24*H136*K136</f>
        <v>-144343351517.11133</v>
      </c>
      <c r="O136" s="42">
        <f t="shared" si="41"/>
        <v>1.2116965425556862E+20</v>
      </c>
      <c r="P136" s="23">
        <f>-(Données!I$47*1E-24*H136+Données!F$47)*O136+(Données!H$46*1E-24*H136)*M136</f>
        <v>2787637298.9282227</v>
      </c>
      <c r="Q136" s="40">
        <f t="shared" si="42"/>
        <v>6.9786420997666144E+19</v>
      </c>
      <c r="R136" s="43">
        <f>-(Données!I$48*1E-24*H136+Données!F$48)*Q136+Données!H$47*1E-24*H136*O136+(Données!H$49*1E-24*H136*S136)*0.85*0.16</f>
        <v>29492032658.280098</v>
      </c>
      <c r="S136" s="42">
        <f t="shared" si="43"/>
        <v>2.7221756147992691E+19</v>
      </c>
      <c r="T136" s="22">
        <f>-(Données!I$49*1E-24*H136+Données!F$49)*S136+Données!F$47*O136</f>
        <v>-3209869802.5954285</v>
      </c>
      <c r="U136" s="28">
        <f t="shared" si="44"/>
        <v>2.7108107314029721E+21</v>
      </c>
      <c r="V136" s="19"/>
      <c r="W136" s="40">
        <f t="shared" si="45"/>
        <v>5.0789755278902231E+18</v>
      </c>
      <c r="X136" s="21">
        <f>-(Données!I$50*1E-24*H136+Données!F$50)*W136+Données!F$45*K136</f>
        <v>-39934177949.896538</v>
      </c>
      <c r="Y136" s="42">
        <f t="shared" si="46"/>
        <v>1.1456123188906924E+22</v>
      </c>
      <c r="Z136" s="23">
        <f>-(Données!I$51*1E-24*H136+Données!F$51)*Y136+Données!F$48*Q136</f>
        <v>-12437012695152.645</v>
      </c>
      <c r="AA136" s="15">
        <f t="shared" si="47"/>
        <v>1.1461202164434814E+22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AL146"/>
  <sheetViews>
    <sheetView topLeftCell="C1" zoomScale="90" zoomScaleNormal="90" workbookViewId="0">
      <selection activeCell="K3" sqref="K3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7.875" style="2" customWidth="1"/>
    <col min="4" max="4" width="18" style="2" bestFit="1" customWidth="1"/>
    <col min="5" max="5" width="11.375" style="19" bestFit="1" customWidth="1"/>
    <col min="6" max="6" width="18" style="19" bestFit="1" customWidth="1"/>
    <col min="7" max="8" width="9.375" style="110" customWidth="1"/>
    <col min="9" max="9" width="9.125" style="110" bestFit="1" customWidth="1"/>
    <col min="10" max="10" width="8.125" style="110" bestFit="1" customWidth="1"/>
    <col min="11" max="11" width="8.5" style="110" customWidth="1"/>
    <col min="12" max="12" width="8.125" style="110" bestFit="1" customWidth="1"/>
    <col min="13" max="13" width="12.25" style="110" bestFit="1" customWidth="1"/>
    <col min="14" max="16" width="12.25" style="110" customWidth="1"/>
    <col min="17" max="17" width="13.375" style="110" bestFit="1" customWidth="1"/>
    <col min="18" max="18" width="7.5" style="110" customWidth="1"/>
    <col min="19" max="19" width="6.375" style="19" customWidth="1"/>
    <col min="20" max="20" width="4.375" style="2" bestFit="1" customWidth="1"/>
    <col min="21" max="21" width="5.25" style="2" customWidth="1"/>
    <col min="22" max="22" width="11.375" style="2" bestFit="1" customWidth="1"/>
    <col min="23" max="26" width="7.75" style="118" bestFit="1" customWidth="1"/>
    <col min="27" max="27" width="10.5" style="118" bestFit="1" customWidth="1"/>
    <col min="28" max="28" width="7.75" style="118" customWidth="1"/>
    <col min="29" max="31" width="10.875" style="1" bestFit="1" customWidth="1"/>
    <col min="32" max="32" width="10.5" style="1" bestFit="1" customWidth="1"/>
    <col min="33" max="34" width="10.875" style="1" bestFit="1" customWidth="1"/>
    <col min="35" max="36" width="9.625" style="2" bestFit="1" customWidth="1"/>
    <col min="37" max="16384" width="15.5" style="2"/>
  </cols>
  <sheetData>
    <row r="1" spans="1:38" s="31" customFormat="1" ht="28.5" customHeight="1" thickBot="1">
      <c r="A1" s="109" t="s">
        <v>149</v>
      </c>
      <c r="B1" s="5" t="s">
        <v>81</v>
      </c>
      <c r="C1" s="2"/>
      <c r="D1" s="29"/>
      <c r="E1" s="109" t="s">
        <v>148</v>
      </c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08"/>
      <c r="R1" s="110"/>
      <c r="S1" s="108"/>
      <c r="T1" s="105" t="s">
        <v>23</v>
      </c>
      <c r="U1" s="30" t="s">
        <v>24</v>
      </c>
      <c r="V1" s="34" t="s">
        <v>25</v>
      </c>
      <c r="W1" s="116">
        <v>1</v>
      </c>
      <c r="X1" s="116">
        <v>2</v>
      </c>
      <c r="Y1" s="116">
        <v>3</v>
      </c>
      <c r="Z1" s="116">
        <v>4</v>
      </c>
      <c r="AA1" s="116">
        <v>5</v>
      </c>
      <c r="AB1" s="116"/>
      <c r="AC1" s="32" t="s">
        <v>227</v>
      </c>
      <c r="AD1" s="32" t="s">
        <v>228</v>
      </c>
      <c r="AE1" s="36" t="s">
        <v>229</v>
      </c>
      <c r="AF1" s="32" t="s">
        <v>230</v>
      </c>
      <c r="AG1" s="32" t="s">
        <v>231</v>
      </c>
      <c r="AH1" s="32" t="s">
        <v>232</v>
      </c>
      <c r="AI1" s="32" t="s">
        <v>233</v>
      </c>
      <c r="AJ1" s="32" t="s">
        <v>234</v>
      </c>
    </row>
    <row r="2" spans="1:38" ht="15.75" thickBot="1">
      <c r="A2" s="101" t="s">
        <v>7</v>
      </c>
      <c r="B2" s="73">
        <f>Données!F10</f>
        <v>1.2032336397210882E+19</v>
      </c>
      <c r="D2" s="16"/>
      <c r="F2" s="111">
        <f>-(Données!I$44*1E-24*B$12+Données!F$44)</f>
        <v>-6.3293664152644189E-9</v>
      </c>
      <c r="G2" s="112">
        <v>0</v>
      </c>
      <c r="H2" s="112">
        <v>0</v>
      </c>
      <c r="I2" s="112">
        <v>0</v>
      </c>
      <c r="J2" s="112">
        <v>0</v>
      </c>
      <c r="K2" s="136">
        <f>Données!H$49*1E-24*B$12*0.71</f>
        <v>4.1523539975532097E-9</v>
      </c>
      <c r="L2" s="112">
        <f>(Données!H$50*1E-24*B$12)</f>
        <v>1.7908044097298317E-9</v>
      </c>
      <c r="M2" s="112">
        <v>0</v>
      </c>
      <c r="N2" s="115"/>
      <c r="O2" s="115"/>
      <c r="P2" s="115"/>
      <c r="T2" s="106">
        <v>0</v>
      </c>
      <c r="U2" s="26">
        <f t="shared" ref="U2:U65" si="0">V2/(3600*365*24)</f>
        <v>0</v>
      </c>
      <c r="V2" s="17">
        <f t="shared" ref="V2:V65" si="1">T2*D$5</f>
        <v>0</v>
      </c>
      <c r="W2" s="117">
        <f>POWER($V2-$V$2,W$1)/FACT(W$1)</f>
        <v>0</v>
      </c>
      <c r="X2" s="117">
        <f t="shared" ref="X2:AA2" si="2">POWER($V2-$V$2,X$1)/FACT(X$1)</f>
        <v>0</v>
      </c>
      <c r="Y2" s="117">
        <f t="shared" si="2"/>
        <v>0</v>
      </c>
      <c r="Z2" s="117">
        <f t="shared" si="2"/>
        <v>0</v>
      </c>
      <c r="AA2" s="117">
        <f t="shared" si="2"/>
        <v>0</v>
      </c>
      <c r="AB2" s="117"/>
      <c r="AC2" s="42">
        <f t="array" ref="AC2:AJ2">TRANSPOSE(B2:B9)</f>
        <v>1.2032336397210882E+19</v>
      </c>
      <c r="AD2" s="42">
        <v>2.1782E+21</v>
      </c>
      <c r="AE2" s="42">
        <v>7.2346005790387942E+20</v>
      </c>
      <c r="AF2" s="42">
        <v>1.5072084539664158E+20</v>
      </c>
      <c r="AG2" s="42">
        <v>5.1070699679853748E+19</v>
      </c>
      <c r="AH2" s="42">
        <v>3.2520680334545068E+19</v>
      </c>
      <c r="AI2" s="42">
        <v>8.8937324162937733E+19</v>
      </c>
      <c r="AJ2" s="42">
        <v>1.6799927091276064E+22</v>
      </c>
    </row>
    <row r="3" spans="1:38" ht="15.75" thickBot="1">
      <c r="A3" s="101" t="s">
        <v>9</v>
      </c>
      <c r="B3" s="73">
        <f>Données!F11</f>
        <v>2.1782E+21</v>
      </c>
      <c r="F3" s="111">
        <f>Données!H$44*1E-24*B$12</f>
        <v>1.7286052031176226E-9</v>
      </c>
      <c r="G3" s="111">
        <f>-(Données!I$45*1E-24*B$12+Données!F$45)</f>
        <v>-7.6746263231083104E-9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1">
        <f>(Données!H$51*1E-24*B$12)</f>
        <v>9.1410001975584975E-10</v>
      </c>
      <c r="T3" s="107">
        <v>1</v>
      </c>
      <c r="U3" s="27">
        <f t="shared" si="0"/>
        <v>8.3333333333333329E-2</v>
      </c>
      <c r="V3" s="18">
        <f t="shared" si="1"/>
        <v>2628000</v>
      </c>
      <c r="W3" s="117">
        <f>POWER($V3-$V2,W$1)/FACT(W$1)</f>
        <v>2628000</v>
      </c>
      <c r="X3" s="117">
        <f>POWER($V3-$V2,X$1)/FACT(X$1)</f>
        <v>3453192000000</v>
      </c>
      <c r="Y3" s="117">
        <f>POWER($V3-$V2,Y$1)/FACT(Y$1)</f>
        <v>3.024996192E+18</v>
      </c>
      <c r="Z3" s="117">
        <f>POWER($V3-$V2,Z$1)/FACT(Z$1)</f>
        <v>1.9874224981439998E+24</v>
      </c>
      <c r="AA3" s="117">
        <f>POWER($V3-$V2,AA$1)/FACT(AA$1)</f>
        <v>1.0445892650244864E+30</v>
      </c>
      <c r="AB3" s="117"/>
      <c r="AC3" s="119">
        <f t="array" ref="AC3:AJ3">AC2:AJ2+TRANSPOSE(F$12:F$19)*W3+TRANSPOSE(F$22:F$29)*X3+TRANSPOSE(F$32:F$39)*Y3+TRANSPOSE(F$42:F$49)*Z3+TRANSPOSE(F$52:F$59)*AA3</f>
        <v>1.2596543937684191E+19</v>
      </c>
      <c r="AD3" s="42">
        <v>2.1746598337089951E+21</v>
      </c>
      <c r="AE3" s="42">
        <v>7.2682807612617982E+20</v>
      </c>
      <c r="AF3" s="42">
        <v>1.4918954580360685E+20</v>
      </c>
      <c r="AG3" s="42">
        <v>5.1403038210650227E+19</v>
      </c>
      <c r="AH3" s="42">
        <v>3.2531438086500602E+19</v>
      </c>
      <c r="AI3" s="42">
        <v>8.7058541148012282E+19</v>
      </c>
      <c r="AJ3" s="42">
        <v>1.675206497968709E+22</v>
      </c>
    </row>
    <row r="4" spans="1:38" ht="15.75" thickBot="1">
      <c r="A4" s="101" t="s">
        <v>10</v>
      </c>
      <c r="B4" s="73">
        <f>Données!F12</f>
        <v>7.2346005790387942E+20</v>
      </c>
      <c r="D4" s="3" t="s">
        <v>39</v>
      </c>
      <c r="E4" s="109"/>
      <c r="F4" s="112">
        <v>0</v>
      </c>
      <c r="G4" s="111">
        <f>Données!H$45*1E-24*B$12</f>
        <v>1.591476362733419E-9</v>
      </c>
      <c r="H4" s="111">
        <f>-(Données!I$46*1E-24*B$12+Données!F$46)</f>
        <v>-3.0092529569266895E-9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5"/>
      <c r="O4" s="115"/>
      <c r="P4" s="115"/>
      <c r="S4" s="109"/>
      <c r="T4" s="107">
        <v>2</v>
      </c>
      <c r="U4" s="27">
        <f t="shared" si="0"/>
        <v>0.16666666666666666</v>
      </c>
      <c r="V4" s="18">
        <f t="shared" si="1"/>
        <v>5256000</v>
      </c>
      <c r="W4" s="117">
        <f>POWER($V4-$V2,W$1)/FACT(W$1)</f>
        <v>5256000</v>
      </c>
      <c r="X4" s="117">
        <f>POWER($V4-$V2,X$1)/FACT(X$1)</f>
        <v>13812768000000</v>
      </c>
      <c r="Y4" s="117">
        <f>POWER($V4-$V2,Y$1)/FACT(Y$1)</f>
        <v>2.4199969536E+19</v>
      </c>
      <c r="Z4" s="117">
        <f>POWER($V4-$V2,Z$1)/FACT(Z$1)</f>
        <v>3.1798759970303997E+25</v>
      </c>
      <c r="AA4" s="117">
        <f>POWER($V4-$V2,AA$1)/FACT(AA$1)</f>
        <v>3.3426856480783565E+31</v>
      </c>
      <c r="AB4" s="117"/>
      <c r="AC4" s="119">
        <f t="array" ref="AC4:AJ4">AC2:AJ2+TRANSPOSE(F$12:F$19)*W4+TRANSPOSE(F$22:F$29)*X4+TRANSPOSE(F$32:F$39)*Y4+TRANSPOSE(F$42:F$49)*Z4+TRANSPOSE(F$52:F$59)*AA4</f>
        <v>1.314285138892204E+19</v>
      </c>
      <c r="AD4" s="42">
        <v>2.1710791878641288E+21</v>
      </c>
      <c r="AE4" s="42">
        <v>7.3015473124125757E+20</v>
      </c>
      <c r="AF4" s="42">
        <v>1.4771760759109075E+20</v>
      </c>
      <c r="AG4" s="42">
        <v>5.1727025642489274E+19</v>
      </c>
      <c r="AH4" s="42">
        <v>3.2536002229100179E+19</v>
      </c>
      <c r="AI4" s="42">
        <v>8.5219547583508103E+19</v>
      </c>
      <c r="AJ4" s="42">
        <v>1.6704339224817908E+22</v>
      </c>
    </row>
    <row r="5" spans="1:38" ht="15.75" thickBot="1">
      <c r="A5" s="101" t="s">
        <v>11</v>
      </c>
      <c r="B5" s="73">
        <f>Données!F13</f>
        <v>1.5072084539664158E+20</v>
      </c>
      <c r="D5" s="16">
        <f>3600*365*24/12</f>
        <v>2628000</v>
      </c>
      <c r="F5" s="112">
        <v>0</v>
      </c>
      <c r="G5" s="112">
        <v>0</v>
      </c>
      <c r="H5" s="111">
        <f>Données!H$46*1E-24*B$12</f>
        <v>1.5792994324066686E-9</v>
      </c>
      <c r="I5" s="111">
        <f>-(Données!I$47*1E-24*B$12+Données!F$47)</f>
        <v>-1.1523237401921893E-8</v>
      </c>
      <c r="J5" s="112">
        <v>0</v>
      </c>
      <c r="K5" s="112">
        <v>0</v>
      </c>
      <c r="L5" s="112">
        <v>0</v>
      </c>
      <c r="M5" s="112">
        <v>0</v>
      </c>
      <c r="N5" s="115"/>
      <c r="O5" s="115"/>
      <c r="P5" s="115"/>
      <c r="T5" s="107">
        <v>3</v>
      </c>
      <c r="U5" s="27">
        <f t="shared" si="0"/>
        <v>0.25</v>
      </c>
      <c r="V5" s="18">
        <f t="shared" si="1"/>
        <v>7884000</v>
      </c>
      <c r="W5" s="117">
        <f>POWER($V5-$V2,W$1)/FACT(W$1)</f>
        <v>7884000</v>
      </c>
      <c r="X5" s="117">
        <f>POWER($V5-$V2,X$1)/FACT(X$1)</f>
        <v>31078728000000</v>
      </c>
      <c r="Y5" s="117">
        <f>POWER($V5-$V2,Y$1)/FACT(Y$1)</f>
        <v>8.1674897184E+19</v>
      </c>
      <c r="Z5" s="117">
        <f>POWER($V5-$V2,Z$1)/FACT(Z$1)</f>
        <v>1.6098122234966398E+26</v>
      </c>
      <c r="AA5" s="117">
        <f>POWER($V5-$V2,AA$1)/FACT(AA$1)</f>
        <v>2.5383519140095018E+32</v>
      </c>
      <c r="AB5" s="117"/>
      <c r="AC5" s="119">
        <f t="array" ref="AC5:AJ5">AC2:AJ2+TRANSPOSE(F$12:F$19)*W5+TRANSPOSE(F$22:F$29)*X5+TRANSPOSE(F$32:F$39)*Y5+TRANSPOSE(F$42:F$49)*Z5+TRANSPOSE(F$52:F$59)*AA5</f>
        <v>1.3671672617136284E+19</v>
      </c>
      <c r="AD5" s="42">
        <v>2.1674591149753316E+21</v>
      </c>
      <c r="AE5" s="42">
        <v>7.3344018263798107E+20</v>
      </c>
      <c r="AF5" s="42">
        <v>1.4630309124551837E+20</v>
      </c>
      <c r="AG5" s="42">
        <v>5.2042943820107784E+19</v>
      </c>
      <c r="AH5" s="42">
        <v>3.2534718116800365E+19</v>
      </c>
      <c r="AI5" s="42">
        <v>8.3419500516275012E+19</v>
      </c>
      <c r="AJ5" s="42">
        <v>1.6656749438194034E+22</v>
      </c>
    </row>
    <row r="6" spans="1:38" ht="15.75" thickBot="1">
      <c r="A6" s="101" t="s">
        <v>13</v>
      </c>
      <c r="B6" s="73">
        <f>Données!F14</f>
        <v>5.1070699679853748E+19</v>
      </c>
      <c r="F6" s="112">
        <v>0</v>
      </c>
      <c r="G6" s="112">
        <v>0</v>
      </c>
      <c r="H6" s="112">
        <v>0</v>
      </c>
      <c r="I6" s="111">
        <f>Données!H$47*1E-24*B$12</f>
        <v>1.5549801653052321E-9</v>
      </c>
      <c r="J6" s="111">
        <f>-(Données!I$48*1E-24*B$12+Données!F$48)</f>
        <v>-2.5875525259194115E-9</v>
      </c>
      <c r="K6" s="111">
        <f>Données!H$49*1E-24*B$12*0.85*0.16</f>
        <v>7.9538048403836127E-10</v>
      </c>
      <c r="L6" s="112">
        <v>0</v>
      </c>
      <c r="M6" s="112">
        <v>0</v>
      </c>
      <c r="N6" s="115"/>
      <c r="O6" s="115"/>
      <c r="P6" s="115"/>
      <c r="T6" s="107">
        <v>4</v>
      </c>
      <c r="U6" s="27">
        <f t="shared" si="0"/>
        <v>0.33333333333333331</v>
      </c>
      <c r="V6" s="18">
        <f t="shared" si="1"/>
        <v>10512000</v>
      </c>
      <c r="W6" s="117">
        <f>POWER($V6-$V2,W$1)/FACT(W$1)</f>
        <v>10512000</v>
      </c>
      <c r="X6" s="117">
        <f>POWER($V6-$V2,X$1)/FACT(X$1)</f>
        <v>55251072000000</v>
      </c>
      <c r="Y6" s="117">
        <f>POWER($V6-$V2,Y$1)/FACT(Y$1)</f>
        <v>1.93599756288E+20</v>
      </c>
      <c r="Z6" s="117">
        <f>POWER($V6-$V2,Z$1)/FACT(Z$1)</f>
        <v>5.0878015952486396E+26</v>
      </c>
      <c r="AA6" s="117">
        <f>POWER($V6-$V2,AA$1)/FACT(AA$1)</f>
        <v>1.0696594073850741E+33</v>
      </c>
      <c r="AB6" s="117"/>
      <c r="AC6" s="119">
        <f t="array" ref="AC6:AJ6">AC2:AJ2+TRANSPOSE(F$12:F$19)*W6+TRANSPOSE(F$22:F$29)*X6+TRANSPOSE(F$32:F$39)*Y6+TRANSPOSE(F$42:F$49)*Z6+TRANSPOSE(F$52:F$59)*AA6</f>
        <v>1.418341442422512E+19</v>
      </c>
      <c r="AD6" s="42">
        <v>2.1638006474764777E+21</v>
      </c>
      <c r="AE6" s="42">
        <v>7.3668459278687352E+20</v>
      </c>
      <c r="AF6" s="42">
        <v>1.4494411564531561E+20</v>
      </c>
      <c r="AG6" s="42">
        <v>5.2351065622197903E+19</v>
      </c>
      <c r="AH6" s="42">
        <v>3.2527917260325671E+19</v>
      </c>
      <c r="AI6" s="42">
        <v>8.1657574833394631E+19</v>
      </c>
      <c r="AJ6" s="42">
        <v>1.6609295232447757E+22</v>
      </c>
    </row>
    <row r="7" spans="1:38" ht="15.75" thickBot="1">
      <c r="A7" s="101" t="s">
        <v>14</v>
      </c>
      <c r="B7" s="73">
        <f>Données!F15</f>
        <v>3.2520680334545068E+19</v>
      </c>
      <c r="D7" s="3" t="s">
        <v>166</v>
      </c>
      <c r="F7" s="112">
        <v>0</v>
      </c>
      <c r="G7" s="112">
        <v>0</v>
      </c>
      <c r="H7" s="112">
        <v>0</v>
      </c>
      <c r="I7" s="112">
        <f>Données!F$47</f>
        <v>1.5343492432592516E-9</v>
      </c>
      <c r="J7" s="112">
        <v>0</v>
      </c>
      <c r="K7" s="111">
        <f>-(Données!I$49*1E-24*B$12+Données!F$49)</f>
        <v>-6.9476207224624008E-9</v>
      </c>
      <c r="L7" s="112">
        <v>0</v>
      </c>
      <c r="M7" s="112">
        <v>0</v>
      </c>
      <c r="N7" s="115"/>
      <c r="O7" s="115"/>
      <c r="P7" s="115"/>
      <c r="S7" s="109"/>
      <c r="T7" s="107">
        <v>5</v>
      </c>
      <c r="U7" s="27">
        <f t="shared" si="0"/>
        <v>0.41666666666666669</v>
      </c>
      <c r="V7" s="18">
        <f t="shared" si="1"/>
        <v>13140000</v>
      </c>
      <c r="W7" s="117">
        <f>POWER($V7-$V2,W$1)/FACT(W$1)</f>
        <v>13140000</v>
      </c>
      <c r="X7" s="117">
        <f>POWER($V7-$V2,X$1)/FACT(X$1)</f>
        <v>86329800000000</v>
      </c>
      <c r="Y7" s="117">
        <f>POWER($V7-$V2,Y$1)/FACT(Y$1)</f>
        <v>3.7812452400000002E+20</v>
      </c>
      <c r="Z7" s="117">
        <f>POWER($V7-$V2,Z$1)/FACT(Z$1)</f>
        <v>1.2421390613399999E+27</v>
      </c>
      <c r="AA7" s="117">
        <f>POWER($V7-$V2,AA$1)/FACT(AA$1)</f>
        <v>3.2643414532015203E+33</v>
      </c>
      <c r="AB7" s="117"/>
      <c r="AC7" s="119">
        <f t="array" ref="AC7:AJ7">AC2:AJ2+TRANSPOSE(F$12:F$19)*W7+TRANSPOSE(F$22:F$29)*X7+TRANSPOSE(F$32:F$39)*Y7+TRANSPOSE(F$42:F$49)*Z7+TRANSPOSE(F$52:F$59)*AA7</f>
        <v>1.4678476591997563E+19</v>
      </c>
      <c r="AD7" s="42">
        <v>2.160104798116242E+21</v>
      </c>
      <c r="AE7" s="42">
        <v>7.3988812712671406E+20</v>
      </c>
      <c r="AF7" s="42">
        <v>1.4363885619323345E+20</v>
      </c>
      <c r="AG7" s="42">
        <v>5.2651655249050952E+19</v>
      </c>
      <c r="AH7" s="42">
        <v>3.2515917849021063E+19</v>
      </c>
      <c r="AI7" s="42">
        <v>7.9932962863074492E+19</v>
      </c>
      <c r="AJ7" s="42">
        <v>1.6561976221314947E+22</v>
      </c>
      <c r="AL7" s="19"/>
    </row>
    <row r="8" spans="1:38" ht="15.75" thickBot="1">
      <c r="A8" s="101" t="s">
        <v>15</v>
      </c>
      <c r="B8" s="73">
        <f>Données!F16</f>
        <v>8.8937324162937733E+19</v>
      </c>
      <c r="D8" s="16" t="s">
        <v>165</v>
      </c>
      <c r="F8" s="112">
        <v>0</v>
      </c>
      <c r="G8" s="111">
        <f>Données!F$45</f>
        <v>9.1163637120235491E-13</v>
      </c>
      <c r="H8" s="112">
        <v>0</v>
      </c>
      <c r="I8" s="112">
        <v>0</v>
      </c>
      <c r="J8" s="112">
        <v>0</v>
      </c>
      <c r="K8" s="112">
        <v>0</v>
      </c>
      <c r="L8" s="111">
        <f>-(Données!I$50*1E-24*B$12+Données!F$50)</f>
        <v>-8.1470236973063684E-9</v>
      </c>
      <c r="M8" s="112">
        <v>0</v>
      </c>
      <c r="N8" s="115"/>
      <c r="O8" s="115"/>
      <c r="P8" s="115"/>
      <c r="T8" s="107">
        <v>6</v>
      </c>
      <c r="U8" s="27">
        <f t="shared" si="0"/>
        <v>0.5</v>
      </c>
      <c r="V8" s="18">
        <f t="shared" si="1"/>
        <v>15768000</v>
      </c>
      <c r="W8" s="117">
        <f>POWER($V8-$V2,W$1)/FACT(W$1)</f>
        <v>15768000</v>
      </c>
      <c r="X8" s="117">
        <f>POWER($V8-$V2,X$1)/FACT(X$1)</f>
        <v>124314912000000</v>
      </c>
      <c r="Y8" s="117">
        <f>POWER($V8-$V2,Y$1)/FACT(Y$1)</f>
        <v>6.53399177472E+20</v>
      </c>
      <c r="Z8" s="117">
        <f>POWER($V8-$V2,Z$1)/FACT(Z$1)</f>
        <v>2.5756995575946237E+27</v>
      </c>
      <c r="AA8" s="117">
        <f>POWER($V8-$V2,AA$1)/FACT(AA$1)</f>
        <v>8.1227261248304059E+33</v>
      </c>
      <c r="AB8" s="117"/>
      <c r="AC8" s="119">
        <f t="array" ref="AC8:AJ8">AC2:AJ2+TRANSPOSE(F$12:F$19)*W8+TRANSPOSE(F$22:F$29)*X8+TRANSPOSE(F$32:F$39)*Y8+TRANSPOSE(F$42:F$49)*Z8+TRANSPOSE(F$52:F$59)*AA8</f>
        <v>1.5157251926397983E+19</v>
      </c>
      <c r="AD8" s="42">
        <v>2.1563725603489603E+21</v>
      </c>
      <c r="AE8" s="42">
        <v>7.4305095395113737E+20</v>
      </c>
      <c r="AF8" s="42">
        <v>1.423855429486727E+20</v>
      </c>
      <c r="AG8" s="42">
        <v>5.2944968510201225E+19</v>
      </c>
      <c r="AH8" s="42">
        <v>3.2499025273204437E+19</v>
      </c>
      <c r="AI8" s="42">
        <v>7.8244873975541776E+19</v>
      </c>
      <c r="AJ8" s="42">
        <v>1.6514792019631901E+22</v>
      </c>
      <c r="AL8" s="19"/>
    </row>
    <row r="9" spans="1:38" ht="15.75" thickBot="1">
      <c r="A9" s="101" t="s">
        <v>16</v>
      </c>
      <c r="B9" s="73">
        <f>Données!F17</f>
        <v>1.6799927091276064E+22</v>
      </c>
      <c r="F9" s="112">
        <v>0</v>
      </c>
      <c r="G9" s="112">
        <v>0</v>
      </c>
      <c r="H9" s="112">
        <v>0</v>
      </c>
      <c r="I9" s="112">
        <v>0</v>
      </c>
      <c r="J9" s="111">
        <f>Données!F$48</f>
        <v>5.8612141092503409E-14</v>
      </c>
      <c r="K9" s="112">
        <v>0</v>
      </c>
      <c r="L9" s="112">
        <v>0</v>
      </c>
      <c r="M9" s="111">
        <f>-(Données!I$51*1E-24*B$12+Données!F$51)</f>
        <v>-1.0856217745220376E-9</v>
      </c>
      <c r="T9" s="107">
        <v>7</v>
      </c>
      <c r="U9" s="27">
        <f t="shared" si="0"/>
        <v>0.58333333333333337</v>
      </c>
      <c r="V9" s="18">
        <f t="shared" si="1"/>
        <v>18396000</v>
      </c>
      <c r="W9" s="117">
        <f>POWER($V9-$V2,W$1)/FACT(W$1)</f>
        <v>18396000</v>
      </c>
      <c r="X9" s="117">
        <f>POWER($V9-$V2,X$1)/FACT(X$1)</f>
        <v>169206408000000</v>
      </c>
      <c r="Y9" s="117">
        <f>POWER($V9-$V2,Y$1)/FACT(Y$1)</f>
        <v>1.037573693856E+21</v>
      </c>
      <c r="Z9" s="117">
        <f>POWER($V9-$V2,Z$1)/FACT(Z$1)</f>
        <v>4.7718014180437445E+27</v>
      </c>
      <c r="AA9" s="117">
        <f>POWER($V9-$V2,AA$1)/FACT(AA$1)</f>
        <v>1.7556411777266544E+34</v>
      </c>
      <c r="AB9" s="117"/>
      <c r="AC9" s="119">
        <f t="array" ref="AC9:AJ9">AC2:AJ2+TRANSPOSE(F$12:F$19)*W9+TRANSPOSE(F$22:F$29)*X9+TRANSPOSE(F$32:F$39)*Y9+TRANSPOSE(F$42:F$49)*Z9+TRANSPOSE(F$52:F$59)*AA9</f>
        <v>1.5620126301730623E+19</v>
      </c>
      <c r="AD9" s="42">
        <v>2.1526049087254873E+21</v>
      </c>
      <c r="AE9" s="42">
        <v>7.4617324429523367E+20</v>
      </c>
      <c r="AF9" s="42">
        <v>1.411824587600086E+20</v>
      </c>
      <c r="AG9" s="42">
        <v>5.3231253112069841E+19</v>
      </c>
      <c r="AH9" s="42">
        <v>3.2477532646519136E+19</v>
      </c>
      <c r="AI9" s="42">
        <v>7.6592534183937196E+19</v>
      </c>
      <c r="AJ9" s="42">
        <v>1.646774224333214E+22</v>
      </c>
      <c r="AL9" s="19"/>
    </row>
    <row r="10" spans="1:38">
      <c r="T10" s="107">
        <v>8</v>
      </c>
      <c r="U10" s="27">
        <f t="shared" si="0"/>
        <v>0.66666666666666663</v>
      </c>
      <c r="V10" s="18">
        <f t="shared" si="1"/>
        <v>21024000</v>
      </c>
      <c r="W10" s="117">
        <f>POWER($V10-$V2,W$1)/FACT(W$1)</f>
        <v>21024000</v>
      </c>
      <c r="X10" s="117">
        <f>POWER($V10-$V2,X$1)/FACT(X$1)</f>
        <v>221004288000000</v>
      </c>
      <c r="Y10" s="117">
        <f>POWER($V10-$V2,Y$1)/FACT(Y$1)</f>
        <v>1.548798050304E+21</v>
      </c>
      <c r="Z10" s="117">
        <f>POWER($V10-$V2,Z$1)/FACT(Z$1)</f>
        <v>8.1404825523978233E+27</v>
      </c>
      <c r="AA10" s="117">
        <f>POWER($V10-$V2,AA$1)/FACT(AA$1)</f>
        <v>3.422910103632237E+34</v>
      </c>
      <c r="AB10" s="117"/>
      <c r="AC10" s="119">
        <f t="array" ref="AC10:AJ10">AC2:AJ2+TRANSPOSE(F$12:F$19)*W10+TRANSPOSE(F$22:F$29)*X10+TRANSPOSE(F$32:F$39)*Y10+TRANSPOSE(F$42:F$49)*Z10+TRANSPOSE(F$52:F$59)*AA10</f>
        <v>1.6067478704884113E+19</v>
      </c>
      <c r="AD10" s="42">
        <v>2.1488027992840575E+21</v>
      </c>
      <c r="AE10" s="42">
        <v>7.492551718221493E+20</v>
      </c>
      <c r="AF10" s="42">
        <v>1.400279373969154E+20</v>
      </c>
      <c r="AG10" s="42">
        <v>5.3510748945608696E+19</v>
      </c>
      <c r="AH10" s="42">
        <v>3.2451721328286433E+19</v>
      </c>
      <c r="AI10" s="42">
        <v>7.4975185745208984E+19</v>
      </c>
      <c r="AJ10" s="42">
        <v>1.6420826509443242E+22</v>
      </c>
      <c r="AL10" s="19"/>
    </row>
    <row r="11" spans="1:38" ht="15.75" thickBot="1">
      <c r="B11" s="101" t="s">
        <v>59</v>
      </c>
      <c r="F11" s="114" t="s">
        <v>164</v>
      </c>
      <c r="G11" s="114" t="s">
        <v>154</v>
      </c>
      <c r="H11" s="19" t="s">
        <v>155</v>
      </c>
      <c r="I11" s="19" t="s">
        <v>156</v>
      </c>
      <c r="J11" s="114" t="s">
        <v>157</v>
      </c>
      <c r="K11" s="114" t="s">
        <v>158</v>
      </c>
      <c r="L11" s="114" t="s">
        <v>159</v>
      </c>
      <c r="M11" s="114" t="s">
        <v>160</v>
      </c>
      <c r="N11" s="114" t="s">
        <v>161</v>
      </c>
      <c r="O11" s="114" t="s">
        <v>162</v>
      </c>
      <c r="P11" s="114" t="s">
        <v>163</v>
      </c>
      <c r="Q11" s="108"/>
      <c r="T11" s="107">
        <v>9</v>
      </c>
      <c r="U11" s="27">
        <f t="shared" si="0"/>
        <v>0.75</v>
      </c>
      <c r="V11" s="18">
        <f t="shared" si="1"/>
        <v>23652000</v>
      </c>
      <c r="W11" s="117">
        <f>POWER($V11-$V2,W$1)/FACT(W$1)</f>
        <v>23652000</v>
      </c>
      <c r="X11" s="117">
        <f>POWER($V11-$V2,X$1)/FACT(X$1)</f>
        <v>279708552000000</v>
      </c>
      <c r="Y11" s="117">
        <f>POWER($V11-$V2,Y$1)/FACT(Y$1)</f>
        <v>2.205222223968E+21</v>
      </c>
      <c r="Z11" s="117">
        <f>POWER($V11-$V2,Z$1)/FACT(Z$1)</f>
        <v>1.3039479010322784E+28</v>
      </c>
      <c r="AA11" s="117">
        <f>POWER($V11-$V2,AA$1)/FACT(AA$1)</f>
        <v>6.1681951510430897E+34</v>
      </c>
      <c r="AB11" s="117"/>
      <c r="AC11" s="119">
        <f t="array" ref="AC11:AJ11">AC2:AJ2+TRANSPOSE(F$12:F$19)*W11+TRANSPOSE(F$22:F$29)*X11+TRANSPOSE(F$32:F$39)*Y11+TRANSPOSE(F$42:F$49)*Z11+TRANSPOSE(F$52:F$59)*AA11</f>
        <v>1.6499681279555987E+19</v>
      </c>
      <c r="AD11" s="42">
        <v>2.1449671699411454E+21</v>
      </c>
      <c r="AE11" s="42">
        <v>7.5229691270968653E+20</v>
      </c>
      <c r="AF11" s="42">
        <v>1.3892036168269103E+20</v>
      </c>
      <c r="AG11" s="42">
        <v>5.3783688373944222E+19</v>
      </c>
      <c r="AH11" s="42">
        <v>3.2421861445858046E+19</v>
      </c>
      <c r="AI11" s="42">
        <v>7.3392086761006711E+19</v>
      </c>
      <c r="AJ11" s="42">
        <v>1.637404443608366E+22</v>
      </c>
      <c r="AL11" s="19"/>
    </row>
    <row r="12" spans="1:38" ht="15">
      <c r="B12" s="75">
        <f>IF(U2&lt;Données!C$26/365,Données!C$30,0)</f>
        <v>3459355206463252.5</v>
      </c>
      <c r="E12" s="108" t="s">
        <v>147</v>
      </c>
      <c r="F12" s="111">
        <f t="array" ref="F12:F19">MMULT($F$2:$M$9,B2:B9)</f>
        <v>218149663401.18842</v>
      </c>
      <c r="G12" s="111">
        <f t="array" ref="G12:G19">MMULT($F$2:$M$9,TRANSPOSE(AC14:AJ14))</f>
        <v>145358903983.68567</v>
      </c>
      <c r="H12" s="111">
        <f t="array" ref="H12:H19">MMULT($F$2:$M$9,TRANSPOSE(AC26:AJ26))</f>
        <v>91387028476.706009</v>
      </c>
      <c r="I12" s="111">
        <f t="array" ref="I12:I19">MMULT($F$2:$M$9,TRANSPOSE(AC38:AJ38))</f>
        <v>52285803186.664322</v>
      </c>
      <c r="J12" s="111">
        <f t="array" ref="J12:J19">MMULT($F$2:$M$9,TRANSPOSE(AC50:AJ50))</f>
        <v>24701711855.082832</v>
      </c>
      <c r="K12" s="111">
        <f t="array" ref="K12:K19">MMULT($F$2:$M$9,TRANSPOSE(AC62:AJ62))</f>
        <v>5867306140.1122665</v>
      </c>
      <c r="L12" s="111">
        <f t="array" ref="L12:L19">MMULT($F$2:$M$9,TRANSPOSE(AC74:AJ74))</f>
        <v>-6449132651.7429962</v>
      </c>
      <c r="M12" s="111">
        <f t="array" ref="M12:M19">MMULT($F$2:$M$9,TRANSPOSE(AC86:AJ86))</f>
        <v>-14012192502.631771</v>
      </c>
      <c r="N12" s="111">
        <f t="array" ref="N12:N19">MMULT($F$2:$M$9,TRANSPOSE(AC98:AJ98))</f>
        <v>-18192399537.968979</v>
      </c>
      <c r="O12" s="111">
        <f t="array" ref="O12:O19">MMULT($F$2:$M$9,TRANSPOSE(AC110:AJ110))</f>
        <v>-20036098992.073364</v>
      </c>
      <c r="P12" s="111" t="e">
        <f t="array" ref="P12:P19">MMULT($F$2:$M$9,TRANSPOSE(AC123:AJ123))</f>
        <v>#VALUE!</v>
      </c>
      <c r="T12" s="107">
        <v>10</v>
      </c>
      <c r="U12" s="27">
        <f t="shared" si="0"/>
        <v>0.83333333333333337</v>
      </c>
      <c r="V12" s="18">
        <f t="shared" si="1"/>
        <v>26280000</v>
      </c>
      <c r="W12" s="117">
        <f>POWER($V12-$V2,W$1)/FACT(W$1)</f>
        <v>26280000</v>
      </c>
      <c r="X12" s="117">
        <f>POWER($V12-$V2,X$1)/FACT(X$1)</f>
        <v>345319200000000</v>
      </c>
      <c r="Y12" s="117">
        <f>POWER($V12-$V2,Y$1)/FACT(Y$1)</f>
        <v>3.0249961920000001E+21</v>
      </c>
      <c r="Z12" s="117">
        <f>POWER($V12-$V2,Z$1)/FACT(Z$1)</f>
        <v>1.9874224981439999E+28</v>
      </c>
      <c r="AA12" s="117">
        <f>POWER($V12-$V2,AA$1)/FACT(AA$1)</f>
        <v>1.0445892650244865E+35</v>
      </c>
      <c r="AB12" s="117"/>
      <c r="AC12" s="119">
        <f t="array" ref="AC12:AJ12">AC2:AJ2+TRANSPOSE(F$12:F$19)*W12+TRANSPOSE(F$22:F$29)*X12+TRANSPOSE(F$32:F$39)*Y12+TRANSPOSE(F$42:F$49)*Z12+TRANSPOSE(F$52:F$59)*AA12</f>
        <v>1.6917099370477197E+19</v>
      </c>
      <c r="AD12" s="42">
        <v>2.1410989408823232E+21</v>
      </c>
      <c r="AE12" s="42">
        <v>7.5529864553690431E+20</v>
      </c>
      <c r="AF12" s="42">
        <v>1.3785816162658163E+20</v>
      </c>
      <c r="AG12" s="42">
        <v>5.4050296520021344E+19</v>
      </c>
      <c r="AH12" s="42">
        <v>3.238821241696861E+19</v>
      </c>
      <c r="AI12" s="42">
        <v>7.18425107785752E+19</v>
      </c>
      <c r="AJ12" s="42">
        <v>1.6327395642459575E+22</v>
      </c>
      <c r="AL12" s="19"/>
    </row>
    <row r="13" spans="1:38">
      <c r="E13" s="110"/>
      <c r="F13" s="111">
        <v>-1339258211660.3555</v>
      </c>
      <c r="G13" s="111">
        <v>-1501471535943.7891</v>
      </c>
      <c r="H13" s="111">
        <v>-1616407895068.123</v>
      </c>
      <c r="I13" s="111">
        <v>-1693940461919.0762</v>
      </c>
      <c r="J13" s="111">
        <v>-1741978803305.3496</v>
      </c>
      <c r="K13" s="111">
        <v>-1766862768940.9961</v>
      </c>
      <c r="L13" s="111">
        <v>-1773673275833.1797</v>
      </c>
      <c r="M13" s="111">
        <v>-1766479234174.627</v>
      </c>
      <c r="N13" s="111">
        <v>-1748534849039.1484</v>
      </c>
      <c r="O13" s="111">
        <v>-1722437970321.4883</v>
      </c>
      <c r="P13" s="111" t="e">
        <v>#VALUE!</v>
      </c>
      <c r="T13" s="107">
        <v>11</v>
      </c>
      <c r="U13" s="27">
        <f t="shared" si="0"/>
        <v>0.91666666666666663</v>
      </c>
      <c r="V13" s="18">
        <f t="shared" si="1"/>
        <v>28908000</v>
      </c>
      <c r="W13" s="117">
        <f>POWER($V13-$V2,W$1)/FACT(W$1)</f>
        <v>28908000</v>
      </c>
      <c r="X13" s="117">
        <f>POWER($V13-$V2,X$1)/FACT(X$1)</f>
        <v>417836232000000</v>
      </c>
      <c r="Y13" s="117">
        <f>POWER($V13-$V2,Y$1)/FACT(Y$1)</f>
        <v>4.0262699315519999E+21</v>
      </c>
      <c r="Z13" s="117">
        <f>POWER($V13-$V2,Z$1)/FACT(Z$1)</f>
        <v>2.9097852795326301E+28</v>
      </c>
      <c r="AA13" s="117">
        <f>POWER($V13-$V2,AA$1)/FACT(AA$1)</f>
        <v>1.6823214572145855E+35</v>
      </c>
      <c r="AB13" s="117"/>
      <c r="AC13" s="119">
        <f t="array" ref="AC13:AJ13">AC2:AJ2+TRANSPOSE(F$12:F$19)*W13+TRANSPOSE(F$22:F$29)*X13+TRANSPOSE(F$32:F$39)*Y13+TRANSPOSE(F$42:F$49)*Z13+TRANSPOSE(F$52:F$59)*AA13</f>
        <v>1.732009156763664E+19</v>
      </c>
      <c r="AD13" s="42">
        <v>2.1371990149531194E+21</v>
      </c>
      <c r="AE13" s="42">
        <v>7.582605511707166E+20</v>
      </c>
      <c r="AF13" s="42">
        <v>1.368398125561062E+20</v>
      </c>
      <c r="AG13" s="42">
        <v>5.431079155424727E+19</v>
      </c>
      <c r="AH13" s="42">
        <v>3.2351023472088191E+19</v>
      </c>
      <c r="AI13" s="42">
        <v>7.0325746391648403E+19</v>
      </c>
      <c r="AJ13" s="42">
        <v>1.6280879748861668E+22</v>
      </c>
      <c r="AL13" s="19"/>
    </row>
    <row r="14" spans="1:38">
      <c r="E14" s="110"/>
      <c r="F14" s="111">
        <v>1289479494840.3303</v>
      </c>
      <c r="G14" s="111">
        <v>1104454410149.1138</v>
      </c>
      <c r="H14" s="111">
        <v>929607413198.42578</v>
      </c>
      <c r="I14" s="111">
        <v>766031841415.75781</v>
      </c>
      <c r="J14" s="111">
        <v>614298827650.0498</v>
      </c>
      <c r="K14" s="111">
        <v>474588641282.1499</v>
      </c>
      <c r="L14" s="111">
        <v>346793388485.92529</v>
      </c>
      <c r="M14" s="111">
        <v>230597152168.16943</v>
      </c>
      <c r="N14" s="111">
        <v>125538308872.61572</v>
      </c>
      <c r="O14" s="111">
        <v>31057740859.168945</v>
      </c>
      <c r="P14" s="111" t="e">
        <v>#VALUE!</v>
      </c>
      <c r="T14" s="107">
        <v>12</v>
      </c>
      <c r="U14" s="27">
        <f t="shared" si="0"/>
        <v>1</v>
      </c>
      <c r="V14" s="18">
        <f t="shared" si="1"/>
        <v>31536000</v>
      </c>
      <c r="W14" s="117">
        <f>POWER($V14-$V2,W$1)/FACT(W$1)</f>
        <v>31536000</v>
      </c>
      <c r="X14" s="117">
        <f>POWER($V14-$V2,X$1)/FACT(X$1)</f>
        <v>497259648000000</v>
      </c>
      <c r="Y14" s="117">
        <f>POWER($V14-$V2,Y$1)/FACT(Y$1)</f>
        <v>5.227193419776E+21</v>
      </c>
      <c r="Z14" s="117">
        <f>POWER($V14-$V2,Z$1)/FACT(Z$1)</f>
        <v>4.121119292151398E+28</v>
      </c>
      <c r="AA14" s="117">
        <f>POWER($V14-$V2,AA$1)/FACT(AA$1)</f>
        <v>2.5992723599457299E+35</v>
      </c>
      <c r="AB14" s="117"/>
      <c r="AC14" s="119">
        <f t="array" ref="AC14:AJ14">AC2:AJ2+TRANSPOSE(F$12:F$19)*W14+TRANSPOSE(F$22:F$29)*X14+TRANSPOSE(F$32:F$39)*Y14+TRANSPOSE(F$42:F$49)*Z14+TRANSPOSE(F$52:F$59)*AA14</f>
        <v>1.7709009750505669E+19</v>
      </c>
      <c r="AD14" s="42">
        <v>2.1332682780498812E+21</v>
      </c>
      <c r="AE14" s="42">
        <v>7.6118281265249518E+20</v>
      </c>
      <c r="AF14" s="42">
        <v>1.3586383324938127E+20</v>
      </c>
      <c r="AG14" s="42">
        <v>5.4565384982135439E+19</v>
      </c>
      <c r="AH14" s="42">
        <v>3.2310534176774779E+19</v>
      </c>
      <c r="AI14" s="42">
        <v>6.8841096841343312E+19</v>
      </c>
      <c r="AJ14" s="42">
        <v>1.6234496376661975E+22</v>
      </c>
      <c r="AL14" s="19"/>
    </row>
    <row r="15" spans="1:38">
      <c r="E15" s="110"/>
      <c r="F15" s="111">
        <v>-594232024107.375</v>
      </c>
      <c r="G15" s="111">
        <v>-363455620887.95239</v>
      </c>
      <c r="H15" s="111">
        <v>-210501061179.26758</v>
      </c>
      <c r="I15" s="111">
        <v>-111205303549.69263</v>
      </c>
      <c r="J15" s="111">
        <v>-48734022120.010498</v>
      </c>
      <c r="K15" s="111">
        <v>-11367388997.187012</v>
      </c>
      <c r="L15" s="111">
        <v>9044314460.0778809</v>
      </c>
      <c r="M15" s="111">
        <v>18158293337.429932</v>
      </c>
      <c r="N15" s="111">
        <v>19891436991.384033</v>
      </c>
      <c r="O15" s="111">
        <v>16945606431.42627</v>
      </c>
      <c r="P15" s="111" t="e">
        <v>#VALUE!</v>
      </c>
      <c r="T15" s="107">
        <v>13</v>
      </c>
      <c r="U15" s="27">
        <f t="shared" si="0"/>
        <v>1.0833333333333333</v>
      </c>
      <c r="V15" s="18">
        <f t="shared" si="1"/>
        <v>34164000</v>
      </c>
      <c r="W15" s="117">
        <f>POWER($V15-$V14,W$1)/FACT(W$1)</f>
        <v>2628000</v>
      </c>
      <c r="X15" s="117">
        <f>POWER($V15-$V14,X$1)/FACT(X$1)</f>
        <v>3453192000000</v>
      </c>
      <c r="Y15" s="117">
        <f>POWER($V15-$V14,Y$1)/FACT(Y$1)</f>
        <v>3.024996192E+18</v>
      </c>
      <c r="Z15" s="117">
        <f>POWER($V15-$V14,Z$1)/FACT(Z$1)</f>
        <v>1.9874224981439998E+24</v>
      </c>
      <c r="AA15" s="117">
        <f>POWER($V15-$V14,AA$1)/FACT(AA$1)</f>
        <v>1.0445892650244864E+30</v>
      </c>
      <c r="AB15" s="117"/>
      <c r="AC15" s="119">
        <f t="array" ref="AC15:AJ15">AC14:AJ14+TRANSPOSE(G$12:G$19)*W15+TRANSPOSE(G$22:G$29)*X15+TRANSPOSE(G$32:G$39)*Y15+TRANSPOSE(G$42:G$49)*Z15+TRANSPOSE(G$52:G$59)*AA15</f>
        <v>1.8084206790398081E+19</v>
      </c>
      <c r="AD15" s="42">
        <v>2.129307580049966E+21</v>
      </c>
      <c r="AE15" s="42">
        <v>7.640656214951896E+20</v>
      </c>
      <c r="AF15" s="42">
        <v>1.34928925473288E+20</v>
      </c>
      <c r="AG15" s="42">
        <v>5.4814260506297049E+19</v>
      </c>
      <c r="AH15" s="42">
        <v>3.2266931951070454E+19</v>
      </c>
      <c r="AI15" s="42">
        <v>6.7387901249598177E+19</v>
      </c>
      <c r="AJ15" s="42">
        <v>1.618824514833397E+22</v>
      </c>
      <c r="AL15" s="25"/>
    </row>
    <row r="16" spans="1:38">
      <c r="E16" s="110"/>
      <c r="F16" s="111">
        <v>128086121598.48409</v>
      </c>
      <c r="G16" s="111">
        <v>95773934459.896835</v>
      </c>
      <c r="H16" s="111">
        <v>74541366354.108459</v>
      </c>
      <c r="I16" s="111">
        <v>60695674443.601181</v>
      </c>
      <c r="J16" s="111">
        <v>51684719726.721786</v>
      </c>
      <c r="K16" s="111">
        <v>45756041854.666451</v>
      </c>
      <c r="L16" s="111">
        <v>41717224350.175125</v>
      </c>
      <c r="M16" s="111">
        <v>38767333650.59407</v>
      </c>
      <c r="N16" s="111">
        <v>36378283679.954483</v>
      </c>
      <c r="O16" s="111">
        <v>34211310757.56356</v>
      </c>
      <c r="P16" s="111" t="e">
        <v>#VALUE!</v>
      </c>
      <c r="T16" s="107">
        <v>14</v>
      </c>
      <c r="U16" s="27">
        <f t="shared" si="0"/>
        <v>1.1666666666666667</v>
      </c>
      <c r="V16" s="18">
        <f t="shared" si="1"/>
        <v>36792000</v>
      </c>
      <c r="W16" s="117">
        <f>POWER($V16-$V14,W$1)/FACT(W$1)</f>
        <v>5256000</v>
      </c>
      <c r="X16" s="117">
        <f>POWER($V16-$V14,X$1)/FACT(X$1)</f>
        <v>13812768000000</v>
      </c>
      <c r="Y16" s="117">
        <f>POWER($V16-$V14,Y$1)/FACT(Y$1)</f>
        <v>2.4199969536E+19</v>
      </c>
      <c r="Z16" s="117">
        <f>POWER($V16-$V14,Z$1)/FACT(Z$1)</f>
        <v>3.1798759970303997E+25</v>
      </c>
      <c r="AA16" s="117">
        <f>POWER($V16-$V14,AA$1)/FACT(AA$1)</f>
        <v>3.3426856480783565E+31</v>
      </c>
      <c r="AB16" s="117"/>
      <c r="AC16" s="119">
        <f t="array" ref="AC16:AJ16">AC14:AJ14+TRANSPOSE(G$12:G$19)*W16+TRANSPOSE(G$22:G$29)*X16+TRANSPOSE(G$32:G$39)*Y16+TRANSPOSE(G$42:G$49)*Z16+TRANSPOSE(G$52:G$59)*AA16</f>
        <v>1.8446016719520647E+19</v>
      </c>
      <c r="AD16" s="42">
        <v>2.1253177848968239E+21</v>
      </c>
      <c r="AE16" s="42">
        <v>7.6690916120853873E+20</v>
      </c>
      <c r="AF16" s="42">
        <v>1.3403360989595522E+20</v>
      </c>
      <c r="AG16" s="42">
        <v>5.5057629186330255E+19</v>
      </c>
      <c r="AH16" s="42">
        <v>3.2220462806552199E+19</v>
      </c>
      <c r="AI16" s="42">
        <v>6.5965478990608884E+19</v>
      </c>
      <c r="AJ16" s="42">
        <v>1.6142125687390417E+22</v>
      </c>
      <c r="AL16" s="19"/>
    </row>
    <row r="17" spans="5:38">
      <c r="E17" s="110"/>
      <c r="F17" s="111">
        <v>5317062476.8708496</v>
      </c>
      <c r="G17" s="111">
        <v>-16018767067.900787</v>
      </c>
      <c r="H17" s="111">
        <v>-24984629671.257599</v>
      </c>
      <c r="I17" s="111">
        <v>-26820517707.701508</v>
      </c>
      <c r="J17" s="111">
        <v>-24859968387.430511</v>
      </c>
      <c r="K17" s="111">
        <v>-21170899250.317841</v>
      </c>
      <c r="L17" s="111">
        <v>-16990093009.812622</v>
      </c>
      <c r="M17" s="111">
        <v>-13016202820.715759</v>
      </c>
      <c r="N17" s="111">
        <v>-9606030942.6549683</v>
      </c>
      <c r="O17" s="111">
        <v>-6904906293.9250183</v>
      </c>
      <c r="P17" s="111" t="e">
        <v>#VALUE!</v>
      </c>
      <c r="T17" s="107">
        <v>15</v>
      </c>
      <c r="U17" s="27">
        <f t="shared" si="0"/>
        <v>1.25</v>
      </c>
      <c r="V17" s="18">
        <f t="shared" si="1"/>
        <v>39420000</v>
      </c>
      <c r="W17" s="117">
        <f>POWER($V17-$V14,W$1)/FACT(W$1)</f>
        <v>7884000</v>
      </c>
      <c r="X17" s="117">
        <f>POWER($V17-$V14,X$1)/FACT(X$1)</f>
        <v>31078728000000</v>
      </c>
      <c r="Y17" s="117">
        <f>POWER($V17-$V14,Y$1)/FACT(Y$1)</f>
        <v>8.1674897184E+19</v>
      </c>
      <c r="Z17" s="117">
        <f>POWER($V17-$V14,Z$1)/FACT(Z$1)</f>
        <v>1.6098122234966398E+26</v>
      </c>
      <c r="AA17" s="117">
        <f>POWER($V17-$V14,AA$1)/FACT(AA$1)</f>
        <v>2.5383519140095018E+32</v>
      </c>
      <c r="AB17" s="117"/>
      <c r="AC17" s="119">
        <f t="array" ref="AC17:AJ17">AC14:AJ14+TRANSPOSE(G$12:G$19)*W17+TRANSPOSE(G$22:G$29)*X17+TRANSPOSE(G$32:G$39)*Y17+TRANSPOSE(G$42:G$49)*Z17+TRANSPOSE(G$52:G$59)*AA17</f>
        <v>1.8794772575702479E+19</v>
      </c>
      <c r="AD17" s="42">
        <v>2.1212997270427148E+21</v>
      </c>
      <c r="AE17" s="42">
        <v>7.6971362164908543E+20</v>
      </c>
      <c r="AF17" s="42">
        <v>1.3317654533745525E+20</v>
      </c>
      <c r="AG17" s="42">
        <v>5.5295681088236462E+19</v>
      </c>
      <c r="AH17" s="42">
        <v>3.2171334118576828E+19</v>
      </c>
      <c r="AI17" s="42">
        <v>6.4573178126032019E+19</v>
      </c>
      <c r="AJ17" s="42">
        <v>1.6096137618432041E+22</v>
      </c>
      <c r="AL17" s="19"/>
    </row>
    <row r="18" spans="5:38">
      <c r="E18" s="110"/>
      <c r="F18" s="111">
        <v>-722588761186.71912</v>
      </c>
      <c r="G18" s="111">
        <v>-558905282363.18408</v>
      </c>
      <c r="H18" s="111">
        <v>-432311657557.43451</v>
      </c>
      <c r="I18" s="111">
        <v>-334403233721.01019</v>
      </c>
      <c r="J18" s="111">
        <v>-258679855499.6503</v>
      </c>
      <c r="K18" s="111">
        <v>-200114311556.10233</v>
      </c>
      <c r="L18" s="111">
        <v>-154818568494.80786</v>
      </c>
      <c r="M18" s="111">
        <v>-119785634438.77888</v>
      </c>
      <c r="N18" s="111">
        <v>-92689915138.129715</v>
      </c>
      <c r="O18" s="111">
        <v>-71732808623.72374</v>
      </c>
      <c r="P18" s="111" t="e">
        <v>#VALUE!</v>
      </c>
      <c r="T18" s="107">
        <v>16</v>
      </c>
      <c r="U18" s="27">
        <f t="shared" si="0"/>
        <v>1.3333333333333333</v>
      </c>
      <c r="V18" s="18">
        <f t="shared" si="1"/>
        <v>42048000</v>
      </c>
      <c r="W18" s="117">
        <f>POWER($V18-$V14,W$1)/FACT(W$1)</f>
        <v>10512000</v>
      </c>
      <c r="X18" s="117">
        <f>POWER($V18-$V14,X$1)/FACT(X$1)</f>
        <v>55251072000000</v>
      </c>
      <c r="Y18" s="117">
        <f>POWER($V18-$V14,Y$1)/FACT(Y$1)</f>
        <v>1.93599756288E+20</v>
      </c>
      <c r="Z18" s="117">
        <f>POWER($V18-$V14,Z$1)/FACT(Z$1)</f>
        <v>5.0878015952486396E+26</v>
      </c>
      <c r="AA18" s="117">
        <f>POWER($V18-$V14,AA$1)/FACT(AA$1)</f>
        <v>1.0696594073850741E+33</v>
      </c>
      <c r="AB18" s="117"/>
      <c r="AC18" s="119">
        <f t="array" ref="AC18:AJ18">AC14:AJ14+TRANSPOSE(G$12:G$19)*W18+TRANSPOSE(G$22:G$29)*X18+TRANSPOSE(G$32:G$39)*Y18+TRANSPOSE(G$42:G$49)*Z18+TRANSPOSE(G$52:G$59)*AA18</f>
        <v>1.9130801085002007E+19</v>
      </c>
      <c r="AD18" s="42">
        <v>2.117254224883242E+21</v>
      </c>
      <c r="AE18" s="42">
        <v>7.7247919461622691E+20</v>
      </c>
      <c r="AF18" s="42">
        <v>1.3235643132065641E+20</v>
      </c>
      <c r="AG18" s="42">
        <v>5.5528600046657716E+19</v>
      </c>
      <c r="AH18" s="42">
        <v>3.2119744258704642E+19</v>
      </c>
      <c r="AI18" s="42">
        <v>6.3210360515172794E+19</v>
      </c>
      <c r="AJ18" s="42">
        <v>1.6050280567129082E+22</v>
      </c>
      <c r="AL18" s="19"/>
    </row>
    <row r="19" spans="5:38">
      <c r="E19" s="110"/>
      <c r="F19" s="111">
        <v>-18238363667308.918</v>
      </c>
      <c r="G19" s="111">
        <v>-17624519566709.32</v>
      </c>
      <c r="H19" s="111">
        <v>-17031335506521.916</v>
      </c>
      <c r="I19" s="111">
        <v>-16458116120543.799</v>
      </c>
      <c r="J19" s="111">
        <v>-15904189451939.77</v>
      </c>
      <c r="K19" s="111">
        <v>-15368906163616.318</v>
      </c>
      <c r="L19" s="111">
        <v>-14851638775693.445</v>
      </c>
      <c r="M19" s="111">
        <v>-14351780929007.352</v>
      </c>
      <c r="N19" s="111">
        <v>-13868746673659.266</v>
      </c>
      <c r="O19" s="111">
        <v>-13401969781691.023</v>
      </c>
      <c r="P19" s="111" t="e">
        <v>#VALUE!</v>
      </c>
      <c r="T19" s="107">
        <v>17</v>
      </c>
      <c r="U19" s="27">
        <f t="shared" si="0"/>
        <v>1.4166666666666667</v>
      </c>
      <c r="V19" s="18">
        <f t="shared" si="1"/>
        <v>44676000</v>
      </c>
      <c r="W19" s="117">
        <f>POWER($V19-$V14,W$1)/FACT(W$1)</f>
        <v>13140000</v>
      </c>
      <c r="X19" s="117">
        <f>POWER($V19-$V14,X$1)/FACT(X$1)</f>
        <v>86329800000000</v>
      </c>
      <c r="Y19" s="117">
        <f>POWER($V19-$V14,Y$1)/FACT(Y$1)</f>
        <v>3.7812452400000002E+20</v>
      </c>
      <c r="Z19" s="117">
        <f>POWER($V19-$V14,Z$1)/FACT(Z$1)</f>
        <v>1.2421390613399999E+27</v>
      </c>
      <c r="AA19" s="117">
        <f>POWER($V19-$V14,AA$1)/FACT(AA$1)</f>
        <v>3.2643414532015203E+33</v>
      </c>
      <c r="AB19" s="117"/>
      <c r="AC19" s="119">
        <f t="array" ref="AC19:AJ19">AC14:AJ14+TRANSPOSE(G$12:G$19)*W19+TRANSPOSE(G$22:G$29)*X19+TRANSPOSE(G$32:G$39)*Y19+TRANSPOSE(G$42:G$49)*Z19+TRANSPOSE(G$52:G$59)*AA19</f>
        <v>1.9454422730904166E+19</v>
      </c>
      <c r="AD19" s="42">
        <v>2.113182081066967E+21</v>
      </c>
      <c r="AE19" s="42">
        <v>7.7520607376573871E+20</v>
      </c>
      <c r="AF19" s="42">
        <v>1.315720067684982E+20</v>
      </c>
      <c r="AG19" s="42">
        <v>5.5756563866682458E+19</v>
      </c>
      <c r="AH19" s="42">
        <v>3.206588294657373E+19</v>
      </c>
      <c r="AI19" s="42">
        <v>6.1876401506314822E+19</v>
      </c>
      <c r="AJ19" s="42">
        <v>1.60045541602182E+22</v>
      </c>
      <c r="AL19" s="19"/>
    </row>
    <row r="20" spans="5:38">
      <c r="E20" s="110"/>
      <c r="F20" s="110"/>
      <c r="T20" s="107">
        <v>18</v>
      </c>
      <c r="U20" s="27">
        <f t="shared" si="0"/>
        <v>1.5</v>
      </c>
      <c r="V20" s="18">
        <f t="shared" si="1"/>
        <v>47304000</v>
      </c>
      <c r="W20" s="117">
        <f>POWER($V20-$V14,W$1)/FACT(W$1)</f>
        <v>15768000</v>
      </c>
      <c r="X20" s="117">
        <f>POWER($V20-$V14,X$1)/FACT(X$1)</f>
        <v>124314912000000</v>
      </c>
      <c r="Y20" s="117">
        <f>POWER($V20-$V14,Y$1)/FACT(Y$1)</f>
        <v>6.53399177472E+20</v>
      </c>
      <c r="Z20" s="117">
        <f>POWER($V20-$V14,Z$1)/FACT(Z$1)</f>
        <v>2.5756995575946237E+27</v>
      </c>
      <c r="AA20" s="117">
        <f>POWER($V20-$V14,AA$1)/FACT(AA$1)</f>
        <v>8.1227261248304059E+33</v>
      </c>
      <c r="AB20" s="117"/>
      <c r="AC20" s="119">
        <f t="array" ref="AC20:AJ20">AC14:AJ14+TRANSPOSE(G$12:G$19)*W20+TRANSPOSE(G$22:G$29)*X20+TRANSPOSE(G$32:G$39)*Y20+TRANSPOSE(G$42:G$49)*Z20+TRANSPOSE(G$52:G$59)*AA20</f>
        <v>1.9765951823517495E+19</v>
      </c>
      <c r="AD20" s="42">
        <v>2.1090840828050284E+21</v>
      </c>
      <c r="AE20" s="42">
        <v>7.7789445452329412E+20</v>
      </c>
      <c r="AF20" s="42">
        <v>1.308220487012659E+20</v>
      </c>
      <c r="AG20" s="42">
        <v>5.5979744525651198E+19</v>
      </c>
      <c r="AH20" s="42">
        <v>3.2009931601774174E+19</v>
      </c>
      <c r="AI20" s="42">
        <v>6.0570689628049744E+19</v>
      </c>
      <c r="AJ20" s="42">
        <v>1.5958958025499415E+22</v>
      </c>
      <c r="AL20" s="19"/>
    </row>
    <row r="21" spans="5:38" ht="15">
      <c r="E21" s="110"/>
      <c r="F21" s="110"/>
      <c r="Q21" s="108"/>
      <c r="T21" s="107">
        <v>19</v>
      </c>
      <c r="U21" s="27">
        <f t="shared" si="0"/>
        <v>1.5833333333333333</v>
      </c>
      <c r="V21" s="18">
        <f t="shared" si="1"/>
        <v>49932000</v>
      </c>
      <c r="W21" s="117">
        <f>POWER($V21-$V14,W$1)/FACT(W$1)</f>
        <v>18396000</v>
      </c>
      <c r="X21" s="117">
        <f>POWER($V21-$V14,X$1)/FACT(X$1)</f>
        <v>169206408000000</v>
      </c>
      <c r="Y21" s="117">
        <f>POWER($V21-$V14,Y$1)/FACT(Y$1)</f>
        <v>1.037573693856E+21</v>
      </c>
      <c r="Z21" s="117">
        <f>POWER($V21-$V14,Z$1)/FACT(Z$1)</f>
        <v>4.7718014180437445E+27</v>
      </c>
      <c r="AA21" s="117">
        <f>POWER($V21-$V14,AA$1)/FACT(AA$1)</f>
        <v>1.7556411777266544E+34</v>
      </c>
      <c r="AB21" s="117"/>
      <c r="AC21" s="119">
        <f t="array" ref="AC21:AJ21">AC14:AJ14+TRANSPOSE(G$12:G$19)*W21+TRANSPOSE(G$22:G$29)*X21+TRANSPOSE(G$32:G$39)*Y21+TRANSPOSE(G$42:G$49)*Z21+TRANSPOSE(G$52:G$59)*AA21</f>
        <v>2.0065696568771265E+19</v>
      </c>
      <c r="AD21" s="42">
        <v>2.1049610021807587E+21</v>
      </c>
      <c r="AE21" s="42">
        <v>7.8054453399798966E+20</v>
      </c>
      <c r="AF21" s="42">
        <v>1.3010537093386576E+20</v>
      </c>
      <c r="AG21" s="42">
        <v>5.6198308374962225E+19</v>
      </c>
      <c r="AH21" s="42">
        <v>3.195206369572234E+19</v>
      </c>
      <c r="AI21" s="42">
        <v>5.9292626280606876E+19</v>
      </c>
      <c r="AJ21" s="42">
        <v>1.5913491791833058E+22</v>
      </c>
      <c r="AL21" s="19"/>
    </row>
    <row r="22" spans="5:38" ht="15">
      <c r="E22" s="108" t="s">
        <v>150</v>
      </c>
      <c r="F22" s="111">
        <f t="array" ref="F22:F29">MMULT($F$2:$M$9,F12:F19)</f>
        <v>-2652.6859673560375</v>
      </c>
      <c r="G22" s="111">
        <f t="array" ref="G22:G29">MMULT($F$2:$M$9,G12:G19)</f>
        <v>-1987.4354007815436</v>
      </c>
      <c r="H22" s="111">
        <f t="array" ref="H22:H29">MMULT($F$2:$M$9,H12:H19)</f>
        <v>-1456.3526384555757</v>
      </c>
      <c r="I22" s="111">
        <f t="array" ref="I22:I29">MMULT($F$2:$M$9,I12:I19)</f>
        <v>-1041.1550761803201</v>
      </c>
      <c r="J22" s="111">
        <f t="array" ref="J22:J29">MMULT($F$2:$M$9,J12:J19)</f>
        <v>-722.81860046474321</v>
      </c>
      <c r="K22" s="111">
        <f t="array" ref="K22:K29">MMULT($F$2:$M$9,K12:K19)</f>
        <v>-483.4109901498723</v>
      </c>
      <c r="L22" s="111">
        <f t="array" ref="L22:L29">MMULT($F$2:$M$9,L12:L19)</f>
        <v>-306.97973218313092</v>
      </c>
      <c r="M22" s="111">
        <f t="array" ref="M22:M29">MMULT($F$2:$M$9,M12:M19)</f>
        <v>-179.87222356043586</v>
      </c>
      <c r="N22" s="111">
        <f t="array" ref="N22:N29">MMULT($F$2:$M$9,N12:N19)</f>
        <v>-90.73078710350697</v>
      </c>
      <c r="O22" s="111">
        <f t="array" ref="O22:O29">MMULT($F$2:$M$9,O12:O19)</f>
        <v>-30.31523320463802</v>
      </c>
      <c r="P22" s="111" t="e">
        <f t="array" ref="P22:P29">MMULT($F$2:$M$9,P12:P19)</f>
        <v>#VALUE!</v>
      </c>
      <c r="T22" s="107">
        <v>20</v>
      </c>
      <c r="U22" s="27">
        <f t="shared" si="0"/>
        <v>1.6666666666666667</v>
      </c>
      <c r="V22" s="18">
        <f t="shared" si="1"/>
        <v>52560000</v>
      </c>
      <c r="W22" s="117">
        <f>POWER($V22-$V14,W$1)/FACT(W$1)</f>
        <v>21024000</v>
      </c>
      <c r="X22" s="117">
        <f>POWER($V22-$V14,X$1)/FACT(X$1)</f>
        <v>221004288000000</v>
      </c>
      <c r="Y22" s="117">
        <f>POWER($V22-$V14,Y$1)/FACT(Y$1)</f>
        <v>1.548798050304E+21</v>
      </c>
      <c r="Z22" s="117">
        <f>POWER($V22-$V14,Z$1)/FACT(Z$1)</f>
        <v>8.1404825523978233E+27</v>
      </c>
      <c r="AA22" s="117">
        <f>POWER($V22-$V14,AA$1)/FACT(AA$1)</f>
        <v>3.422910103632237E+34</v>
      </c>
      <c r="AB22" s="117"/>
      <c r="AC22" s="119">
        <f t="array" ref="AC22:AJ22">AC14:AJ14+TRANSPOSE(G$12:G$19)*W22+TRANSPOSE(G$22:G$29)*X22+TRANSPOSE(G$32:G$39)*Y22+TRANSPOSE(G$42:G$49)*Z22+TRANSPOSE(G$52:G$59)*AA22</f>
        <v>2.0353959137612653E+19</v>
      </c>
      <c r="AD22" s="42">
        <v>2.1008135964593003E+21</v>
      </c>
      <c r="AE22" s="42">
        <v>7.8315651089586507E+20</v>
      </c>
      <c r="AF22" s="42">
        <v>1.2942082277309968E+20</v>
      </c>
      <c r="AG22" s="42">
        <v>5.6412416341877375E+19</v>
      </c>
      <c r="AH22" s="42">
        <v>3.189244510353517E+19</v>
      </c>
      <c r="AI22" s="42">
        <v>5.8041625427182952E+19</v>
      </c>
      <c r="AJ22" s="42">
        <v>1.5868155089136669E+22</v>
      </c>
      <c r="AL22" s="19"/>
    </row>
    <row r="23" spans="5:38">
      <c r="E23" s="110"/>
      <c r="F23" s="111">
        <v>-6016.2876207402769</v>
      </c>
      <c r="G23" s="111">
        <v>-4336.0725532186079</v>
      </c>
      <c r="H23" s="111">
        <v>-3005.0454496879829</v>
      </c>
      <c r="I23" s="111">
        <v>-1953.6227006731115</v>
      </c>
      <c r="J23" s="111">
        <v>-1126.2840064363627</v>
      </c>
      <c r="K23" s="111">
        <v>-478.5636560307903</v>
      </c>
      <c r="L23" s="111">
        <v>25.24830877754539</v>
      </c>
      <c r="M23" s="111">
        <v>413.88325021641685</v>
      </c>
      <c r="N23" s="111">
        <v>710.48249442872657</v>
      </c>
      <c r="O23" s="111">
        <v>933.69243977160113</v>
      </c>
      <c r="P23" s="111" t="e">
        <v>#VALUE!</v>
      </c>
      <c r="T23" s="107">
        <v>21</v>
      </c>
      <c r="U23" s="27">
        <f t="shared" si="0"/>
        <v>1.75</v>
      </c>
      <c r="V23" s="18">
        <f t="shared" si="1"/>
        <v>55188000</v>
      </c>
      <c r="W23" s="117">
        <f>POWER($V23-$V14,W$1)/FACT(W$1)</f>
        <v>23652000</v>
      </c>
      <c r="X23" s="117">
        <f>POWER($V23-$V14,X$1)/FACT(X$1)</f>
        <v>279708552000000</v>
      </c>
      <c r="Y23" s="117">
        <f>POWER($V23-$V14,Y$1)/FACT(Y$1)</f>
        <v>2.205222223968E+21</v>
      </c>
      <c r="Z23" s="117">
        <f>POWER($V23-$V14,Z$1)/FACT(Z$1)</f>
        <v>1.3039479010322784E+28</v>
      </c>
      <c r="AA23" s="117">
        <f>POWER($V23-$V14,AA$1)/FACT(AA$1)</f>
        <v>6.1681951510430897E+34</v>
      </c>
      <c r="AB23" s="117"/>
      <c r="AC23" s="119">
        <f t="array" ref="AC23:AJ23">AC14:AJ14+TRANSPOSE(G$12:G$19)*W23+TRANSPOSE(G$22:G$29)*X23+TRANSPOSE(G$32:G$39)*Y23+TRANSPOSE(G$42:G$49)*Z23+TRANSPOSE(G$52:G$59)*AA23</f>
        <v>2.0631035735203795E+19</v>
      </c>
      <c r="AD23" s="42">
        <v>2.0966426083972235E+21</v>
      </c>
      <c r="AE23" s="42">
        <v>7.8573058543342636E+20</v>
      </c>
      <c r="AF23" s="42">
        <v>1.2876728771494011E+20</v>
      </c>
      <c r="AG23" s="42">
        <v>5.6622224131327672E+19</v>
      </c>
      <c r="AH23" s="42">
        <v>3.1831234455904383E+19</v>
      </c>
      <c r="AI23" s="42">
        <v>5.681711328527174E+19</v>
      </c>
      <c r="AJ23" s="42">
        <v>1.5822947548381944E+22</v>
      </c>
      <c r="AL23" s="19"/>
    </row>
    <row r="24" spans="5:38">
      <c r="E24" s="110"/>
      <c r="F24" s="111">
        <v>-6011.767770198684</v>
      </c>
      <c r="G24" s="111">
        <v>-5713.1391583035256</v>
      </c>
      <c r="H24" s="111">
        <v>-5369.8988144849318</v>
      </c>
      <c r="I24" s="111">
        <v>-5001.0497889023054</v>
      </c>
      <c r="J24" s="111">
        <v>-4620.8986533856232</v>
      </c>
      <c r="K24" s="111">
        <v>-4240.0776050654431</v>
      </c>
      <c r="L24" s="111">
        <v>-3866.3481234443539</v>
      </c>
      <c r="M24" s="111">
        <v>-3505.2351084692882</v>
      </c>
      <c r="N24" s="111">
        <v>-3160.5284088439471</v>
      </c>
      <c r="O24" s="111">
        <v>-2834.6799145570917</v>
      </c>
      <c r="P24" s="111" t="e">
        <v>#VALUE!</v>
      </c>
      <c r="T24" s="107">
        <v>22</v>
      </c>
      <c r="U24" s="27">
        <f t="shared" si="0"/>
        <v>1.8333333333333333</v>
      </c>
      <c r="V24" s="18">
        <f t="shared" si="1"/>
        <v>57816000</v>
      </c>
      <c r="W24" s="117">
        <f>POWER($V24-$V14,W$1)/FACT(W$1)</f>
        <v>26280000</v>
      </c>
      <c r="X24" s="117">
        <f>POWER($V24-$V14,X$1)/FACT(X$1)</f>
        <v>345319200000000</v>
      </c>
      <c r="Y24" s="117">
        <f>POWER($V24-$V14,Y$1)/FACT(Y$1)</f>
        <v>3.0249961920000001E+21</v>
      </c>
      <c r="Z24" s="117">
        <f>POWER($V24-$V14,Z$1)/FACT(Z$1)</f>
        <v>1.9874224981439999E+28</v>
      </c>
      <c r="AA24" s="117">
        <f>POWER($V24-$V14,AA$1)/FACT(AA$1)</f>
        <v>1.0445892650244865E+35</v>
      </c>
      <c r="AB24" s="117"/>
      <c r="AC24" s="119">
        <f t="array" ref="AC24:AJ24">AC14:AJ14+TRANSPOSE(G$12:G$19)*W24+TRANSPOSE(G$22:G$29)*X24+TRANSPOSE(G$32:G$39)*Y24+TRANSPOSE(G$42:G$49)*Z24+TRANSPOSE(G$52:G$59)*AA24</f>
        <v>2.0897216670119018E+19</v>
      </c>
      <c r="AD24" s="42">
        <v>2.0924487665521428E+21</v>
      </c>
      <c r="AE24" s="42">
        <v>7.882669592511679E+20</v>
      </c>
      <c r="AF24" s="42">
        <v>1.281436821418051E+20</v>
      </c>
      <c r="AG24" s="42">
        <v>5.6827882427719123E+19</v>
      </c>
      <c r="AH24" s="42">
        <v>3.176858349097078E+19</v>
      </c>
      <c r="AI24" s="42">
        <v>5.5618528017993736E+19</v>
      </c>
      <c r="AJ24" s="42">
        <v>1.5777868801591663E+22</v>
      </c>
      <c r="AL24" s="19"/>
    </row>
    <row r="25" spans="5:38">
      <c r="E25" s="110"/>
      <c r="F25" s="111">
        <v>8883.9509199152271</v>
      </c>
      <c r="G25" s="111">
        <v>5932.4496276223344</v>
      </c>
      <c r="H25" s="111">
        <v>3893.7821613504898</v>
      </c>
      <c r="I25" s="111">
        <v>2491.2387655092371</v>
      </c>
      <c r="J25" s="111">
        <v>1531.7354962751995</v>
      </c>
      <c r="K25" s="111">
        <v>880.50669385813217</v>
      </c>
      <c r="L25" s="111">
        <v>443.47081893709475</v>
      </c>
      <c r="M25" s="111">
        <v>154.93962659284247</v>
      </c>
      <c r="N25" s="111">
        <v>-30.951170769274114</v>
      </c>
      <c r="O25" s="111">
        <v>-146.21877331814045</v>
      </c>
      <c r="P25" s="111" t="e">
        <v>#VALUE!</v>
      </c>
      <c r="T25" s="107">
        <v>23</v>
      </c>
      <c r="U25" s="27">
        <f t="shared" si="0"/>
        <v>1.9166666666666667</v>
      </c>
      <c r="V25" s="18">
        <f t="shared" si="1"/>
        <v>60444000</v>
      </c>
      <c r="W25" s="117">
        <f>POWER($V25-$V14,W$1)/FACT(W$1)</f>
        <v>28908000</v>
      </c>
      <c r="X25" s="117">
        <f>POWER($V25-$V14,X$1)/FACT(X$1)</f>
        <v>417836232000000</v>
      </c>
      <c r="Y25" s="117">
        <f>POWER($V25-$V14,Y$1)/FACT(Y$1)</f>
        <v>4.0262699315519999E+21</v>
      </c>
      <c r="Z25" s="117">
        <f>POWER($V25-$V14,Z$1)/FACT(Z$1)</f>
        <v>2.9097852795326301E+28</v>
      </c>
      <c r="AA25" s="117">
        <f>POWER($V25-$V14,AA$1)/FACT(AA$1)</f>
        <v>1.6823214572145855E+35</v>
      </c>
      <c r="AB25" s="117"/>
      <c r="AC25" s="119">
        <f t="array" ref="AC25:AJ25">AC14:AJ14+TRANSPOSE(G$12:G$19)*W25+TRANSPOSE(G$22:G$29)*X25+TRANSPOSE(G$32:G$39)*Y25+TRANSPOSE(G$42:G$49)*Z25+TRANSPOSE(G$52:G$59)*AA25</f>
        <v>2.1152786423541907E+19</v>
      </c>
      <c r="AD25" s="42">
        <v>2.0882327855923336E+21</v>
      </c>
      <c r="AE25" s="42">
        <v>7.9076583532709544E+20</v>
      </c>
      <c r="AF25" s="42">
        <v>1.2754895401983307E+20</v>
      </c>
      <c r="AG25" s="42">
        <v>5.7029537096738398E+19</v>
      </c>
      <c r="AH25" s="42">
        <v>3.1704637406198501E+19</v>
      </c>
      <c r="AI25" s="42">
        <v>5.4445319425425826E+19</v>
      </c>
      <c r="AJ25" s="42">
        <v>1.5732918481836627E+22</v>
      </c>
      <c r="AL25" s="19"/>
    </row>
    <row r="26" spans="5:38">
      <c r="E26" s="110"/>
      <c r="F26" s="111">
        <v>-1251.2194908270114</v>
      </c>
      <c r="G26" s="111">
        <v>-825.72738218257496</v>
      </c>
      <c r="H26" s="111">
        <v>-540.0769625459659</v>
      </c>
      <c r="I26" s="111">
        <v>-351.30780337195313</v>
      </c>
      <c r="J26" s="111">
        <v>-229.29049854165137</v>
      </c>
      <c r="K26" s="111">
        <v>-152.9111461922964</v>
      </c>
      <c r="L26" s="111">
        <v>-107.39536804943957</v>
      </c>
      <c r="M26" s="111">
        <v>-82.429559835139969</v>
      </c>
      <c r="N26" s="111">
        <v>-70.840379384514549</v>
      </c>
      <c r="O26" s="111">
        <v>-67.665509386112504</v>
      </c>
      <c r="P26" s="111" t="e">
        <v>#VALUE!</v>
      </c>
      <c r="T26" s="107">
        <v>24</v>
      </c>
      <c r="U26" s="27">
        <f t="shared" si="0"/>
        <v>2</v>
      </c>
      <c r="V26" s="18">
        <f t="shared" si="1"/>
        <v>63072000</v>
      </c>
      <c r="W26" s="117">
        <f>POWER($V26-$V14,W$1)/FACT(W$1)</f>
        <v>31536000</v>
      </c>
      <c r="X26" s="117">
        <f>POWER($V26-$V14,X$1)/FACT(X$1)</f>
        <v>497259648000000</v>
      </c>
      <c r="Y26" s="117">
        <f>POWER($V26-$V14,Y$1)/FACT(Y$1)</f>
        <v>5.227193419776E+21</v>
      </c>
      <c r="Z26" s="117">
        <f>POWER($V26-$V14,Z$1)/FACT(Z$1)</f>
        <v>4.121119292151398E+28</v>
      </c>
      <c r="AA26" s="117">
        <f>POWER($V26-$V14,AA$1)/FACT(AA$1)</f>
        <v>2.5992723599457299E+35</v>
      </c>
      <c r="AB26" s="117"/>
      <c r="AC26" s="119">
        <f t="array" ref="AC26:AJ26">AC14:AJ14+TRANSPOSE(G$12:G$19)*W26+TRANSPOSE(G$22:G$29)*X26+TRANSPOSE(G$32:G$39)*Y26+TRANSPOSE(G$42:G$49)*Z26+TRANSPOSE(G$52:G$59)*AA26</f>
        <v>2.1398023718462448E+19</v>
      </c>
      <c r="AD26" s="42">
        <v>2.0839953666063511E+21</v>
      </c>
      <c r="AE26" s="42">
        <v>7.9322741789024675E+20</v>
      </c>
      <c r="AF26" s="42">
        <v>1.2698208159615767E+20</v>
      </c>
      <c r="AG26" s="42">
        <v>5.7227329387158503E+19</v>
      </c>
      <c r="AH26" s="42">
        <v>3.1639535210249282E+19</v>
      </c>
      <c r="AI26" s="42">
        <v>5.3296948635930984E+19</v>
      </c>
      <c r="AJ26" s="42">
        <v>1.568809622323257E+22</v>
      </c>
      <c r="AL26" s="19"/>
    </row>
    <row r="27" spans="5:38">
      <c r="E27" s="110"/>
      <c r="F27" s="111">
        <v>-948.70038995649941</v>
      </c>
      <c r="G27" s="111">
        <v>-446.37553883850541</v>
      </c>
      <c r="H27" s="111">
        <v>-149.39841307860036</v>
      </c>
      <c r="I27" s="111">
        <v>15.711011265310532</v>
      </c>
      <c r="J27" s="111">
        <v>97.94262156745468</v>
      </c>
      <c r="K27" s="111">
        <v>129.64583363900451</v>
      </c>
      <c r="L27" s="111">
        <v>131.91785931915697</v>
      </c>
      <c r="M27" s="111">
        <v>118.29280408614348</v>
      </c>
      <c r="N27" s="111">
        <v>97.259470932873853</v>
      </c>
      <c r="O27" s="111">
        <v>73.973148458962513</v>
      </c>
      <c r="P27" s="111" t="e">
        <v>#VALUE!</v>
      </c>
      <c r="T27" s="107">
        <v>25</v>
      </c>
      <c r="U27" s="27">
        <f t="shared" si="0"/>
        <v>2.0833333333333335</v>
      </c>
      <c r="V27" s="18">
        <f t="shared" si="1"/>
        <v>65700000</v>
      </c>
      <c r="W27" s="117">
        <f>POWER($V27-$V26,W$1)/FACT(W$1)</f>
        <v>2628000</v>
      </c>
      <c r="X27" s="117">
        <f>POWER($V27-$V26,X$1)/FACT(X$1)</f>
        <v>3453192000000</v>
      </c>
      <c r="Y27" s="117">
        <f>POWER($V27-$V26,Y$1)/FACT(Y$1)</f>
        <v>3.024996192E+18</v>
      </c>
      <c r="Z27" s="117">
        <f>POWER($V27-$V26,Z$1)/FACT(Z$1)</f>
        <v>1.9874224981439998E+24</v>
      </c>
      <c r="AA27" s="117">
        <f>POWER($V27-$V26,AA$1)/FACT(AA$1)</f>
        <v>1.0445892650244864E+30</v>
      </c>
      <c r="AB27" s="117"/>
      <c r="AC27" s="119">
        <f t="array" ref="AC27:AJ27">AC26:AJ26+TRANSPOSE(H$12:H$19)*W27+TRANSPOSE(H$22:H$29)*X27+TRANSPOSE(H$32:H$39)*Y27+TRANSPOSE(H$42:H$49)*Z27+TRANSPOSE(H$52:H$59)*AA27</f>
        <v>2.1633204611790545E+19</v>
      </c>
      <c r="AD27" s="42">
        <v>2.0797371823802873E+21</v>
      </c>
      <c r="AE27" s="42">
        <v>7.9565191734551446E+20</v>
      </c>
      <c r="AF27" s="42">
        <v>1.2644217065221063E+20</v>
      </c>
      <c r="AG27" s="42">
        <v>5.7421381101686874E+19</v>
      </c>
      <c r="AH27" s="42">
        <v>3.1573380656958255E+19</v>
      </c>
      <c r="AI27" s="42">
        <v>5.2172904528232202E+19</v>
      </c>
      <c r="AJ27" s="42">
        <v>1.5643401660959549E+22</v>
      </c>
      <c r="AL27" s="19"/>
    </row>
    <row r="28" spans="5:38">
      <c r="E28" s="110"/>
      <c r="F28" s="111">
        <v>5885.7268442992718</v>
      </c>
      <c r="G28" s="111">
        <v>4552.0457839000765</v>
      </c>
      <c r="H28" s="111">
        <v>3520.5797425143719</v>
      </c>
      <c r="I28" s="111">
        <v>2722.8468118452133</v>
      </c>
      <c r="J28" s="111">
        <v>2105.8828615364814</v>
      </c>
      <c r="K28" s="111">
        <v>1628.7253020546254</v>
      </c>
      <c r="L28" s="111">
        <v>1259.6936012413696</v>
      </c>
      <c r="M28" s="111">
        <v>974.28601565076212</v>
      </c>
      <c r="N28" s="111">
        <v>753.55290716696027</v>
      </c>
      <c r="O28" s="111">
        <v>582.83865463093491</v>
      </c>
      <c r="P28" s="111" t="e">
        <v>#VALUE!</v>
      </c>
      <c r="T28" s="107">
        <v>26</v>
      </c>
      <c r="U28" s="27">
        <f t="shared" si="0"/>
        <v>2.1666666666666665</v>
      </c>
      <c r="V28" s="18">
        <f t="shared" si="1"/>
        <v>68328000</v>
      </c>
      <c r="W28" s="117">
        <f>POWER($V28-$V26,W$1)/FACT(W$1)</f>
        <v>5256000</v>
      </c>
      <c r="X28" s="117">
        <f>POWER($V28-$V26,X$1)/FACT(X$1)</f>
        <v>13812768000000</v>
      </c>
      <c r="Y28" s="117">
        <f>POWER($V28-$V26,Y$1)/FACT(Y$1)</f>
        <v>2.4199969536E+19</v>
      </c>
      <c r="Z28" s="117">
        <f>POWER($V28-$V26,Z$1)/FACT(Z$1)</f>
        <v>3.1798759970303997E+25</v>
      </c>
      <c r="AA28" s="117">
        <f>POWER($V28-$V26,AA$1)/FACT(AA$1)</f>
        <v>3.3426856480783565E+31</v>
      </c>
      <c r="AB28" s="117"/>
      <c r="AC28" s="119">
        <f t="array" ref="AC28:AJ28">AC26:AJ26+TRANSPOSE(H$12:H$19)*W28+TRANSPOSE(H$22:H$29)*X28+TRANSPOSE(H$32:H$39)*Y28+TRANSPOSE(H$42:H$49)*Z28+TRANSPOSE(H$52:H$59)*AA28</f>
        <v>2.1858594623160435E+19</v>
      </c>
      <c r="AD28" s="42">
        <v>2.0754589160807643E+21</v>
      </c>
      <c r="AE28" s="42">
        <v>7.9803953739769446E+20</v>
      </c>
      <c r="AF28" s="42">
        <v>1.2592820074582219E+20</v>
      </c>
      <c r="AG28" s="42">
        <v>5.7611833292816613E+19</v>
      </c>
      <c r="AH28" s="42">
        <v>3.150631800119543E+19</v>
      </c>
      <c r="AI28" s="42">
        <v>5.107266070793642E+19</v>
      </c>
      <c r="AJ28" s="42">
        <v>1.5598834431201976E+22</v>
      </c>
      <c r="AL28" s="19"/>
    </row>
    <row r="29" spans="5:38">
      <c r="E29" s="110"/>
      <c r="F29" s="111">
        <v>19799.972236283997</v>
      </c>
      <c r="G29" s="111">
        <v>19133.567820624707</v>
      </c>
      <c r="H29" s="111">
        <v>18489.593044099591</v>
      </c>
      <c r="I29" s="111">
        <v>17867.292785577949</v>
      </c>
      <c r="J29" s="111">
        <v>17265.937404501612</v>
      </c>
      <c r="K29" s="111">
        <v>16684.82186366741</v>
      </c>
      <c r="L29" s="111">
        <v>16123.264887364461</v>
      </c>
      <c r="M29" s="111">
        <v>15580.608151936929</v>
      </c>
      <c r="N29" s="111">
        <v>15056.215506463675</v>
      </c>
      <c r="O29" s="111">
        <v>14549.472221688307</v>
      </c>
      <c r="P29" s="111" t="e">
        <v>#VALUE!</v>
      </c>
      <c r="T29" s="107">
        <v>27</v>
      </c>
      <c r="U29" s="27">
        <f t="shared" si="0"/>
        <v>2.25</v>
      </c>
      <c r="V29" s="18">
        <f t="shared" si="1"/>
        <v>70956000</v>
      </c>
      <c r="W29" s="117">
        <f>POWER($V29-$V26,W$1)/FACT(W$1)</f>
        <v>7884000</v>
      </c>
      <c r="X29" s="117">
        <f>POWER($V29-$V26,X$1)/FACT(X$1)</f>
        <v>31078728000000</v>
      </c>
      <c r="Y29" s="117">
        <f>POWER($V29-$V26,Y$1)/FACT(Y$1)</f>
        <v>8.1674897184E+19</v>
      </c>
      <c r="Z29" s="117">
        <f>POWER($V29-$V26,Z$1)/FACT(Z$1)</f>
        <v>1.6098122234966398E+26</v>
      </c>
      <c r="AA29" s="117">
        <f>POWER($V29-$V26,AA$1)/FACT(AA$1)</f>
        <v>2.5383519140095018E+32</v>
      </c>
      <c r="AB29" s="117"/>
      <c r="AC29" s="119">
        <f t="array" ref="AC29:AJ29">AC26:AJ26+TRANSPOSE(H$12:H$19)*W29+TRANSPOSE(H$22:H$29)*X29+TRANSPOSE(H$32:H$39)*Y29+TRANSPOSE(H$42:H$49)*Z29+TRANSPOSE(H$52:H$59)*AA29</f>
        <v>2.2074455981244969E+19</v>
      </c>
      <c r="AD29" s="42">
        <v>2.0711612276372283E+21</v>
      </c>
      <c r="AE29" s="42">
        <v>8.0039048627031874E+20</v>
      </c>
      <c r="AF29" s="42">
        <v>1.2543924771577691E+20</v>
      </c>
      <c r="AG29" s="42">
        <v>5.7798812344617558E+19</v>
      </c>
      <c r="AH29" s="42">
        <v>3.1438465469479817E+19</v>
      </c>
      <c r="AI29" s="42">
        <v>4.999571296762241E+19</v>
      </c>
      <c r="AJ29" s="42">
        <v>1.5554394171195582E+22</v>
      </c>
      <c r="AL29" s="19"/>
    </row>
    <row r="30" spans="5:38">
      <c r="E30" s="110"/>
      <c r="F30" s="110"/>
      <c r="T30" s="107">
        <v>28</v>
      </c>
      <c r="U30" s="27">
        <f t="shared" si="0"/>
        <v>2.3333333333333335</v>
      </c>
      <c r="V30" s="18">
        <f t="shared" si="1"/>
        <v>73584000</v>
      </c>
      <c r="W30" s="117">
        <f>POWER($V30-$V26,W$1)/FACT(W$1)</f>
        <v>10512000</v>
      </c>
      <c r="X30" s="117">
        <f>POWER($V30-$V26,X$1)/FACT(X$1)</f>
        <v>55251072000000</v>
      </c>
      <c r="Y30" s="117">
        <f>POWER($V30-$V26,Y$1)/FACT(Y$1)</f>
        <v>1.93599756288E+20</v>
      </c>
      <c r="Z30" s="117">
        <f>POWER($V30-$V26,Z$1)/FACT(Z$1)</f>
        <v>5.0878015952486396E+26</v>
      </c>
      <c r="AA30" s="117">
        <f>POWER($V30-$V26,AA$1)/FACT(AA$1)</f>
        <v>1.0696594073850741E+33</v>
      </c>
      <c r="AB30" s="117"/>
      <c r="AC30" s="119">
        <f t="array" ref="AC30:AJ30">AC26:AJ26+TRANSPOSE(H$12:H$19)*W30+TRANSPOSE(H$22:H$29)*X30+TRANSPOSE(H$32:H$39)*Y30+TRANSPOSE(H$42:H$49)*Z30+TRANSPOSE(H$52:H$59)*AA30</f>
        <v>2.2281045508420997E+19</v>
      </c>
      <c r="AD30" s="42">
        <v>2.0668447641179343E+21</v>
      </c>
      <c r="AE30" s="42">
        <v>8.0270497326566631E+20</v>
      </c>
      <c r="AF30" s="42">
        <v>1.2497441576297939E+20</v>
      </c>
      <c r="AG30" s="42">
        <v>5.7982440328300675E+19</v>
      </c>
      <c r="AH30" s="42">
        <v>3.1369935530901938E+19</v>
      </c>
      <c r="AI30" s="42">
        <v>4.8941567770968441E+19</v>
      </c>
      <c r="AJ30" s="42">
        <v>1.5510080519209591E+22</v>
      </c>
      <c r="AL30" s="19"/>
    </row>
    <row r="31" spans="5:38" ht="15">
      <c r="E31" s="110"/>
      <c r="F31" s="110"/>
      <c r="Q31" s="108"/>
      <c r="T31" s="107">
        <v>29</v>
      </c>
      <c r="U31" s="27">
        <f t="shared" si="0"/>
        <v>2.4166666666666665</v>
      </c>
      <c r="V31" s="18">
        <f t="shared" si="1"/>
        <v>76212000</v>
      </c>
      <c r="W31" s="117">
        <f>POWER($V31-$V26,W$1)/FACT(W$1)</f>
        <v>13140000</v>
      </c>
      <c r="X31" s="117">
        <f>POWER($V31-$V26,X$1)/FACT(X$1)</f>
        <v>86329800000000</v>
      </c>
      <c r="Y31" s="117">
        <f>POWER($V31-$V26,Y$1)/FACT(Y$1)</f>
        <v>3.7812452400000002E+20</v>
      </c>
      <c r="Z31" s="117">
        <f>POWER($V31-$V26,Z$1)/FACT(Z$1)</f>
        <v>1.2421390613399999E+27</v>
      </c>
      <c r="AA31" s="117">
        <f>POWER($V31-$V26,AA$1)/FACT(AA$1)</f>
        <v>3.2643414532015203E+33</v>
      </c>
      <c r="AB31" s="117"/>
      <c r="AC31" s="119">
        <f t="array" ref="AC31:AJ31">AC26:AJ26+TRANSPOSE(H$12:H$19)*W31+TRANSPOSE(H$22:H$29)*X31+TRANSPOSE(H$32:H$39)*Y31+TRANSPOSE(H$42:H$49)*Z31+TRANSPOSE(H$52:H$59)*AA31</f>
        <v>2.2478614697759318E+19</v>
      </c>
      <c r="AD31" s="42">
        <v>2.0625101599765268E+21</v>
      </c>
      <c r="AE31" s="42">
        <v>8.0498320869934144E+20</v>
      </c>
      <c r="AF31" s="42">
        <v>1.2453283654153259E+20</v>
      </c>
      <c r="AG31" s="42">
        <v>5.8162835143782515E+19</v>
      </c>
      <c r="AH31" s="42">
        <v>3.1300835132535149E+19</v>
      </c>
      <c r="AI31" s="42">
        <v>4.7909742014025605E+19</v>
      </c>
      <c r="AJ31" s="42">
        <v>1.5465893114543767E+22</v>
      </c>
      <c r="AL31" s="19"/>
    </row>
    <row r="32" spans="5:38" ht="15">
      <c r="E32" s="108" t="s">
        <v>151</v>
      </c>
      <c r="F32" s="111">
        <f t="array" ref="F32:F39">MMULT($F$2:$M$9,F22:F29)</f>
        <v>2.3390667202546736E-5</v>
      </c>
      <c r="G32" s="111">
        <f t="array" ref="G32:G39">MMULT($F$2:$M$9,G22:G29)</f>
        <v>1.8877521288208592E-5</v>
      </c>
      <c r="H32" s="111">
        <f t="array" ref="H32:H39">MMULT($F$2:$M$9,H22:H29)</f>
        <v>1.4902104108547664E-5</v>
      </c>
      <c r="I32" s="111">
        <f t="array" ref="I32:I39">MMULT($F$2:$M$9,I22:I29)</f>
        <v>1.1531175730362121E-5</v>
      </c>
      <c r="J32" s="111">
        <f t="array" ref="J32:J39">MMULT($F$2:$M$9,J22:J29)</f>
        <v>8.7529005251204462E-6</v>
      </c>
      <c r="K32" s="111">
        <f t="array" ref="K32:K39">MMULT($F$2:$M$9,K22:K29)</f>
        <v>6.514749134559335E-6</v>
      </c>
      <c r="L32" s="111">
        <f t="array" ref="L32:L39">MMULT($F$2:$M$9,L22:L29)</f>
        <v>4.7466217135508347E-6</v>
      </c>
      <c r="M32" s="111">
        <f t="array" ref="M32:M39">MMULT($F$2:$M$9,M22:M29)</f>
        <v>3.374426501936725E-6</v>
      </c>
      <c r="N32" s="111">
        <f t="array" ref="N32:N39">MMULT($F$2:$M$9,N22:N29)</f>
        <v>2.3275900187707987E-6</v>
      </c>
      <c r="O32" s="111">
        <f t="array" ref="O32:O39">MMULT($F$2:$M$9,O22:O29)</f>
        <v>1.5427889505055955E-6</v>
      </c>
      <c r="P32" s="111" t="e">
        <f t="array" ref="P32:P39">MMULT($F$2:$M$9,P22:P29)</f>
        <v>#VALUE!</v>
      </c>
      <c r="T32" s="107">
        <v>30</v>
      </c>
      <c r="U32" s="27">
        <f t="shared" si="0"/>
        <v>2.5</v>
      </c>
      <c r="V32" s="18">
        <f t="shared" si="1"/>
        <v>78840000</v>
      </c>
      <c r="W32" s="117">
        <f>POWER($V32-$V26,W$1)/FACT(W$1)</f>
        <v>15768000</v>
      </c>
      <c r="X32" s="117">
        <f>POWER($V32-$V26,X$1)/FACT(X$1)</f>
        <v>124314912000000</v>
      </c>
      <c r="Y32" s="117">
        <f>POWER($V32-$V26,Y$1)/FACT(Y$1)</f>
        <v>6.53399177472E+20</v>
      </c>
      <c r="Z32" s="117">
        <f>POWER($V32-$V26,Z$1)/FACT(Z$1)</f>
        <v>2.5756995575946237E+27</v>
      </c>
      <c r="AA32" s="117">
        <f>POWER($V32-$V26,AA$1)/FACT(AA$1)</f>
        <v>8.1227261248304059E+33</v>
      </c>
      <c r="AB32" s="117"/>
      <c r="AC32" s="119">
        <f t="array" ref="AC32:AJ32">AC26:AJ26+TRANSPOSE(H$12:H$19)*W32+TRANSPOSE(H$22:H$29)*X32+TRANSPOSE(H$32:H$39)*Y32+TRANSPOSE(H$42:H$49)*Z32+TRANSPOSE(H$52:H$59)*AA32</f>
        <v>2.2667409790014497E+19</v>
      </c>
      <c r="AD32" s="42">
        <v>2.0581580372986212E+21</v>
      </c>
      <c r="AE32" s="42">
        <v>8.0722540383485729E+20</v>
      </c>
      <c r="AF32" s="42">
        <v>1.2411366824981606E+20</v>
      </c>
      <c r="AG32" s="42">
        <v>5.8340110661249786E+19</v>
      </c>
      <c r="AH32" s="42">
        <v>3.1231265934846951E+19</v>
      </c>
      <c r="AI32" s="42">
        <v>4.6899762786491023E+19</v>
      </c>
      <c r="AJ32" s="42">
        <v>1.5421831597525425E+22</v>
      </c>
      <c r="AL32" s="19"/>
    </row>
    <row r="33" spans="5:38">
      <c r="E33" s="110"/>
      <c r="F33" s="111">
        <v>5.9686467588467726E-5</v>
      </c>
      <c r="G33" s="111">
        <v>4.7332240104020799E-5</v>
      </c>
      <c r="H33" s="111">
        <v>3.7446479528792915E-5</v>
      </c>
      <c r="I33" s="111">
        <v>2.9526070810350539E-5</v>
      </c>
      <c r="J33" s="111">
        <v>2.3177134611977034E-5</v>
      </c>
      <c r="K33" s="111">
        <v>1.8088766474240756E-5</v>
      </c>
      <c r="L33" s="111">
        <v>1.4013858654607123E-5</v>
      </c>
      <c r="M33" s="111">
        <v>1.075490687114626E-5</v>
      </c>
      <c r="N33" s="111">
        <v>8.153361527386339E-6</v>
      </c>
      <c r="O33" s="111">
        <v>6.081529199472856E-6</v>
      </c>
      <c r="P33" s="111" t="e">
        <v>#VALUE!</v>
      </c>
      <c r="T33" s="107">
        <v>31</v>
      </c>
      <c r="U33" s="27">
        <f t="shared" si="0"/>
        <v>2.5833333333333335</v>
      </c>
      <c r="V33" s="18">
        <f t="shared" si="1"/>
        <v>81468000</v>
      </c>
      <c r="W33" s="117">
        <f>POWER($V33-$V26,W$1)/FACT(W$1)</f>
        <v>18396000</v>
      </c>
      <c r="X33" s="117">
        <f>POWER($V33-$V26,X$1)/FACT(X$1)</f>
        <v>169206408000000</v>
      </c>
      <c r="Y33" s="117">
        <f>POWER($V33-$V26,Y$1)/FACT(Y$1)</f>
        <v>1.037573693856E+21</v>
      </c>
      <c r="Z33" s="117">
        <f>POWER($V33-$V26,Z$1)/FACT(Z$1)</f>
        <v>4.7718014180437445E+27</v>
      </c>
      <c r="AA33" s="117">
        <f>POWER($V33-$V26,AA$1)/FACT(AA$1)</f>
        <v>1.7556411777266544E+34</v>
      </c>
      <c r="AB33" s="117"/>
      <c r="AC33" s="119">
        <f t="array" ref="AC33:AJ33">AC26:AJ26+TRANSPOSE(H$12:H$19)*W33+TRANSPOSE(H$22:H$29)*X33+TRANSPOSE(H$32:H$39)*Y33+TRANSPOSE(H$42:H$49)*Z33+TRANSPOSE(H$52:H$59)*AA33</f>
        <v>2.2847671850614768E+19</v>
      </c>
      <c r="AD33" s="42">
        <v>2.053789006048385E+21</v>
      </c>
      <c r="AE33" s="42">
        <v>8.0943177081821633E+20</v>
      </c>
      <c r="AF33" s="42">
        <v>1.2371609472156461E+20</v>
      </c>
      <c r="AG33" s="42">
        <v>5.8514376862723817E+19</v>
      </c>
      <c r="AH33" s="42">
        <v>3.1161324547110334E+19</v>
      </c>
      <c r="AI33" s="42">
        <v>4.5911167132981182E+19</v>
      </c>
      <c r="AJ33" s="42">
        <v>1.5377895609506487E+22</v>
      </c>
      <c r="AL33" s="19"/>
    </row>
    <row r="34" spans="5:38">
      <c r="E34" s="110"/>
      <c r="F34" s="111">
        <v>8.5161503990131299E-6</v>
      </c>
      <c r="G34" s="111">
        <v>1.0291523929913984E-5</v>
      </c>
      <c r="H34" s="111">
        <v>1.1376925083767863E-5</v>
      </c>
      <c r="I34" s="111">
        <v>1.1940279515171175E-5</v>
      </c>
      <c r="J34" s="111">
        <v>1.2112998562391078E-5</v>
      </c>
      <c r="K34" s="111">
        <v>1.1997843324005532E-5</v>
      </c>
      <c r="L34" s="111">
        <v>1.1675001609601337E-5</v>
      </c>
      <c r="M34" s="111">
        <v>1.1206824524535159E-5</v>
      </c>
      <c r="N34" s="111">
        <v>1.0641545555783649E-5</v>
      </c>
      <c r="O34" s="111">
        <v>1.0016218362781023E-5</v>
      </c>
      <c r="P34" s="111" t="e">
        <v>#VALUE!</v>
      </c>
      <c r="T34" s="107">
        <v>32</v>
      </c>
      <c r="U34" s="27">
        <f t="shared" si="0"/>
        <v>2.6666666666666665</v>
      </c>
      <c r="V34" s="18">
        <f t="shared" si="1"/>
        <v>84096000</v>
      </c>
      <c r="W34" s="117">
        <f>POWER($V34-$V26,W$1)/FACT(W$1)</f>
        <v>21024000</v>
      </c>
      <c r="X34" s="117">
        <f>POWER($V34-$V26,X$1)/FACT(X$1)</f>
        <v>221004288000000</v>
      </c>
      <c r="Y34" s="117">
        <f>POWER($V34-$V26,Y$1)/FACT(Y$1)</f>
        <v>1.548798050304E+21</v>
      </c>
      <c r="Z34" s="117">
        <f>POWER($V34-$V26,Z$1)/FACT(Z$1)</f>
        <v>8.1404825523978233E+27</v>
      </c>
      <c r="AA34" s="117">
        <f>POWER($V34-$V26,AA$1)/FACT(AA$1)</f>
        <v>3.422910103632237E+34</v>
      </c>
      <c r="AB34" s="117"/>
      <c r="AC34" s="119">
        <f t="array" ref="AC34:AJ34">AC26:AJ26+TRANSPOSE(H$12:H$19)*W34+TRANSPOSE(H$22:H$29)*X34+TRANSPOSE(H$32:H$39)*Y34+TRANSPOSE(H$42:H$49)*Z34+TRANSPOSE(H$52:H$59)*AA34</f>
        <v>2.3019636846651912E+19</v>
      </c>
      <c r="AD34" s="42">
        <v>2.049403664315118E+21</v>
      </c>
      <c r="AE34" s="42">
        <v>8.1160252261248899E+20</v>
      </c>
      <c r="AF34" s="42">
        <v>1.2333932451694648E+20</v>
      </c>
      <c r="AG34" s="42">
        <v>5.868573998362511E+19</v>
      </c>
      <c r="AH34" s="42">
        <v>3.1091102762815099E+19</v>
      </c>
      <c r="AI34" s="42">
        <v>4.494350181430512E+19</v>
      </c>
      <c r="AJ34" s="42">
        <v>1.5334084792860505E+22</v>
      </c>
      <c r="AL34" s="19"/>
    </row>
    <row r="35" spans="5:38">
      <c r="E35" s="110"/>
      <c r="F35" s="111">
        <v>-1.1186625694444104E-4</v>
      </c>
      <c r="G35" s="111">
        <v>-7.7383782864004364E-5</v>
      </c>
      <c r="H35" s="111">
        <v>-5.3349654386407529E-5</v>
      </c>
      <c r="I35" s="111">
        <v>-3.6605290812884664E-5</v>
      </c>
      <c r="J35" s="111">
        <v>-2.4948334381030425E-5</v>
      </c>
      <c r="K35" s="111">
        <v>-1.68426398223487E-5</v>
      </c>
      <c r="L35" s="111">
        <v>-1.1216340924279119E-5</v>
      </c>
      <c r="M35" s="111">
        <v>-7.3212219174519286E-6</v>
      </c>
      <c r="N35" s="111">
        <v>-4.6347630335506266E-6</v>
      </c>
      <c r="O35" s="111">
        <v>-2.7918947425518641E-6</v>
      </c>
      <c r="P35" s="111" t="e">
        <v>#VALUE!</v>
      </c>
      <c r="T35" s="107">
        <v>33</v>
      </c>
      <c r="U35" s="27">
        <f t="shared" si="0"/>
        <v>2.75</v>
      </c>
      <c r="V35" s="18">
        <f t="shared" si="1"/>
        <v>86724000</v>
      </c>
      <c r="W35" s="117">
        <f>POWER($V35-$V26,W$1)/FACT(W$1)</f>
        <v>23652000</v>
      </c>
      <c r="X35" s="117">
        <f>POWER($V35-$V26,X$1)/FACT(X$1)</f>
        <v>279708552000000</v>
      </c>
      <c r="Y35" s="117">
        <f>POWER($V35-$V26,Y$1)/FACT(Y$1)</f>
        <v>2.205222223968E+21</v>
      </c>
      <c r="Z35" s="117">
        <f>POWER($V35-$V26,Z$1)/FACT(Z$1)</f>
        <v>1.3039479010322784E+28</v>
      </c>
      <c r="AA35" s="117">
        <f>POWER($V35-$V26,AA$1)/FACT(AA$1)</f>
        <v>6.1681951510430897E+34</v>
      </c>
      <c r="AB35" s="117"/>
      <c r="AC35" s="119">
        <f t="array" ref="AC35:AJ35">AC26:AJ26+TRANSPOSE(H$12:H$19)*W35+TRANSPOSE(H$22:H$29)*X35+TRANSPOSE(H$32:H$39)*Y35+TRANSPOSE(H$42:H$49)*Z35+TRANSPOSE(H$52:H$59)*AA35</f>
        <v>2.3183535723871146E+19</v>
      </c>
      <c r="AD35" s="42">
        <v>2.0450025985598313E+21</v>
      </c>
      <c r="AE35" s="42">
        <v>8.1373787293239843E+20</v>
      </c>
      <c r="AF35" s="42">
        <v>1.2298259001364175E+20</v>
      </c>
      <c r="AG35" s="42">
        <v>5.885430265433781E+19</v>
      </c>
      <c r="AH35" s="42">
        <v>3.1020687795079184E+19</v>
      </c>
      <c r="AI35" s="42">
        <v>4.3996323068737815E+19</v>
      </c>
      <c r="AJ35" s="42">
        <v>1.5290398790979701E+22</v>
      </c>
      <c r="AL35" s="19"/>
    </row>
    <row r="36" spans="5:38">
      <c r="E36" s="110"/>
      <c r="F36" s="111">
        <v>1.62973858486114E-5</v>
      </c>
      <c r="G36" s="111">
        <v>1.100641608396823E-5</v>
      </c>
      <c r="H36" s="111">
        <v>7.3334029554370256E-6</v>
      </c>
      <c r="I36" s="111">
        <v>4.7953504931415881E-6</v>
      </c>
      <c r="J36" s="111">
        <v>3.0530211736229803E-6</v>
      </c>
      <c r="K36" s="111">
        <v>1.8679538328523389E-6</v>
      </c>
      <c r="L36" s="111">
        <v>1.072404374005798E-6</v>
      </c>
      <c r="M36" s="111">
        <v>5.4830664970580268E-7</v>
      </c>
      <c r="N36" s="111">
        <v>2.1253303104219785E-7</v>
      </c>
      <c r="O36" s="111">
        <v>6.5575660518199129E-9</v>
      </c>
      <c r="P36" s="111" t="e">
        <v>#VALUE!</v>
      </c>
      <c r="T36" s="107">
        <v>34</v>
      </c>
      <c r="U36" s="27">
        <f t="shared" si="0"/>
        <v>2.8333333333333335</v>
      </c>
      <c r="V36" s="18">
        <f t="shared" si="1"/>
        <v>89352000</v>
      </c>
      <c r="W36" s="117">
        <f>POWER($V36-$V26,W$1)/FACT(W$1)</f>
        <v>26280000</v>
      </c>
      <c r="X36" s="117">
        <f>POWER($V36-$V26,X$1)/FACT(X$1)</f>
        <v>345319200000000</v>
      </c>
      <c r="Y36" s="117">
        <f>POWER($V36-$V26,Y$1)/FACT(Y$1)</f>
        <v>3.0249961920000001E+21</v>
      </c>
      <c r="Z36" s="117">
        <f>POWER($V36-$V26,Z$1)/FACT(Z$1)</f>
        <v>1.9874224981439999E+28</v>
      </c>
      <c r="AA36" s="117">
        <f>POWER($V36-$V26,AA$1)/FACT(AA$1)</f>
        <v>1.0445892650244865E+35</v>
      </c>
      <c r="AB36" s="117"/>
      <c r="AC36" s="119">
        <f t="array" ref="AC36:AJ36">AC26:AJ26+TRANSPOSE(H$12:H$19)*W36+TRANSPOSE(H$22:H$29)*X36+TRANSPOSE(H$32:H$39)*Y36+TRANSPOSE(H$42:H$49)*Z36+TRANSPOSE(H$52:H$59)*AA36</f>
        <v>2.333959448366098E+19</v>
      </c>
      <c r="AD36" s="42">
        <v>2.0405863838618322E+21</v>
      </c>
      <c r="AE36" s="42">
        <v>8.1583803617889826E+20</v>
      </c>
      <c r="AF36" s="42">
        <v>1.2264514649792084E+20</v>
      </c>
      <c r="AG36" s="42">
        <v>5.9020164041774268E+19</v>
      </c>
      <c r="AH36" s="42">
        <v>3.0950162512059998E+19</v>
      </c>
      <c r="AI36" s="42">
        <v>4.3069196373293335E+19</v>
      </c>
      <c r="AJ36" s="42">
        <v>1.5246837248271994E+22</v>
      </c>
      <c r="AL36" s="19"/>
    </row>
    <row r="37" spans="5:38">
      <c r="E37" s="110"/>
      <c r="F37" s="111">
        <v>2.0222293859794195E-5</v>
      </c>
      <c r="G37" s="111">
        <v>1.2203697540450678E-5</v>
      </c>
      <c r="H37" s="111">
        <v>7.0123852232923791E-6</v>
      </c>
      <c r="I37" s="111">
        <v>3.713276167199498E-6</v>
      </c>
      <c r="J37" s="111">
        <v>1.6697490123688456E-6</v>
      </c>
      <c r="K37" s="111">
        <v>4.5027469903466977E-7</v>
      </c>
      <c r="L37" s="111">
        <v>-2.3607613762496282E-7</v>
      </c>
      <c r="M37" s="111">
        <v>-5.8412203817347653E-7</v>
      </c>
      <c r="N37" s="111">
        <v>-7.2321182115678762E-7</v>
      </c>
      <c r="O37" s="111">
        <v>-7.3828804333026039E-7</v>
      </c>
      <c r="P37" s="111" t="e">
        <v>#VALUE!</v>
      </c>
      <c r="T37" s="107">
        <v>35</v>
      </c>
      <c r="U37" s="27">
        <f t="shared" si="0"/>
        <v>2.9166666666666665</v>
      </c>
      <c r="V37" s="18">
        <f t="shared" si="1"/>
        <v>91980000</v>
      </c>
      <c r="W37" s="117">
        <f>POWER($V37-$V26,W$1)/FACT(W$1)</f>
        <v>28908000</v>
      </c>
      <c r="X37" s="117">
        <f>POWER($V37-$V26,X$1)/FACT(X$1)</f>
        <v>417836232000000</v>
      </c>
      <c r="Y37" s="117">
        <f>POWER($V37-$V26,Y$1)/FACT(Y$1)</f>
        <v>4.0262699315519999E+21</v>
      </c>
      <c r="Z37" s="117">
        <f>POWER($V37-$V26,Z$1)/FACT(Z$1)</f>
        <v>2.9097852795326301E+28</v>
      </c>
      <c r="AA37" s="117">
        <f>POWER($V37-$V26,AA$1)/FACT(AA$1)</f>
        <v>1.6823214572145855E+35</v>
      </c>
      <c r="AB37" s="117"/>
      <c r="AC37" s="119">
        <f t="array" ref="AC37:AJ37">AC26:AJ26+TRANSPOSE(H$12:H$19)*W37+TRANSPOSE(H$22:H$29)*X37+TRANSPOSE(H$32:H$39)*Y37+TRANSPOSE(H$42:H$49)*Z37+TRANSPOSE(H$52:H$59)*AA37</f>
        <v>2.3488034260043112E+19</v>
      </c>
      <c r="AD37" s="42">
        <v>2.0361555841653004E+21</v>
      </c>
      <c r="AE37" s="42">
        <v>8.179032273737557E+20</v>
      </c>
      <c r="AF37" s="42">
        <v>1.223262712557227E+20</v>
      </c>
      <c r="AG37" s="42">
        <v>5.9183419990939501E+19</v>
      </c>
      <c r="AH37" s="42">
        <v>3.0879605672365724E+19</v>
      </c>
      <c r="AI37" s="42">
        <v>4.216169620499814E+19</v>
      </c>
      <c r="AJ37" s="42">
        <v>1.5203399810158034E+22</v>
      </c>
      <c r="AL37" s="19"/>
    </row>
    <row r="38" spans="5:38">
      <c r="E38" s="110"/>
      <c r="F38" s="111">
        <v>-4.795664074299308E-5</v>
      </c>
      <c r="G38" s="111">
        <v>-3.7089577794105154E-5</v>
      </c>
      <c r="H38" s="111">
        <v>-2.8684986099250393E-5</v>
      </c>
      <c r="I38" s="111">
        <v>-2.2184878493747589E-5</v>
      </c>
      <c r="J38" s="111">
        <v>-1.7157704338153629E-5</v>
      </c>
      <c r="K38" s="111">
        <v>-1.326969990827628E-5</v>
      </c>
      <c r="L38" s="111">
        <v>-1.0262730603382044E-5</v>
      </c>
      <c r="M38" s="111">
        <v>-7.9371539464366349E-6</v>
      </c>
      <c r="N38" s="111">
        <v>-6.1385656901803077E-6</v>
      </c>
      <c r="O38" s="111">
        <v>-4.7475491429967761E-6</v>
      </c>
      <c r="P38" s="111" t="e">
        <v>#VALUE!</v>
      </c>
      <c r="T38" s="107">
        <v>36</v>
      </c>
      <c r="U38" s="27">
        <f t="shared" si="0"/>
        <v>3</v>
      </c>
      <c r="V38" s="18">
        <f t="shared" si="1"/>
        <v>94608000</v>
      </c>
      <c r="W38" s="117">
        <f>POWER($V38-$V26,W$1)/FACT(W$1)</f>
        <v>31536000</v>
      </c>
      <c r="X38" s="117">
        <f>POWER($V38-$V26,X$1)/FACT(X$1)</f>
        <v>497259648000000</v>
      </c>
      <c r="Y38" s="117">
        <f>POWER($V38-$V26,Y$1)/FACT(Y$1)</f>
        <v>5.227193419776E+21</v>
      </c>
      <c r="Z38" s="117">
        <f>POWER($V38-$V26,Z$1)/FACT(Z$1)</f>
        <v>4.121119292151398E+28</v>
      </c>
      <c r="AA38" s="117">
        <f>POWER($V38-$V26,AA$1)/FACT(AA$1)</f>
        <v>2.5992723599457299E+35</v>
      </c>
      <c r="AB38" s="117"/>
      <c r="AC38" s="119">
        <f t="array" ref="AC38:AJ38">AC26:AJ26+TRANSPOSE(H$12:H$19)*W38+TRANSPOSE(H$22:H$29)*X38+TRANSPOSE(H$32:H$39)*Y38+TRANSPOSE(H$42:H$49)*Z38+TRANSPOSE(H$52:H$59)*AA38</f>
        <v>2.3629071396662321E+19</v>
      </c>
      <c r="AD38" s="42">
        <v>2.0317107525258715E+21</v>
      </c>
      <c r="AE38" s="42">
        <v>8.1993366209413133E+20</v>
      </c>
      <c r="AF38" s="42">
        <v>1.2202526266373336E+20</v>
      </c>
      <c r="AG38" s="42">
        <v>5.9344163166495744E+19</v>
      </c>
      <c r="AH38" s="42">
        <v>3.0809092160466678E+19</v>
      </c>
      <c r="AI38" s="42">
        <v>4.1273405802164421E+19</v>
      </c>
      <c r="AJ38" s="42">
        <v>1.5160086123068244E+22</v>
      </c>
      <c r="AL38" s="19"/>
    </row>
    <row r="39" spans="5:38">
      <c r="E39" s="110"/>
      <c r="F39" s="111">
        <v>-2.1495354331295042E-5</v>
      </c>
      <c r="G39" s="111">
        <v>-2.0771866248014178E-5</v>
      </c>
      <c r="H39" s="111">
        <v>-2.0072736465792854E-5</v>
      </c>
      <c r="I39" s="111">
        <v>-1.9397142690686473E-5</v>
      </c>
      <c r="J39" s="111">
        <v>-1.8744291043068517E-5</v>
      </c>
      <c r="K39" s="111">
        <v>-1.8113414881668382E-5</v>
      </c>
      <c r="L39" s="111">
        <v>-1.7503773732781934E-5</v>
      </c>
      <c r="M39" s="111">
        <v>-1.6914652301411288E-5</v>
      </c>
      <c r="N39" s="111">
        <v>-1.6345359547819628E-5</v>
      </c>
      <c r="O39" s="111">
        <v>-1.5795227817688736E-5</v>
      </c>
      <c r="P39" s="111" t="e">
        <v>#VALUE!</v>
      </c>
      <c r="T39" s="107">
        <v>37</v>
      </c>
      <c r="U39" s="27">
        <f t="shared" si="0"/>
        <v>3.0833333333333335</v>
      </c>
      <c r="V39" s="18">
        <f t="shared" si="1"/>
        <v>97236000</v>
      </c>
      <c r="W39" s="117">
        <f>POWER($V39-$V38,W$1)/FACT(W$1)</f>
        <v>2628000</v>
      </c>
      <c r="X39" s="117">
        <f>POWER($V39-$V38,X$1)/FACT(X$1)</f>
        <v>3453192000000</v>
      </c>
      <c r="Y39" s="117">
        <f>POWER($V39-$V38,Y$1)/FACT(Y$1)</f>
        <v>3.024996192E+18</v>
      </c>
      <c r="Z39" s="117">
        <f>POWER($V39-$V38,Z$1)/FACT(Z$1)</f>
        <v>1.9874224981439998E+24</v>
      </c>
      <c r="AA39" s="117">
        <f>POWER($V39-$V38,AA$1)/FACT(AA$1)</f>
        <v>1.0445892650244864E+30</v>
      </c>
      <c r="AB39" s="117"/>
      <c r="AC39" s="119">
        <f t="array" ref="AC39:AJ39">AC38:AJ38+TRANSPOSE(I$12:I$19)*W39+TRANSPOSE(I$22:I$29)*X39+TRANSPOSE(I$32:I$39)*Y39+TRANSPOSE(I$42:I$49)*Z39+TRANSPOSE(I$52:I$59)*AA39</f>
        <v>2.3762917868079403E+19</v>
      </c>
      <c r="AD39" s="42">
        <v>2.0272524196295853E+21</v>
      </c>
      <c r="AE39" s="42">
        <v>8.2192956032911986E+20</v>
      </c>
      <c r="AF39" s="42">
        <v>1.2174150799142347E+20</v>
      </c>
      <c r="AG39" s="42">
        <v>5.9502472640465789E+19</v>
      </c>
      <c r="AH39" s="42">
        <v>3.0738673164120076E+19</v>
      </c>
      <c r="AI39" s="42">
        <v>4.0403929865323635E+19</v>
      </c>
      <c r="AJ39" s="42">
        <v>1.5116895834461507E+22</v>
      </c>
      <c r="AL39" s="19"/>
    </row>
    <row r="40" spans="5:38">
      <c r="E40" s="110"/>
      <c r="F40" s="110"/>
      <c r="T40" s="107">
        <v>38</v>
      </c>
      <c r="U40" s="27">
        <f t="shared" si="0"/>
        <v>3.1666666666666665</v>
      </c>
      <c r="V40" s="18">
        <f t="shared" si="1"/>
        <v>99864000</v>
      </c>
      <c r="W40" s="117">
        <f>POWER($V40-$V38,W$1)/FACT(W$1)</f>
        <v>5256000</v>
      </c>
      <c r="X40" s="117">
        <f>POWER($V40-$V38,X$1)/FACT(X$1)</f>
        <v>13812768000000</v>
      </c>
      <c r="Y40" s="117">
        <f>POWER($V40-$V38,Y$1)/FACT(Y$1)</f>
        <v>2.4199969536E+19</v>
      </c>
      <c r="Z40" s="117">
        <f>POWER($V40-$V38,Z$1)/FACT(Z$1)</f>
        <v>3.1798759970303997E+25</v>
      </c>
      <c r="AA40" s="117">
        <f>POWER($V40-$V38,AA$1)/FACT(AA$1)</f>
        <v>3.3426856480783565E+31</v>
      </c>
      <c r="AB40" s="117"/>
      <c r="AC40" s="119">
        <f t="array" ref="AC40:AJ40">AC38:AJ38+TRANSPOSE(I$12:I$19)*W40+TRANSPOSE(I$22:I$29)*X40+TRANSPOSE(I$32:I$39)*Y40+TRANSPOSE(I$42:I$49)*Z40+TRANSPOSE(I$52:I$59)*AA40</f>
        <v>2.3889780324963009E+19</v>
      </c>
      <c r="AD40" s="42">
        <v>2.0227811239678734E+21</v>
      </c>
      <c r="AE40" s="42">
        <v>8.2389113640512612E+20</v>
      </c>
      <c r="AF40" s="42">
        <v>1.2147430648801806E+20</v>
      </c>
      <c r="AG40" s="42">
        <v>5.9658441061338784E+19</v>
      </c>
      <c r="AH40" s="42">
        <v>3.0668427828409905E+19</v>
      </c>
      <c r="AI40" s="42">
        <v>3.9552861282606506E+19</v>
      </c>
      <c r="AJ40" s="42">
        <v>1.5073828592767302E+22</v>
      </c>
      <c r="AL40" s="19"/>
    </row>
    <row r="41" spans="5:38" ht="15">
      <c r="E41" s="110"/>
      <c r="F41" s="110"/>
      <c r="Q41" s="108"/>
      <c r="T41" s="107">
        <v>39</v>
      </c>
      <c r="U41" s="27">
        <f t="shared" si="0"/>
        <v>3.25</v>
      </c>
      <c r="V41" s="18">
        <f t="shared" si="1"/>
        <v>102492000</v>
      </c>
      <c r="W41" s="117">
        <f>POWER($V41-$V38,W$1)/FACT(W$1)</f>
        <v>7884000</v>
      </c>
      <c r="X41" s="117">
        <f>POWER($V41-$V38,X$1)/FACT(X$1)</f>
        <v>31078728000000</v>
      </c>
      <c r="Y41" s="117">
        <f>POWER($V41-$V38,Y$1)/FACT(Y$1)</f>
        <v>8.1674897184E+19</v>
      </c>
      <c r="Z41" s="117">
        <f>POWER($V41-$V38,Z$1)/FACT(Z$1)</f>
        <v>1.6098122234966398E+26</v>
      </c>
      <c r="AA41" s="117">
        <f>POWER($V41-$V38,AA$1)/FACT(AA$1)</f>
        <v>2.5383519140095018E+32</v>
      </c>
      <c r="AB41" s="117"/>
      <c r="AC41" s="119">
        <f t="array" ref="AC41:AJ41">AC38:AJ38+TRANSPOSE(I$12:I$19)*W41+TRANSPOSE(I$22:I$29)*X41+TRANSPOSE(I$32:I$39)*Y41+TRANSPOSE(I$42:I$49)*Z41+TRANSPOSE(I$52:I$59)*AA41</f>
        <v>2.4009861190591513E+19</v>
      </c>
      <c r="AD41" s="42">
        <v>2.0182973856295879E+21</v>
      </c>
      <c r="AE41" s="42">
        <v>8.2581860776799909E+20</v>
      </c>
      <c r="AF41" s="42">
        <v>1.2122302450402745E+20</v>
      </c>
      <c r="AG41" s="42">
        <v>5.9812150839716348E+19</v>
      </c>
      <c r="AH41" s="42">
        <v>3.0598417880107106E+19</v>
      </c>
      <c r="AI41" s="42">
        <v>3.8719810101606212E+19</v>
      </c>
      <c r="AJ41" s="42">
        <v>1.5030884047430997E+22</v>
      </c>
      <c r="AL41" s="19"/>
    </row>
    <row r="42" spans="5:38" ht="15">
      <c r="E42" s="108" t="s">
        <v>152</v>
      </c>
      <c r="F42" s="111">
        <f t="array" ref="F42:F49">MMULT($F$2:$M$9,F32:F39)</f>
        <v>-1.4995894439239541E-13</v>
      </c>
      <c r="G42" s="111">
        <f t="array" ref="G42:G49">MMULT($F$2:$M$9,G32:G39)</f>
        <v>-1.3522885644670709E-13</v>
      </c>
      <c r="H42" s="111">
        <f t="array" ref="H42:H49">MMULT($F$2:$M$9,H32:H39)</f>
        <v>-1.1657217104667085E-13</v>
      </c>
      <c r="I42" s="111">
        <f t="array" ref="I42:I49">MMULT($F$2:$M$9,I32:I39)</f>
        <v>-9.7294977495299965E-14</v>
      </c>
      <c r="J42" s="111">
        <f t="array" ref="J42:J49">MMULT($F$2:$M$9,J32:J39)</f>
        <v>-7.9193018223033534E-14</v>
      </c>
      <c r="K42" s="111">
        <f t="array" ref="K42:K49">MMULT($F$2:$M$9,K32:K39)</f>
        <v>-6.3127971541151813E-14</v>
      </c>
      <c r="L42" s="111">
        <f t="array" ref="L42:L49">MMULT($F$2:$M$9,L32:L39)</f>
        <v>-4.9401922973913301E-14</v>
      </c>
      <c r="M42" s="111">
        <f t="array" ref="M42:M49">MMULT($F$2:$M$9,M32:M39)</f>
        <v>-3.799735354038833E-14</v>
      </c>
      <c r="N42" s="111">
        <f t="array" ref="N42:N49">MMULT($F$2:$M$9,N32:N39)</f>
        <v>-2.872817209736184E-14</v>
      </c>
      <c r="O42" s="111">
        <f t="array" ref="O42:O49">MMULT($F$2:$M$9,O32:O39)</f>
        <v>-2.133244181792701E-14</v>
      </c>
      <c r="P42" s="111" t="e">
        <f t="array" ref="P42:P49">MMULT($F$2:$M$9,P32:P39)</f>
        <v>#VALUE!</v>
      </c>
      <c r="T42" s="107">
        <v>40</v>
      </c>
      <c r="U42" s="27">
        <f t="shared" si="0"/>
        <v>3.3333333333333335</v>
      </c>
      <c r="V42" s="18">
        <f t="shared" si="1"/>
        <v>105120000</v>
      </c>
      <c r="W42" s="117">
        <f>POWER($V42-$V38,W$1)/FACT(W$1)</f>
        <v>10512000</v>
      </c>
      <c r="X42" s="117">
        <f>POWER($V42-$V38,X$1)/FACT(X$1)</f>
        <v>55251072000000</v>
      </c>
      <c r="Y42" s="117">
        <f>POWER($V42-$V38,Y$1)/FACT(Y$1)</f>
        <v>1.93599756288E+20</v>
      </c>
      <c r="Z42" s="117">
        <f>POWER($V42-$V38,Z$1)/FACT(Z$1)</f>
        <v>5.0878015952486396E+26</v>
      </c>
      <c r="AA42" s="117">
        <f>POWER($V42-$V38,AA$1)/FACT(AA$1)</f>
        <v>1.0696594073850741E+33</v>
      </c>
      <c r="AB42" s="117"/>
      <c r="AC42" s="119">
        <f t="array" ref="AC42:AJ42">AC38:AJ38+TRANSPOSE(I$12:I$19)*W42+TRANSPOSE(I$22:I$29)*X42+TRANSPOSE(I$32:I$39)*Y42+TRANSPOSE(I$42:I$49)*Z42+TRANSPOSE(I$52:I$59)*AA42</f>
        <v>2.4123358397672296E+19</v>
      </c>
      <c r="AD42" s="42">
        <v>2.0138017143945513E+21</v>
      </c>
      <c r="AE42" s="42">
        <v>8.2771219229319365E+20</v>
      </c>
      <c r="AF42" s="42">
        <v>1.2098704814037488E+20</v>
      </c>
      <c r="AG42" s="42">
        <v>5.9963681418726294E+19</v>
      </c>
      <c r="AH42" s="42">
        <v>3.0528701448736838E+19</v>
      </c>
      <c r="AI42" s="42">
        <v>3.7904394622932607E+19</v>
      </c>
      <c r="AJ42" s="42">
        <v>1.4988061848896688E+22</v>
      </c>
      <c r="AL42" s="19"/>
    </row>
    <row r="43" spans="5:38">
      <c r="E43" s="110"/>
      <c r="F43" s="111">
        <v>-4.3728701007598613E-13</v>
      </c>
      <c r="G43" s="111">
        <v>-3.496130376609154E-13</v>
      </c>
      <c r="H43" s="111">
        <v>-2.7997637159990975E-13</v>
      </c>
      <c r="I43" s="111">
        <v>-2.243996384102721E-13</v>
      </c>
      <c r="J43" s="111">
        <v>-1.7987969480998784E-13</v>
      </c>
      <c r="K43" s="111">
        <v>-1.4412056698594088E-13</v>
      </c>
      <c r="L43" s="111">
        <v>-1.1534629344262987E-13</v>
      </c>
      <c r="M43" s="111">
        <v>-9.216852416997509E-14</v>
      </c>
      <c r="N43" s="111">
        <v>-7.3491812268304316E-14</v>
      </c>
      <c r="O43" s="111">
        <v>-5.8445009132067258E-14</v>
      </c>
      <c r="P43" s="111" t="e">
        <v>#VALUE!</v>
      </c>
      <c r="T43" s="107">
        <v>41</v>
      </c>
      <c r="U43" s="27">
        <f t="shared" si="0"/>
        <v>3.4166666666666665</v>
      </c>
      <c r="V43" s="18">
        <f t="shared" si="1"/>
        <v>107748000</v>
      </c>
      <c r="W43" s="117">
        <f>POWER($V43-$V38,W$1)/FACT(W$1)</f>
        <v>13140000</v>
      </c>
      <c r="X43" s="117">
        <f>POWER($V43-$V38,X$1)/FACT(X$1)</f>
        <v>86329800000000</v>
      </c>
      <c r="Y43" s="117">
        <f>POWER($V43-$V38,Y$1)/FACT(Y$1)</f>
        <v>3.7812452400000002E+20</v>
      </c>
      <c r="Z43" s="117">
        <f>POWER($V43-$V38,Z$1)/FACT(Z$1)</f>
        <v>1.2421390613399999E+27</v>
      </c>
      <c r="AA43" s="117">
        <f>POWER($V43-$V38,AA$1)/FACT(AA$1)</f>
        <v>3.2643414532015203E+33</v>
      </c>
      <c r="AB43" s="117"/>
      <c r="AC43" s="119">
        <f t="array" ref="AC43:AJ43">AC38:AJ38+TRANSPOSE(I$12:I$19)*W43+TRANSPOSE(I$22:I$29)*X43+TRANSPOSE(I$32:I$39)*Y43+TRANSPOSE(I$42:I$49)*Z43+TRANSPOSE(I$52:I$59)*AA43</f>
        <v>2.423046546345096E+19</v>
      </c>
      <c r="AD43" s="42">
        <v>2.0092946099307639E+21</v>
      </c>
      <c r="AE43" s="42">
        <v>8.2957210823683159E+20</v>
      </c>
      <c r="AF43" s="42">
        <v>1.2076578261406381E+20</v>
      </c>
      <c r="AG43" s="42">
        <v>6.0113109373273948E+19</v>
      </c>
      <c r="AH43" s="42">
        <v>3.0459333222714343E+19</v>
      </c>
      <c r="AI43" s="42">
        <v>3.710624121558034E+19</v>
      </c>
      <c r="AJ43" s="42">
        <v>1.4945361648604297E+22</v>
      </c>
      <c r="AL43" s="19"/>
    </row>
    <row r="44" spans="5:38">
      <c r="E44" s="110"/>
      <c r="F44" s="111">
        <v>6.9362351572238054E-14</v>
      </c>
      <c r="G44" s="111">
        <v>4.4358342503396449E-14</v>
      </c>
      <c r="H44" s="111">
        <v>2.5359141588592922E-14</v>
      </c>
      <c r="I44" s="111">
        <v>1.105872234150601E-14</v>
      </c>
      <c r="J44" s="111">
        <v>4.3478514972795283E-16</v>
      </c>
      <c r="K44" s="111">
        <v>-7.3167012247478995E-15</v>
      </c>
      <c r="L44" s="111">
        <v>-1.2830308316322294E-14</v>
      </c>
      <c r="M44" s="111">
        <v>-1.6607989769387464E-14</v>
      </c>
      <c r="N44" s="111">
        <v>-1.9047220282356615E-14</v>
      </c>
      <c r="O44" s="111">
        <v>-2.0462724755188056E-14</v>
      </c>
      <c r="P44" s="111" t="e">
        <v>#VALUE!</v>
      </c>
      <c r="T44" s="107">
        <v>42</v>
      </c>
      <c r="U44" s="27">
        <f t="shared" si="0"/>
        <v>3.5</v>
      </c>
      <c r="V44" s="18">
        <f t="shared" si="1"/>
        <v>110376000</v>
      </c>
      <c r="W44" s="117">
        <f>POWER($V44-$V38,W$1)/FACT(W$1)</f>
        <v>15768000</v>
      </c>
      <c r="X44" s="117">
        <f>POWER($V44-$V38,X$1)/FACT(X$1)</f>
        <v>124314912000000</v>
      </c>
      <c r="Y44" s="117">
        <f>POWER($V44-$V38,Y$1)/FACT(Y$1)</f>
        <v>6.53399177472E+20</v>
      </c>
      <c r="Z44" s="117">
        <f>POWER($V44-$V38,Z$1)/FACT(Z$1)</f>
        <v>2.5756995575946237E+27</v>
      </c>
      <c r="AA44" s="117">
        <f>POWER($V44-$V38,AA$1)/FACT(AA$1)</f>
        <v>8.1227261248304059E+33</v>
      </c>
      <c r="AB44" s="117"/>
      <c r="AC44" s="119">
        <f t="array" ref="AC44:AJ44">AC38:AJ38+TRANSPOSE(I$12:I$19)*W44+TRANSPOSE(I$22:I$29)*X44+TRANSPOSE(I$32:I$39)*Y44+TRANSPOSE(I$42:I$49)*Z44+TRANSPOSE(I$52:I$59)*AA44</f>
        <v>2.4331371564820513E+19</v>
      </c>
      <c r="AD44" s="42">
        <v>2.0047765619916118E+21</v>
      </c>
      <c r="AE44" s="42">
        <v>8.3139857418676575E+20</v>
      </c>
      <c r="AF44" s="42">
        <v>1.2055865162384469E+20</v>
      </c>
      <c r="AG44" s="42">
        <v>6.026050850929324E+19</v>
      </c>
      <c r="AH44" s="42">
        <v>3.0390364605480862E+19</v>
      </c>
      <c r="AI44" s="42">
        <v>3.6324984132296843E+19</v>
      </c>
      <c r="AJ44" s="42">
        <v>1.4902783098986724E+22</v>
      </c>
      <c r="AL44" s="19"/>
    </row>
    <row r="45" spans="5:38">
      <c r="E45" s="110"/>
      <c r="F45" s="111">
        <v>1.302510987526639E-12</v>
      </c>
      <c r="G45" s="111">
        <v>9.0796509890181032E-13</v>
      </c>
      <c r="H45" s="111">
        <v>6.3272830413238532E-13</v>
      </c>
      <c r="I45" s="111">
        <v>4.4066873286434717E-13</v>
      </c>
      <c r="J45" s="111">
        <v>3.0661563160947067E-13</v>
      </c>
      <c r="K45" s="111">
        <v>2.130299242996937E-13</v>
      </c>
      <c r="L45" s="111">
        <v>1.4768688266675063E-13</v>
      </c>
      <c r="M45" s="111">
        <v>1.0206310983763188E-13</v>
      </c>
      <c r="N45" s="111">
        <v>7.0213661593434375E-14</v>
      </c>
      <c r="O45" s="111">
        <v>4.7990273894804054E-14</v>
      </c>
      <c r="P45" s="111" t="e">
        <v>#VALUE!</v>
      </c>
      <c r="T45" s="107">
        <v>43</v>
      </c>
      <c r="U45" s="27">
        <f t="shared" si="0"/>
        <v>3.5833333333333335</v>
      </c>
      <c r="V45" s="18">
        <f t="shared" si="1"/>
        <v>113004000</v>
      </c>
      <c r="W45" s="117">
        <f>POWER($V45-$V38,W$1)/FACT(W$1)</f>
        <v>18396000</v>
      </c>
      <c r="X45" s="117">
        <f>POWER($V45-$V38,X$1)/FACT(X$1)</f>
        <v>169206408000000</v>
      </c>
      <c r="Y45" s="117">
        <f>POWER($V45-$V38,Y$1)/FACT(Y$1)</f>
        <v>1.037573693856E+21</v>
      </c>
      <c r="Z45" s="117">
        <f>POWER($V45-$V38,Z$1)/FACT(Z$1)</f>
        <v>4.7718014180437445E+27</v>
      </c>
      <c r="AA45" s="117">
        <f>POWER($V45-$V38,AA$1)/FACT(AA$1)</f>
        <v>1.7556411777266544E+34</v>
      </c>
      <c r="AB45" s="117"/>
      <c r="AC45" s="119">
        <f t="array" ref="AC45:AJ45">AC38:AJ38+TRANSPOSE(I$12:I$19)*W45+TRANSPOSE(I$22:I$29)*X45+TRANSPOSE(I$32:I$39)*Y45+TRANSPOSE(I$42:I$49)*Z45+TRANSPOSE(I$52:I$59)*AA45</f>
        <v>2.4426261613430649E+19</v>
      </c>
      <c r="AD45" s="42">
        <v>2.0002480506130745E+21</v>
      </c>
      <c r="AE45" s="42">
        <v>8.3319180901364086E+20</v>
      </c>
      <c r="AF45" s="42">
        <v>1.2036509671588217E+20</v>
      </c>
      <c r="AG45" s="42">
        <v>6.0405949962998071E+19</v>
      </c>
      <c r="AH45" s="42">
        <v>3.0321843871639638E+19</v>
      </c>
      <c r="AI45" s="42">
        <v>3.5560265324950516E+19</v>
      </c>
      <c r="AJ45" s="42">
        <v>1.4860325853466976E+22</v>
      </c>
      <c r="AL45" s="19"/>
    </row>
    <row r="46" spans="5:38">
      <c r="E46" s="110"/>
      <c r="F46" s="111">
        <v>-2.0003573475543312E-13</v>
      </c>
      <c r="G46" s="111">
        <v>-1.3910334435242429E-13</v>
      </c>
      <c r="H46" s="111">
        <v>-9.6355705384513186E-14</v>
      </c>
      <c r="I46" s="111">
        <v>-6.6375255045227661E-14</v>
      </c>
      <c r="J46" s="111">
        <v>-4.5365931991717977E-14</v>
      </c>
      <c r="K46" s="111">
        <v>-3.0665259805561765E-14</v>
      </c>
      <c r="L46" s="111">
        <v>-2.0403860663935162E-14</v>
      </c>
      <c r="M46" s="111">
        <v>-1.3267726393320242E-14</v>
      </c>
      <c r="N46" s="111">
        <v>-8.3321335377496308E-15</v>
      </c>
      <c r="O46" s="111">
        <v>-4.9455288961531323E-15</v>
      </c>
      <c r="P46" s="111" t="e">
        <v>#VALUE!</v>
      </c>
      <c r="T46" s="107">
        <v>44</v>
      </c>
      <c r="U46" s="27">
        <f t="shared" si="0"/>
        <v>3.6666666666666665</v>
      </c>
      <c r="V46" s="18">
        <f t="shared" si="1"/>
        <v>115632000</v>
      </c>
      <c r="W46" s="117">
        <f>POWER($V46-$V38,W$1)/FACT(W$1)</f>
        <v>21024000</v>
      </c>
      <c r="X46" s="117">
        <f>POWER($V46-$V38,X$1)/FACT(X$1)</f>
        <v>221004288000000</v>
      </c>
      <c r="Y46" s="117">
        <f>POWER($V46-$V38,Y$1)/FACT(Y$1)</f>
        <v>1.548798050304E+21</v>
      </c>
      <c r="Z46" s="117">
        <f>POWER($V46-$V38,Z$1)/FACT(Z$1)</f>
        <v>8.1404825523978233E+27</v>
      </c>
      <c r="AA46" s="117">
        <f>POWER($V46-$V38,AA$1)/FACT(AA$1)</f>
        <v>3.422910103632237E+34</v>
      </c>
      <c r="AB46" s="117"/>
      <c r="AC46" s="119">
        <f t="array" ref="AC46:AJ46">AC38:AJ38+TRANSPOSE(I$12:I$19)*W46+TRANSPOSE(I$22:I$29)*X46+TRANSPOSE(I$32:I$39)*Y46+TRANSPOSE(I$42:I$49)*Z46+TRANSPOSE(I$52:I$59)*AA46</f>
        <v>2.4515316330796904E+19</v>
      </c>
      <c r="AD46" s="42">
        <v>1.9957095463109334E+21</v>
      </c>
      <c r="AE46" s="42">
        <v>8.3495203182195717E+20</v>
      </c>
      <c r="AF46" s="42">
        <v>1.2018457664942232E+20</v>
      </c>
      <c r="AG46" s="42">
        <v>6.0549502300133417E+19</v>
      </c>
      <c r="AH46" s="42">
        <v>3.0253816323091755E+19</v>
      </c>
      <c r="AI46" s="42">
        <v>3.4811734259898708E+19</v>
      </c>
      <c r="AJ46" s="42">
        <v>1.4817989566455307E+22</v>
      </c>
      <c r="AL46" s="19"/>
    </row>
    <row r="47" spans="5:38">
      <c r="E47" s="110"/>
      <c r="F47" s="111">
        <v>-3.121387345649784E-13</v>
      </c>
      <c r="G47" s="111">
        <v>-2.035204106006219E-13</v>
      </c>
      <c r="H47" s="111">
        <v>-1.3057639472716225E-13</v>
      </c>
      <c r="I47" s="111">
        <v>-8.1963734705495405E-14</v>
      </c>
      <c r="J47" s="111">
        <v>-4.9880240817757718E-14</v>
      </c>
      <c r="K47" s="111">
        <v>-2.8970829495722658E-14</v>
      </c>
      <c r="L47" s="111">
        <v>-1.5569616743463361E-14</v>
      </c>
      <c r="M47" s="111">
        <v>-7.175052931914395E-15</v>
      </c>
      <c r="N47" s="111">
        <v>-2.0867437178156881E-15</v>
      </c>
      <c r="O47" s="111">
        <v>8.4560372349360018E-16</v>
      </c>
      <c r="P47" s="111" t="e">
        <v>#VALUE!</v>
      </c>
      <c r="T47" s="107">
        <v>45</v>
      </c>
      <c r="U47" s="27">
        <f t="shared" si="0"/>
        <v>3.75</v>
      </c>
      <c r="V47" s="18">
        <f t="shared" si="1"/>
        <v>118260000</v>
      </c>
      <c r="W47" s="117">
        <f>POWER($V47-$V38,W$1)/FACT(W$1)</f>
        <v>23652000</v>
      </c>
      <c r="X47" s="117">
        <f>POWER($V47-$V38,X$1)/FACT(X$1)</f>
        <v>279708552000000</v>
      </c>
      <c r="Y47" s="117">
        <f>POWER($V47-$V38,Y$1)/FACT(Y$1)</f>
        <v>2.205222223968E+21</v>
      </c>
      <c r="Z47" s="117">
        <f>POWER($V47-$V38,Z$1)/FACT(Z$1)</f>
        <v>1.3039479010322784E+28</v>
      </c>
      <c r="AA47" s="117">
        <f>POWER($V47-$V38,AA$1)/FACT(AA$1)</f>
        <v>6.1681951510430897E+34</v>
      </c>
      <c r="AB47" s="117"/>
      <c r="AC47" s="119">
        <f t="array" ref="AC47:AJ47">AC38:AJ38+TRANSPOSE(I$12:I$19)*W47+TRANSPOSE(I$22:I$29)*X47+TRANSPOSE(I$32:I$39)*Y47+TRANSPOSE(I$42:I$49)*Z47+TRANSPOSE(I$52:I$59)*AA47</f>
        <v>2.4598712323409953E+19</v>
      </c>
      <c r="AD47" s="42">
        <v>1.9911615102779783E+21</v>
      </c>
      <c r="AE47" s="42">
        <v>8.3667946190113263E+20</v>
      </c>
      <c r="AF47" s="42">
        <v>1.2001656676245935E+20</v>
      </c>
      <c r="AG47" s="42">
        <v>6.0691231615226561E+19</v>
      </c>
      <c r="AH47" s="42">
        <v>3.0186324445172134E+19</v>
      </c>
      <c r="AI47" s="42">
        <v>3.4079047733355815E+19</v>
      </c>
      <c r="AJ47" s="42">
        <v>1.4775773893346342E+22</v>
      </c>
      <c r="AL47" s="19"/>
    </row>
    <row r="48" spans="5:38">
      <c r="E48" s="110"/>
      <c r="F48" s="111">
        <v>3.9075830093109495E-13</v>
      </c>
      <c r="G48" s="111">
        <v>3.0221281900327205E-13</v>
      </c>
      <c r="H48" s="111">
        <v>2.3373139908020864E-13</v>
      </c>
      <c r="I48" s="111">
        <v>1.8076764785047344E-13</v>
      </c>
      <c r="J48" s="111">
        <v>1.3980535295320642E-13</v>
      </c>
      <c r="K48" s="111">
        <v>1.081250499862991E-13</v>
      </c>
      <c r="L48" s="111">
        <v>8.3623484968075227E-14</v>
      </c>
      <c r="M48" s="111">
        <v>6.467398585506066E-14</v>
      </c>
      <c r="N48" s="111">
        <v>5.0018473046286718E-14</v>
      </c>
      <c r="O48" s="111">
        <v>3.8683939515332042E-14</v>
      </c>
      <c r="P48" s="111" t="e">
        <v>#VALUE!</v>
      </c>
      <c r="T48" s="107">
        <v>46</v>
      </c>
      <c r="U48" s="27">
        <f t="shared" si="0"/>
        <v>3.8333333333333335</v>
      </c>
      <c r="V48" s="18">
        <f t="shared" si="1"/>
        <v>120888000</v>
      </c>
      <c r="W48" s="117">
        <f>POWER($V48-$V38,W$1)/FACT(W$1)</f>
        <v>26280000</v>
      </c>
      <c r="X48" s="117">
        <f>POWER($V48-$V38,X$1)/FACT(X$1)</f>
        <v>345319200000000</v>
      </c>
      <c r="Y48" s="117">
        <f>POWER($V48-$V38,Y$1)/FACT(Y$1)</f>
        <v>3.0249961920000001E+21</v>
      </c>
      <c r="Z48" s="117">
        <f>POWER($V48-$V38,Z$1)/FACT(Z$1)</f>
        <v>1.9874224981439999E+28</v>
      </c>
      <c r="AA48" s="117">
        <f>POWER($V48-$V38,AA$1)/FACT(AA$1)</f>
        <v>1.0445892650244865E+35</v>
      </c>
      <c r="AB48" s="117"/>
      <c r="AC48" s="119">
        <f t="array" ref="AC48:AJ48">AC38:AJ38+TRANSPOSE(I$12:I$19)*W48+TRANSPOSE(I$22:I$29)*X48+TRANSPOSE(I$32:I$39)*Y48+TRANSPOSE(I$42:I$49)*Z48+TRANSPOSE(I$52:I$59)*AA48</f>
        <v>2.4676622157844754E+19</v>
      </c>
      <c r="AD48" s="42">
        <v>1.9866043945812149E+21</v>
      </c>
      <c r="AE48" s="42">
        <v>8.3837431867656477E+20</v>
      </c>
      <c r="AF48" s="42">
        <v>1.1986055833740298E+20</v>
      </c>
      <c r="AG48" s="42">
        <v>6.0831201630838391E+19</v>
      </c>
      <c r="AH48" s="42">
        <v>3.0119408062785434E+19</v>
      </c>
      <c r="AI48" s="42">
        <v>3.3361869686761353E+19</v>
      </c>
      <c r="AJ48" s="42">
        <v>1.4733678490516218E+22</v>
      </c>
      <c r="AL48" s="19"/>
    </row>
    <row r="49" spans="5:38">
      <c r="E49" s="110"/>
      <c r="F49" s="111">
        <v>2.333677993779929E-14</v>
      </c>
      <c r="G49" s="111">
        <v>2.2551035405916008E-14</v>
      </c>
      <c r="H49" s="111">
        <v>2.1791829607955965E-14</v>
      </c>
      <c r="I49" s="111">
        <v>2.1058241534279911E-14</v>
      </c>
      <c r="J49" s="111">
        <v>2.0349389448441366E-14</v>
      </c>
      <c r="K49" s="111">
        <v>1.9664427091264318E-14</v>
      </c>
      <c r="L49" s="111">
        <v>1.9002540756531433E-14</v>
      </c>
      <c r="M49" s="111">
        <v>1.8362946984308105E-14</v>
      </c>
      <c r="N49" s="111">
        <v>1.7744890694520678E-14</v>
      </c>
      <c r="O49" s="111">
        <v>1.7147643636772085E-14</v>
      </c>
      <c r="P49" s="111" t="e">
        <v>#VALUE!</v>
      </c>
      <c r="T49" s="107">
        <v>47</v>
      </c>
      <c r="U49" s="27">
        <f t="shared" si="0"/>
        <v>3.9166666666666665</v>
      </c>
      <c r="V49" s="18">
        <f t="shared" si="1"/>
        <v>123516000</v>
      </c>
      <c r="W49" s="117">
        <f>POWER($V49-$V38,W$1)/FACT(W$1)</f>
        <v>28908000</v>
      </c>
      <c r="X49" s="117">
        <f>POWER($V49-$V38,X$1)/FACT(X$1)</f>
        <v>417836232000000</v>
      </c>
      <c r="Y49" s="117">
        <f>POWER($V49-$V38,Y$1)/FACT(Y$1)</f>
        <v>4.0262699315519999E+21</v>
      </c>
      <c r="Z49" s="117">
        <f>POWER($V49-$V38,Z$1)/FACT(Z$1)</f>
        <v>2.9097852795326301E+28</v>
      </c>
      <c r="AA49" s="117">
        <f>POWER($V49-$V38,AA$1)/FACT(AA$1)</f>
        <v>1.6823214572145855E+35</v>
      </c>
      <c r="AB49" s="117"/>
      <c r="AC49" s="119">
        <f t="array" ref="AC49:AJ49">AC38:AJ38+TRANSPOSE(I$12:I$19)*W49+TRANSPOSE(I$22:I$29)*X49+TRANSPOSE(I$32:I$39)*Y49+TRANSPOSE(I$42:I$49)*Z49+TRANSPOSE(I$52:I$59)*AA49</f>
        <v>2.4749214435869831E+19</v>
      </c>
      <c r="AD49" s="42">
        <v>1.9820386423590751E+21</v>
      </c>
      <c r="AE49" s="42">
        <v>8.4003682166069304E+20</v>
      </c>
      <c r="AF49" s="42">
        <v>1.1971605796674534E+20</v>
      </c>
      <c r="AG49" s="42">
        <v>6.0969473796814529E+19</v>
      </c>
      <c r="AH49" s="42">
        <v>3.0053104496541983E+19</v>
      </c>
      <c r="AI49" s="42">
        <v>3.2659871022148022E+19</v>
      </c>
      <c r="AJ49" s="42">
        <v>1.4691703015319712E+22</v>
      </c>
      <c r="AL49" s="19"/>
    </row>
    <row r="50" spans="5:38">
      <c r="E50" s="110"/>
      <c r="F50" s="110"/>
      <c r="T50" s="107">
        <v>48</v>
      </c>
      <c r="U50" s="27">
        <f t="shared" si="0"/>
        <v>4</v>
      </c>
      <c r="V50" s="18">
        <f t="shared" si="1"/>
        <v>126144000</v>
      </c>
      <c r="W50" s="117">
        <f>POWER($V50-$V38,W$1)/FACT(W$1)</f>
        <v>31536000</v>
      </c>
      <c r="X50" s="117">
        <f>POWER($V50-$V38,X$1)/FACT(X$1)</f>
        <v>497259648000000</v>
      </c>
      <c r="Y50" s="117">
        <f>POWER($V50-$V38,Y$1)/FACT(Y$1)</f>
        <v>5.227193419776E+21</v>
      </c>
      <c r="Z50" s="117">
        <f>POWER($V50-$V38,Z$1)/FACT(Z$1)</f>
        <v>4.121119292151398E+28</v>
      </c>
      <c r="AA50" s="117">
        <f>POWER($V50-$V38,AA$1)/FACT(AA$1)</f>
        <v>2.5992723599457299E+35</v>
      </c>
      <c r="AB50" s="117"/>
      <c r="AC50" s="119">
        <f t="array" ref="AC50:AJ50">AC38:AJ38+TRANSPOSE(I$12:I$19)*W50+TRANSPOSE(I$22:I$29)*X50+TRANSPOSE(I$32:I$39)*Y50+TRANSPOSE(I$42:I$49)*Z50+TRANSPOSE(I$52:I$59)*AA50</f>
        <v>2.481665386955647E+19</v>
      </c>
      <c r="AD50" s="42">
        <v>1.9774646880186233E+21</v>
      </c>
      <c r="AE50" s="42">
        <v>8.4166719040406251E+20</v>
      </c>
      <c r="AF50" s="42">
        <v>1.1958258691872797E+20</v>
      </c>
      <c r="AG50" s="42">
        <v>6.1106107389536633E+19</v>
      </c>
      <c r="AH50" s="42">
        <v>2.9987448718893703E+19</v>
      </c>
      <c r="AI50" s="42">
        <v>3.1972729417509753E+19</v>
      </c>
      <c r="AJ50" s="42">
        <v>1.4649847126087382E+22</v>
      </c>
      <c r="AL50" s="19"/>
    </row>
    <row r="51" spans="5:38">
      <c r="E51" s="110"/>
      <c r="F51" s="110"/>
      <c r="T51" s="107">
        <v>49</v>
      </c>
      <c r="U51" s="27">
        <f t="shared" si="0"/>
        <v>4.083333333333333</v>
      </c>
      <c r="V51" s="18">
        <f t="shared" si="1"/>
        <v>128772000</v>
      </c>
      <c r="W51" s="117">
        <f>POWER($V51-$V50,W$1)/FACT(W$1)</f>
        <v>2628000</v>
      </c>
      <c r="X51" s="117">
        <f>POWER($V51-$V50,X$1)/FACT(X$1)</f>
        <v>3453192000000</v>
      </c>
      <c r="Y51" s="117">
        <f>POWER($V51-$V50,Y$1)/FACT(Y$1)</f>
        <v>3.024996192E+18</v>
      </c>
      <c r="Z51" s="117">
        <f>POWER($V51-$V50,Z$1)/FACT(Z$1)</f>
        <v>1.9874224981439998E+24</v>
      </c>
      <c r="AA51" s="117">
        <f>POWER($V51-$V50,AA$1)/FACT(AA$1)</f>
        <v>1.0445892650244864E+30</v>
      </c>
      <c r="AB51" s="117"/>
      <c r="AC51" s="119">
        <f t="array" ref="AC51:AJ51">AC50:AJ50+TRANSPOSE(J$12:J$19)*W51+TRANSPOSE(J$22:J$29)*X51+TRANSPOSE(J$32:J$39)*Y51+TRANSPOSE(J$42:J$49)*Z51+TRANSPOSE(J$52:J$59)*AA51</f>
        <v>2.4879100257572585E+19</v>
      </c>
      <c r="AD51" s="42">
        <v>1.9728829482031815E+21</v>
      </c>
      <c r="AE51" s="42">
        <v>8.4326564751520236E+20</v>
      </c>
      <c r="AF51" s="42">
        <v>1.1945972842242671E+20</v>
      </c>
      <c r="AG51" s="42">
        <v>6.1241152194658583E+19</v>
      </c>
      <c r="AH51" s="42">
        <v>2.9922459889353515E+19</v>
      </c>
      <c r="AI51" s="42">
        <v>3.1300139149779128E+19</v>
      </c>
      <c r="AJ51" s="42">
        <v>1.4608110482143614E+22</v>
      </c>
      <c r="AL51" s="19"/>
    </row>
    <row r="52" spans="5:38" ht="15">
      <c r="E52" s="108" t="s">
        <v>153</v>
      </c>
      <c r="F52" s="111">
        <f t="array" ref="F52:F59">MMULT($F$2:$M$9,F42:F49)</f>
        <v>3.5280627248958502E-22</v>
      </c>
      <c r="G52" s="111">
        <f t="array" ref="G52:G59">MMULT($F$2:$M$9,G42:G49)</f>
        <v>5.5202824077518133E-22</v>
      </c>
      <c r="H52" s="111">
        <f t="array" ref="H52:H59">MMULT($F$2:$M$9,H42:H49)</f>
        <v>6.1419578991100045E-22</v>
      </c>
      <c r="I52" s="111">
        <f t="array" ref="I52:I59">MMULT($F$2:$M$9,I42:I49)</f>
        <v>5.9919262238102159E-22</v>
      </c>
      <c r="J52" s="111">
        <f t="array" ref="J52:J59">MMULT($F$2:$M$9,J42:J49)</f>
        <v>5.4448525507819607E-22</v>
      </c>
      <c r="K52" s="111">
        <f t="array" ref="K52:K59">MMULT($F$2:$M$9,K42:K49)</f>
        <v>4.7289373958506076E-22</v>
      </c>
      <c r="L52" s="111">
        <f t="array" ref="L52:L59">MMULT($F$2:$M$9,L42:L49)</f>
        <v>3.9778561743328051E-22</v>
      </c>
      <c r="M52" s="111">
        <f t="array" ref="M52:M59">MMULT($F$2:$M$9,M42:M49)</f>
        <v>3.2652427270701925E-22</v>
      </c>
      <c r="N52" s="111">
        <f t="array" ref="N52:N59">MMULT($F$2:$M$9,N42:N49)</f>
        <v>2.6273953112568041E-22</v>
      </c>
      <c r="O52" s="111">
        <f t="array" ref="O52:O59">MMULT($F$2:$M$9,O42:O49)</f>
        <v>2.0780745626934269E-22</v>
      </c>
      <c r="P52" s="111" t="e">
        <f t="array" ref="P52:P59">MMULT($F$2:$M$9,P42:P49)</f>
        <v>#VALUE!</v>
      </c>
      <c r="T52" s="107">
        <v>50</v>
      </c>
      <c r="U52" s="27">
        <f t="shared" si="0"/>
        <v>4.166666666666667</v>
      </c>
      <c r="V52" s="18">
        <f t="shared" si="1"/>
        <v>131400000</v>
      </c>
      <c r="W52" s="117">
        <f>POWER($V52-$V50,W$1)/FACT(W$1)</f>
        <v>5256000</v>
      </c>
      <c r="X52" s="117">
        <f>POWER($V52-$V50,X$1)/FACT(X$1)</f>
        <v>13812768000000</v>
      </c>
      <c r="Y52" s="117">
        <f>POWER($V52-$V50,Y$1)/FACT(Y$1)</f>
        <v>2.4199969536E+19</v>
      </c>
      <c r="Z52" s="117">
        <f>POWER($V52-$V50,Z$1)/FACT(Z$1)</f>
        <v>3.1798759970303997E+25</v>
      </c>
      <c r="AA52" s="117">
        <f>POWER($V52-$V50,AA$1)/FACT(AA$1)</f>
        <v>3.3426856480783565E+31</v>
      </c>
      <c r="AB52" s="117"/>
      <c r="AC52" s="119">
        <f t="array" ref="AC52:AJ52">AC50:AJ50+TRANSPOSE(J$12:J$19)*W52+TRANSPOSE(J$22:J$29)*X52+TRANSPOSE(J$32:J$39)*Y52+TRANSPOSE(J$42:J$49)*Z52+TRANSPOSE(J$52:J$59)*AA52</f>
        <v>2.4936711261319193E+19</v>
      </c>
      <c r="AD52" s="42">
        <v>1.9682938455369599E+21</v>
      </c>
      <c r="AE52" s="42">
        <v>8.448324107795493E+20</v>
      </c>
      <c r="AF52" s="42">
        <v>1.1934700428849652E+20</v>
      </c>
      <c r="AG52" s="42">
        <v>6.1374667598933328E+19</v>
      </c>
      <c r="AH52" s="42">
        <v>2.9858176432813711E+19</v>
      </c>
      <c r="AI52" s="42">
        <v>3.0641785360041153E+19</v>
      </c>
      <c r="AJ52" s="42">
        <v>1.4566492743750732E+22</v>
      </c>
      <c r="AL52" s="19"/>
    </row>
    <row r="53" spans="5:38">
      <c r="E53" s="110"/>
      <c r="F53" s="111">
        <v>3.1181267377539512E-21</v>
      </c>
      <c r="G53" s="111">
        <v>2.4700060187789572E-21</v>
      </c>
      <c r="H53" s="111">
        <v>1.9671266817941771E-21</v>
      </c>
      <c r="I53" s="111">
        <v>1.573248106506382E-21</v>
      </c>
      <c r="J53" s="111">
        <v>1.2622173547273371E-21</v>
      </c>
      <c r="K53" s="111">
        <v>1.0149234102159124E-21</v>
      </c>
      <c r="L53" s="111">
        <v>8.1721350171201689E-22</v>
      </c>
      <c r="M53" s="111">
        <v>6.5846212892345192E-22</v>
      </c>
      <c r="N53" s="111">
        <v>5.3058313413813115E-22</v>
      </c>
      <c r="O53" s="111">
        <v>4.2734289700473603E-22</v>
      </c>
      <c r="P53" s="111" t="e">
        <v>#VALUE!</v>
      </c>
      <c r="T53" s="107">
        <v>51</v>
      </c>
      <c r="U53" s="27">
        <f t="shared" si="0"/>
        <v>4.25</v>
      </c>
      <c r="V53" s="18">
        <f t="shared" si="1"/>
        <v>134028000</v>
      </c>
      <c r="W53" s="117">
        <f>POWER($V53-$V50,W$1)/FACT(W$1)</f>
        <v>7884000</v>
      </c>
      <c r="X53" s="117">
        <f>POWER($V53-$V50,X$1)/FACT(X$1)</f>
        <v>31078728000000</v>
      </c>
      <c r="Y53" s="117">
        <f>POWER($V53-$V50,Y$1)/FACT(Y$1)</f>
        <v>8.1674897184E+19</v>
      </c>
      <c r="Z53" s="117">
        <f>POWER($V53-$V50,Z$1)/FACT(Z$1)</f>
        <v>1.6098122234966398E+26</v>
      </c>
      <c r="AA53" s="117">
        <f>POWER($V53-$V50,AA$1)/FACT(AA$1)</f>
        <v>2.5383519140095018E+32</v>
      </c>
      <c r="AB53" s="117"/>
      <c r="AC53" s="119">
        <f t="array" ref="AC53:AJ53">AC50:AJ50+TRANSPOSE(J$12:J$19)*W53+TRANSPOSE(J$22:J$29)*X53+TRANSPOSE(J$32:J$39)*Y53+TRANSPOSE(J$42:J$49)*Z53+TRANSPOSE(J$52:J$59)*AA53</f>
        <v>2.4989640165015855E+19</v>
      </c>
      <c r="AD53" s="42">
        <v>1.9636977880123058E+21</v>
      </c>
      <c r="AE53" s="42">
        <v>8.463677000337971E+20</v>
      </c>
      <c r="AF53" s="42">
        <v>1.1924398308922679E+20</v>
      </c>
      <c r="AG53" s="42">
        <v>6.1506705855702352E+19</v>
      </c>
      <c r="AH53" s="42">
        <v>2.9794625214403756E+19</v>
      </c>
      <c r="AI53" s="42">
        <v>2.999736646054366E+19</v>
      </c>
      <c r="AJ53" s="42">
        <v>1.4524993572152766E+22</v>
      </c>
      <c r="AL53" s="19"/>
    </row>
    <row r="54" spans="5:38">
      <c r="E54" s="110"/>
      <c r="F54" s="111">
        <v>-9.0466080183444837E-22</v>
      </c>
      <c r="G54" s="111">
        <v>-6.8988635888348804E-22</v>
      </c>
      <c r="H54" s="111">
        <v>-5.2188784933572029E-22</v>
      </c>
      <c r="I54" s="111">
        <v>-3.9040521324188246E-22</v>
      </c>
      <c r="J54" s="111">
        <v>-2.8758266092324359E-22</v>
      </c>
      <c r="K54" s="111">
        <v>-2.0734667094634153E-22</v>
      </c>
      <c r="L54" s="111">
        <v>-1.4496125630368423E-22</v>
      </c>
      <c r="M54" s="111">
        <v>-9.670638528240174E-23</v>
      </c>
      <c r="N54" s="111">
        <v>-5.9642578123532572E-23</v>
      </c>
      <c r="O54" s="111">
        <v>-3.1436335577097232E-23</v>
      </c>
      <c r="P54" s="111" t="e">
        <v>#VALUE!</v>
      </c>
      <c r="T54" s="107">
        <v>52</v>
      </c>
      <c r="U54" s="27">
        <f t="shared" si="0"/>
        <v>4.333333333333333</v>
      </c>
      <c r="V54" s="18">
        <f t="shared" si="1"/>
        <v>136656000</v>
      </c>
      <c r="W54" s="117">
        <f>POWER($V54-$V50,W$1)/FACT(W$1)</f>
        <v>10512000</v>
      </c>
      <c r="X54" s="117">
        <f>POWER($V54-$V50,X$1)/FACT(X$1)</f>
        <v>55251072000000</v>
      </c>
      <c r="Y54" s="117">
        <f>POWER($V54-$V50,Y$1)/FACT(Y$1)</f>
        <v>1.93599756288E+20</v>
      </c>
      <c r="Z54" s="117">
        <f>POWER($V54-$V50,Z$1)/FACT(Z$1)</f>
        <v>5.0878015952486396E+26</v>
      </c>
      <c r="AA54" s="117">
        <f>POWER($V54-$V50,AA$1)/FACT(AA$1)</f>
        <v>1.0696594073850741E+33</v>
      </c>
      <c r="AB54" s="117"/>
      <c r="AC54" s="119">
        <f t="array" ref="AC54:AJ54">AC50:AJ50+TRANSPOSE(J$12:J$19)*W54+TRANSPOSE(J$22:J$29)*X54+TRANSPOSE(J$32:J$39)*Y54+TRANSPOSE(J$42:J$49)*Z54+TRANSPOSE(J$52:J$59)*AA54</f>
        <v>2.5038036612025692E+19</v>
      </c>
      <c r="AD54" s="42">
        <v>1.9590951753580806E+21</v>
      </c>
      <c r="AE54" s="42">
        <v>8.4787173506328114E+20</v>
      </c>
      <c r="AF54" s="42">
        <v>1.1915024713629491E+20</v>
      </c>
      <c r="AG54" s="42">
        <v>6.1637317193449054E+19</v>
      </c>
      <c r="AH54" s="42">
        <v>2.9731830924882604E+19</v>
      </c>
      <c r="AI54" s="42">
        <v>2.9366587246400373E+19</v>
      </c>
      <c r="AJ54" s="42">
        <v>1.4483612629558828E+22</v>
      </c>
      <c r="AL54" s="19"/>
    </row>
    <row r="55" spans="5:38">
      <c r="E55" s="110"/>
      <c r="F55" s="111">
        <v>-1.4899599405412761E-20</v>
      </c>
      <c r="G55" s="111">
        <v>-1.0392642282166936E-20</v>
      </c>
      <c r="H55" s="111">
        <v>-7.2510287815157267E-21</v>
      </c>
      <c r="I55" s="111">
        <v>-5.0604653904828896E-21</v>
      </c>
      <c r="J55" s="111">
        <v>-3.5325180582359729E-21</v>
      </c>
      <c r="K55" s="111">
        <v>-2.4663496535101531E-21</v>
      </c>
      <c r="L55" s="111">
        <v>-1.7220939087603212E-21</v>
      </c>
      <c r="M55" s="111">
        <v>-1.2023264334536713E-21</v>
      </c>
      <c r="N55" s="111">
        <v>-8.3916995558020028E-22</v>
      </c>
      <c r="O55" s="111">
        <v>-5.8532008866444426E-22</v>
      </c>
      <c r="P55" s="111" t="e">
        <v>#VALUE!</v>
      </c>
      <c r="T55" s="107">
        <v>53</v>
      </c>
      <c r="U55" s="27">
        <f t="shared" si="0"/>
        <v>4.416666666666667</v>
      </c>
      <c r="V55" s="18">
        <f t="shared" si="1"/>
        <v>139284000</v>
      </c>
      <c r="W55" s="117">
        <f>POWER($V55-$V50,W$1)/FACT(W$1)</f>
        <v>13140000</v>
      </c>
      <c r="X55" s="117">
        <f>POWER($V55-$V50,X$1)/FACT(X$1)</f>
        <v>86329800000000</v>
      </c>
      <c r="Y55" s="117">
        <f>POWER($V55-$V50,Y$1)/FACT(Y$1)</f>
        <v>3.7812452400000002E+20</v>
      </c>
      <c r="Z55" s="117">
        <f>POWER($V55-$V50,Z$1)/FACT(Z$1)</f>
        <v>1.2421390613399999E+27</v>
      </c>
      <c r="AA55" s="117">
        <f>POWER($V55-$V50,AA$1)/FACT(AA$1)</f>
        <v>3.2643414532015203E+33</v>
      </c>
      <c r="AB55" s="117"/>
      <c r="AC55" s="119">
        <f t="array" ref="AC55:AJ55">AC50:AJ50+TRANSPOSE(J$12:J$19)*W55+TRANSPOSE(J$22:J$29)*X55+TRANSPOSE(J$32:J$39)*Y55+TRANSPOSE(J$42:J$49)*Z55+TRANSPOSE(J$52:J$59)*AA55</f>
        <v>2.5082046673107005E+19</v>
      </c>
      <c r="AD55" s="42">
        <v>1.9544863991978779E+21</v>
      </c>
      <c r="AE55" s="42">
        <v>8.4934473556592833E+20</v>
      </c>
      <c r="AF55" s="42">
        <v>1.1906539203796266E+20</v>
      </c>
      <c r="AG55" s="42">
        <v>6.1766549885304979E+19</v>
      </c>
      <c r="AH55" s="42">
        <v>2.9669816183050772E+19</v>
      </c>
      <c r="AI55" s="42">
        <v>2.874915875279618E+19</v>
      </c>
      <c r="AJ55" s="42">
        <v>1.4442349579140357E+22</v>
      </c>
      <c r="AL55" s="19"/>
    </row>
    <row r="56" spans="5:38">
      <c r="E56" s="110"/>
      <c r="F56" s="111">
        <v>2.2947126636512065E-21</v>
      </c>
      <c r="G56" s="111">
        <v>1.6099287669294628E-21</v>
      </c>
      <c r="H56" s="111">
        <v>1.1293474957654448E-21</v>
      </c>
      <c r="I56" s="111">
        <v>7.9178824294142488E-22</v>
      </c>
      <c r="J56" s="111">
        <v>5.5449418735554276E-22</v>
      </c>
      <c r="K56" s="111">
        <v>3.875624449830544E-22</v>
      </c>
      <c r="L56" s="111">
        <v>2.700624651203238E-22</v>
      </c>
      <c r="M56" s="111">
        <v>1.8733015327514336E-22</v>
      </c>
      <c r="N56" s="111">
        <v>1.2908092906480585E-22</v>
      </c>
      <c r="O56" s="111">
        <v>8.8093316520131227E-23</v>
      </c>
      <c r="P56" s="111" t="e">
        <v>#VALUE!</v>
      </c>
      <c r="T56" s="107">
        <v>54</v>
      </c>
      <c r="U56" s="27">
        <f t="shared" si="0"/>
        <v>4.5</v>
      </c>
      <c r="V56" s="18">
        <f t="shared" si="1"/>
        <v>141912000</v>
      </c>
      <c r="W56" s="117">
        <f>POWER($V56-$V50,W$1)/FACT(W$1)</f>
        <v>15768000</v>
      </c>
      <c r="X56" s="117">
        <f>POWER($V56-$V50,X$1)/FACT(X$1)</f>
        <v>124314912000000</v>
      </c>
      <c r="Y56" s="117">
        <f>POWER($V56-$V50,Y$1)/FACT(Y$1)</f>
        <v>6.53399177472E+20</v>
      </c>
      <c r="Z56" s="117">
        <f>POWER($V56-$V50,Z$1)/FACT(Z$1)</f>
        <v>2.5756995575946237E+27</v>
      </c>
      <c r="AA56" s="117">
        <f>POWER($V56-$V50,AA$1)/FACT(AA$1)</f>
        <v>8.1227261248304059E+33</v>
      </c>
      <c r="AB56" s="117"/>
      <c r="AC56" s="119">
        <f t="array" ref="AC56:AJ56">AC50:AJ50+TRANSPOSE(J$12:J$19)*W56+TRANSPOSE(J$22:J$29)*X56+TRANSPOSE(J$32:J$39)*Y56+TRANSPOSE(J$42:J$49)*Z56+TRANSPOSE(J$52:J$59)*AA56</f>
        <v>2.5121812914664894E+19</v>
      </c>
      <c r="AD56" s="42">
        <v>1.9498718432082445E+21</v>
      </c>
      <c r="AE56" s="42">
        <v>8.5078692111621004E+20</v>
      </c>
      <c r="AF56" s="42">
        <v>1.1898902625627251E+20</v>
      </c>
      <c r="AG56" s="42">
        <v>6.1894450318556054E+19</v>
      </c>
      <c r="AH56" s="42">
        <v>2.9608601638162412E+19</v>
      </c>
      <c r="AI56" s="42">
        <v>2.8144798112192434E+19</v>
      </c>
      <c r="AJ56" s="42">
        <v>1.4401204085028333E+22</v>
      </c>
      <c r="AL56" s="19"/>
    </row>
    <row r="57" spans="5:38">
      <c r="E57" s="110"/>
      <c r="F57" s="111">
        <v>4.1671282885951938E-21</v>
      </c>
      <c r="G57" s="111">
        <v>2.8071181845387415E-21</v>
      </c>
      <c r="H57" s="111">
        <v>1.8780214605050977E-21</v>
      </c>
      <c r="I57" s="111">
        <v>1.2455926785287349E-21</v>
      </c>
      <c r="J57" s="111">
        <v>8.1700445707831718E-22</v>
      </c>
      <c r="K57" s="111">
        <v>5.2814063849221839E-22</v>
      </c>
      <c r="L57" s="111">
        <v>3.3477504858673032E-22</v>
      </c>
      <c r="M57" s="111">
        <v>2.0645000177858941E-22</v>
      </c>
      <c r="N57" s="111">
        <v>1.222301824287117E-22</v>
      </c>
      <c r="O57" s="111">
        <v>6.7758906481961316E-23</v>
      </c>
      <c r="P57" s="111" t="e">
        <v>#VALUE!</v>
      </c>
      <c r="T57" s="107">
        <v>55</v>
      </c>
      <c r="U57" s="27">
        <f t="shared" si="0"/>
        <v>4.583333333333333</v>
      </c>
      <c r="V57" s="18">
        <f t="shared" si="1"/>
        <v>144540000</v>
      </c>
      <c r="W57" s="117">
        <f>POWER($V57-$V50,W$1)/FACT(W$1)</f>
        <v>18396000</v>
      </c>
      <c r="X57" s="117">
        <f>POWER($V57-$V50,X$1)/FACT(X$1)</f>
        <v>169206408000000</v>
      </c>
      <c r="Y57" s="117">
        <f>POWER($V57-$V50,Y$1)/FACT(Y$1)</f>
        <v>1.037573693856E+21</v>
      </c>
      <c r="Z57" s="117">
        <f>POWER($V57-$V50,Z$1)/FACT(Z$1)</f>
        <v>4.7718014180437445E+27</v>
      </c>
      <c r="AA57" s="117">
        <f>POWER($V57-$V50,AA$1)/FACT(AA$1)</f>
        <v>1.7556411777266544E+34</v>
      </c>
      <c r="AB57" s="117"/>
      <c r="AC57" s="119">
        <f t="array" ref="AC57:AJ57">AC50:AJ50+TRANSPOSE(J$12:J$19)*W57+TRANSPOSE(J$22:J$29)*X57+TRANSPOSE(J$32:J$39)*Y57+TRANSPOSE(J$42:J$49)*Z57+TRANSPOSE(J$52:J$59)*AA57</f>
        <v>2.5157474467002839E+19</v>
      </c>
      <c r="AD57" s="42">
        <v>1.9452518832768984E+21</v>
      </c>
      <c r="AE57" s="42">
        <v>8.5219851112909216E+20</v>
      </c>
      <c r="AF57" s="42">
        <v>1.1892077066424389E+20</v>
      </c>
      <c r="AG57" s="42">
        <v>6.2021063064148836E+19</v>
      </c>
      <c r="AH57" s="42">
        <v>2.9548206072337441E+19</v>
      </c>
      <c r="AI57" s="42">
        <v>2.7553228411532259E+19</v>
      </c>
      <c r="AJ57" s="42">
        <v>1.4360175812310519E+22</v>
      </c>
      <c r="AL57" s="19"/>
    </row>
    <row r="58" spans="5:38">
      <c r="E58" s="110"/>
      <c r="F58" s="111">
        <v>-3.1839157843478432E-21</v>
      </c>
      <c r="G58" s="111">
        <v>-2.4624537180103959E-21</v>
      </c>
      <c r="H58" s="111">
        <v>-1.9044704837544596E-21</v>
      </c>
      <c r="I58" s="111">
        <v>-1.4729228816161991E-21</v>
      </c>
      <c r="J58" s="111">
        <v>-1.1391615083922832E-21</v>
      </c>
      <c r="K58" s="111">
        <v>-8.8102873006151707E-22</v>
      </c>
      <c r="L58" s="111">
        <v>-6.8138766756263746E-22</v>
      </c>
      <c r="M58" s="111">
        <v>-5.2698451953934941E-22</v>
      </c>
      <c r="N58" s="111">
        <v>-4.0756868302022713E-22</v>
      </c>
      <c r="O58" s="111">
        <v>-3.1521225253261642E-22</v>
      </c>
      <c r="P58" s="111" t="e">
        <v>#VALUE!</v>
      </c>
      <c r="T58" s="107">
        <v>56</v>
      </c>
      <c r="U58" s="27">
        <f t="shared" si="0"/>
        <v>4.666666666666667</v>
      </c>
      <c r="V58" s="18">
        <f t="shared" si="1"/>
        <v>147168000</v>
      </c>
      <c r="W58" s="117">
        <f>POWER($V58-$V50,W$1)/FACT(W$1)</f>
        <v>21024000</v>
      </c>
      <c r="X58" s="117">
        <f>POWER($V58-$V50,X$1)/FACT(X$1)</f>
        <v>221004288000000</v>
      </c>
      <c r="Y58" s="117">
        <f>POWER($V58-$V50,Y$1)/FACT(Y$1)</f>
        <v>1.548798050304E+21</v>
      </c>
      <c r="Z58" s="117">
        <f>POWER($V58-$V50,Z$1)/FACT(Z$1)</f>
        <v>8.1404825523978233E+27</v>
      </c>
      <c r="AA58" s="117">
        <f>POWER($V58-$V50,AA$1)/FACT(AA$1)</f>
        <v>3.422910103632237E+34</v>
      </c>
      <c r="AB58" s="117"/>
      <c r="AC58" s="119">
        <f t="array" ref="AC58:AJ58">AC50:AJ50+TRANSPOSE(J$12:J$19)*W58+TRANSPOSE(J$22:J$29)*X58+TRANSPOSE(J$32:J$39)*Y58+TRANSPOSE(J$42:J$49)*Z58+TRANSPOSE(J$52:J$59)*AA58</f>
        <v>2.5189167092574368E+19</v>
      </c>
      <c r="AD58" s="42">
        <v>1.94062688766095E+21</v>
      </c>
      <c r="AE58" s="42">
        <v>8.5357972482398736E+20</v>
      </c>
      <c r="AF58" s="42">
        <v>1.188602581030697E+20</v>
      </c>
      <c r="AG58" s="42">
        <v>6.2146430946196824E+19</v>
      </c>
      <c r="AH58" s="42">
        <v>2.9488646502973608E+19</v>
      </c>
      <c r="AI58" s="42">
        <v>2.6974178549445833E+19</v>
      </c>
      <c r="AJ58" s="42">
        <v>1.4319264427028693E+22</v>
      </c>
      <c r="AL58" s="19"/>
    </row>
    <row r="59" spans="5:38">
      <c r="E59" s="110"/>
      <c r="F59" s="111">
        <v>-2.5346640970412979E-23</v>
      </c>
      <c r="G59" s="111">
        <v>-2.4490048219525459E-23</v>
      </c>
      <c r="H59" s="111">
        <v>-2.3663332343270098E-23</v>
      </c>
      <c r="I59" s="111">
        <v>-2.2865175938572394E-23</v>
      </c>
      <c r="J59" s="111">
        <v>-2.2094399277863637E-23</v>
      </c>
      <c r="K59" s="111">
        <v>-2.134992759031196E-23</v>
      </c>
      <c r="L59" s="111">
        <v>-2.0630767930493064E-23</v>
      </c>
      <c r="M59" s="111">
        <v>-1.9935992740410005E-23</v>
      </c>
      <c r="N59" s="111">
        <v>-1.9264728088671647E-23</v>
      </c>
      <c r="O59" s="111">
        <v>-1.8616145181861475E-23</v>
      </c>
      <c r="P59" s="111" t="e">
        <v>#VALUE!</v>
      </c>
      <c r="T59" s="107">
        <v>57</v>
      </c>
      <c r="U59" s="27">
        <f t="shared" si="0"/>
        <v>4.75</v>
      </c>
      <c r="V59" s="18">
        <f t="shared" si="1"/>
        <v>149796000</v>
      </c>
      <c r="W59" s="117">
        <f>POWER($V59-$V50,W$1)/FACT(W$1)</f>
        <v>23652000</v>
      </c>
      <c r="X59" s="117">
        <f>POWER($V59-$V50,X$1)/FACT(X$1)</f>
        <v>279708552000000</v>
      </c>
      <c r="Y59" s="117">
        <f>POWER($V59-$V50,Y$1)/FACT(Y$1)</f>
        <v>2.205222223968E+21</v>
      </c>
      <c r="Z59" s="117">
        <f>POWER($V59-$V50,Z$1)/FACT(Z$1)</f>
        <v>1.3039479010322784E+28</v>
      </c>
      <c r="AA59" s="117">
        <f>POWER($V59-$V50,AA$1)/FACT(AA$1)</f>
        <v>6.1681951510430897E+34</v>
      </c>
      <c r="AB59" s="117"/>
      <c r="AC59" s="119">
        <f t="array" ref="AC59:AJ59">AC50:AJ50+TRANSPOSE(J$12:J$19)*W59+TRANSPOSE(J$22:J$29)*X59+TRANSPOSE(J$32:J$39)*Y59+TRANSPOSE(J$42:J$49)*Z59+TRANSPOSE(J$52:J$59)*AA59</f>
        <v>2.5217023254234624E+19</v>
      </c>
      <c r="AD59" s="42">
        <v>1.9359972171451227E+21</v>
      </c>
      <c r="AE59" s="42">
        <v>8.5493078118870483E+20</v>
      </c>
      <c r="AF59" s="42">
        <v>1.1880713293931263E+20</v>
      </c>
      <c r="AG59" s="42">
        <v>6.2270595111486513E+19</v>
      </c>
      <c r="AH59" s="42">
        <v>2.9429938285158572E+19</v>
      </c>
      <c r="AI59" s="42">
        <v>2.6407383093455684E+19</v>
      </c>
      <c r="AJ59" s="42">
        <v>1.4278469596175869E+22</v>
      </c>
      <c r="AL59" s="19"/>
    </row>
    <row r="60" spans="5:38">
      <c r="E60" s="110"/>
      <c r="T60" s="107">
        <v>58</v>
      </c>
      <c r="U60" s="27">
        <f t="shared" si="0"/>
        <v>4.833333333333333</v>
      </c>
      <c r="V60" s="18">
        <f t="shared" si="1"/>
        <v>152424000</v>
      </c>
      <c r="W60" s="117">
        <f>POWER($V60-$V50,W$1)/FACT(W$1)</f>
        <v>26280000</v>
      </c>
      <c r="X60" s="117">
        <f>POWER($V60-$V50,X$1)/FACT(X$1)</f>
        <v>345319200000000</v>
      </c>
      <c r="Y60" s="117">
        <f>POWER($V60-$V50,Y$1)/FACT(Y$1)</f>
        <v>3.0249961920000001E+21</v>
      </c>
      <c r="Z60" s="117">
        <f>POWER($V60-$V50,Z$1)/FACT(Z$1)</f>
        <v>1.9874224981439999E+28</v>
      </c>
      <c r="AA60" s="117">
        <f>POWER($V60-$V50,AA$1)/FACT(AA$1)</f>
        <v>1.0445892650244865E+35</v>
      </c>
      <c r="AB60" s="117"/>
      <c r="AC60" s="119">
        <f t="array" ref="AC60:AJ60">AC50:AJ50+TRANSPOSE(J$12:J$19)*W60+TRANSPOSE(J$22:J$29)*X60+TRANSPOSE(J$32:J$39)*Y60+TRANSPOSE(J$42:J$49)*Z60+TRANSPOSE(J$52:J$59)*AA60</f>
        <v>2.5241172183492002E+19</v>
      </c>
      <c r="AD60" s="42">
        <v>1.9313632251999717E+21</v>
      </c>
      <c r="AE60" s="42">
        <v>8.5625189894340438E+20</v>
      </c>
      <c r="AF60" s="42">
        <v>1.1876105062210131E+20</v>
      </c>
      <c r="AG60" s="42">
        <v>6.2393595098983842E+19</v>
      </c>
      <c r="AH60" s="42">
        <v>2.9372095214082015E+19</v>
      </c>
      <c r="AI60" s="42">
        <v>2.585258213718197E+19</v>
      </c>
      <c r="AJ60" s="42">
        <v>1.4237790987693536E+22</v>
      </c>
      <c r="AL60" s="19"/>
    </row>
    <row r="61" spans="5:38">
      <c r="E61" s="110"/>
      <c r="T61" s="107">
        <v>59</v>
      </c>
      <c r="U61" s="27">
        <f t="shared" si="0"/>
        <v>4.916666666666667</v>
      </c>
      <c r="V61" s="18">
        <f t="shared" si="1"/>
        <v>155052000</v>
      </c>
      <c r="W61" s="117">
        <f>POWER($V61-$V50,W$1)/FACT(W$1)</f>
        <v>28908000</v>
      </c>
      <c r="X61" s="117">
        <f>POWER($V61-$V50,X$1)/FACT(X$1)</f>
        <v>417836232000000</v>
      </c>
      <c r="Y61" s="117">
        <f>POWER($V61-$V50,Y$1)/FACT(Y$1)</f>
        <v>4.0262699315519999E+21</v>
      </c>
      <c r="Z61" s="117">
        <f>POWER($V61-$V50,Z$1)/FACT(Z$1)</f>
        <v>2.9097852795326301E+28</v>
      </c>
      <c r="AA61" s="117">
        <f>POWER($V61-$V50,AA$1)/FACT(AA$1)</f>
        <v>1.6823214572145855E+35</v>
      </c>
      <c r="AB61" s="117"/>
      <c r="AC61" s="119">
        <f t="array" ref="AC61:AJ61">AC50:AJ50+TRANSPOSE(J$12:J$19)*W61+TRANSPOSE(J$22:J$29)*X61+TRANSPOSE(J$32:J$39)*Y61+TRANSPOSE(J$42:J$49)*Z61+TRANSPOSE(J$52:J$59)*AA61</f>
        <v>2.5261739948759761E+19</v>
      </c>
      <c r="AD61" s="42">
        <v>1.9267252581401022E+21</v>
      </c>
      <c r="AE61" s="42">
        <v>8.5754329650454449E+20</v>
      </c>
      <c r="AF61" s="42">
        <v>1.1872167724032691E+20</v>
      </c>
      <c r="AG61" s="42">
        <v>6.2515468909340328E+19</v>
      </c>
      <c r="AH61" s="42">
        <v>2.9315129627447718E+19</v>
      </c>
      <c r="AI61" s="42">
        <v>2.5309521157547827E+19</v>
      </c>
      <c r="AJ61" s="42">
        <v>1.4197228270468886E+22</v>
      </c>
      <c r="AL61" s="19"/>
    </row>
    <row r="62" spans="5:38">
      <c r="F62" s="110"/>
      <c r="T62" s="107">
        <v>60</v>
      </c>
      <c r="U62" s="27">
        <f t="shared" si="0"/>
        <v>5</v>
      </c>
      <c r="V62" s="18">
        <f t="shared" si="1"/>
        <v>157680000</v>
      </c>
      <c r="W62" s="117">
        <f>POWER($V62-$V50,W$1)/FACT(W$1)</f>
        <v>31536000</v>
      </c>
      <c r="X62" s="117">
        <f>POWER($V62-$V50,X$1)/FACT(X$1)</f>
        <v>497259648000000</v>
      </c>
      <c r="Y62" s="117">
        <f>POWER($V62-$V50,Y$1)/FACT(Y$1)</f>
        <v>5.227193419776E+21</v>
      </c>
      <c r="Z62" s="117">
        <f>POWER($V62-$V50,Z$1)/FACT(Z$1)</f>
        <v>4.121119292151398E+28</v>
      </c>
      <c r="AA62" s="117">
        <f>POWER($V62-$V50,AA$1)/FACT(AA$1)</f>
        <v>2.5992723599457299E+35</v>
      </c>
      <c r="AB62" s="117"/>
      <c r="AC62" s="119">
        <f t="array" ref="AC62:AJ62">AC50:AJ50+TRANSPOSE(J$12:J$19)*W62+TRANSPOSE(J$22:J$29)*X62+TRANSPOSE(J$32:J$39)*Y62+TRANSPOSE(J$42:J$49)*Z62+TRANSPOSE(J$52:J$59)*AA62</f>
        <v>2.5278849523607638E+19</v>
      </c>
      <c r="AD62" s="42">
        <v>1.9220836552823928E+21</v>
      </c>
      <c r="AE62" s="42">
        <v>8.5880519194883575E+20</v>
      </c>
      <c r="AF62" s="42">
        <v>1.1868868907983936E+20</v>
      </c>
      <c r="AG62" s="42">
        <v>6.2636253074399281E+19</v>
      </c>
      <c r="AH62" s="42">
        <v>2.9259052507885666E+19</v>
      </c>
      <c r="AI62" s="42">
        <v>2.4777950871984574E+19</v>
      </c>
      <c r="AJ62" s="42">
        <v>1.4156781114332042E+22</v>
      </c>
      <c r="AL62" s="19"/>
    </row>
    <row r="63" spans="5:38">
      <c r="F63" s="110"/>
      <c r="T63" s="107">
        <v>61</v>
      </c>
      <c r="U63" s="27">
        <f t="shared" si="0"/>
        <v>5.083333333333333</v>
      </c>
      <c r="V63" s="18">
        <f t="shared" si="1"/>
        <v>160308000</v>
      </c>
      <c r="W63" s="117">
        <f>POWER($V63-$V62,W$1)/FACT(W$1)</f>
        <v>2628000</v>
      </c>
      <c r="X63" s="117">
        <f>POWER($V63-$V62,X$1)/FACT(X$1)</f>
        <v>3453192000000</v>
      </c>
      <c r="Y63" s="117">
        <f>POWER($V63-$V62,Y$1)/FACT(Y$1)</f>
        <v>3.024996192E+18</v>
      </c>
      <c r="Z63" s="117">
        <f>POWER($V63-$V62,Z$1)/FACT(Z$1)</f>
        <v>1.9874224981439998E+24</v>
      </c>
      <c r="AA63" s="117">
        <f>POWER($V63-$V62,AA$1)/FACT(AA$1)</f>
        <v>1.0445892650244864E+30</v>
      </c>
      <c r="AB63" s="117"/>
      <c r="AC63" s="119">
        <f t="array" ref="AC63:AJ63">AC62:AJ62+TRANSPOSE(K$12:K$19)*W63+TRANSPOSE(K$22:K$29)*X63+TRANSPOSE(K$32:K$39)*Y63+TRANSPOSE(K$42:K$49)*Z63+TRANSPOSE(K$52:K$59)*AA63</f>
        <v>2.5292619075303313E+19</v>
      </c>
      <c r="AD63" s="42">
        <v>1.9174387417865084E+21</v>
      </c>
      <c r="AE63" s="42">
        <v>8.600378053747325E+20</v>
      </c>
      <c r="AF63" s="42">
        <v>1.1866180561210876E+20</v>
      </c>
      <c r="AG63" s="42">
        <v>6.275597751085985E+19</v>
      </c>
      <c r="AH63" s="42">
        <v>2.9203864381665047E+19</v>
      </c>
      <c r="AI63" s="42">
        <v>2.4257634835576541E+19</v>
      </c>
      <c r="AJ63" s="42">
        <v>1.4116449190073487E+22</v>
      </c>
      <c r="AL63" s="19"/>
    </row>
    <row r="64" spans="5:38">
      <c r="F64" s="110"/>
      <c r="T64" s="107">
        <v>62</v>
      </c>
      <c r="U64" s="27">
        <f t="shared" si="0"/>
        <v>5.166666666666667</v>
      </c>
      <c r="V64" s="18">
        <f t="shared" si="1"/>
        <v>162936000</v>
      </c>
      <c r="W64" s="117">
        <f>POWER($V64-$V62,W$1)/FACT(W$1)</f>
        <v>5256000</v>
      </c>
      <c r="X64" s="117">
        <f>POWER($V64-$V62,X$1)/FACT(X$1)</f>
        <v>13812768000000</v>
      </c>
      <c r="Y64" s="117">
        <f>POWER($V64-$V62,Y$1)/FACT(Y$1)</f>
        <v>2.4199969536E+19</v>
      </c>
      <c r="Z64" s="117">
        <f>POWER($V64-$V62,Z$1)/FACT(Z$1)</f>
        <v>3.1798759970303997E+25</v>
      </c>
      <c r="AA64" s="117">
        <f>POWER($V64-$V62,AA$1)/FACT(AA$1)</f>
        <v>3.3426856480783565E+31</v>
      </c>
      <c r="AB64" s="117"/>
      <c r="AC64" s="119">
        <f t="array" ref="AC64:AJ64">AC62:AJ62+TRANSPOSE(K$12:K$19)*W64+TRANSPOSE(K$22:K$29)*X64+TRANSPOSE(K$32:K$39)*Y64+TRANSPOSE(K$42:K$49)*Z64+TRANSPOSE(K$52:K$59)*AA64</f>
        <v>2.5303166505971208E+19</v>
      </c>
      <c r="AD64" s="42">
        <v>1.9127908474787529E+21</v>
      </c>
      <c r="AE64" s="42">
        <v>8.6124135274700394E+20</v>
      </c>
      <c r="AF64" s="42">
        <v>1.1864070341822936E+20</v>
      </c>
      <c r="AG64" s="42">
        <v>6.2874678946464039E+19</v>
      </c>
      <c r="AH64" s="42">
        <v>2.9149579022299845E+19</v>
      </c>
      <c r="AI64" s="42">
        <v>2.3748329537637671E+19</v>
      </c>
      <c r="AJ64" s="42">
        <v>1.4076232169390103E+22</v>
      </c>
      <c r="AL64" s="19"/>
    </row>
    <row r="65" spans="1:38">
      <c r="F65" s="110"/>
      <c r="T65" s="107">
        <v>63</v>
      </c>
      <c r="U65" s="27">
        <f t="shared" si="0"/>
        <v>5.25</v>
      </c>
      <c r="V65" s="18">
        <f t="shared" si="1"/>
        <v>165564000</v>
      </c>
      <c r="W65" s="117">
        <f>POWER($V65-$V62,W$1)/FACT(W$1)</f>
        <v>7884000</v>
      </c>
      <c r="X65" s="117">
        <f>POWER($V65-$V62,X$1)/FACT(X$1)</f>
        <v>31078728000000</v>
      </c>
      <c r="Y65" s="117">
        <f>POWER($V65-$V62,Y$1)/FACT(Y$1)</f>
        <v>8.1674897184E+19</v>
      </c>
      <c r="Z65" s="117">
        <f>POWER($V65-$V62,Z$1)/FACT(Z$1)</f>
        <v>1.6098122234966398E+26</v>
      </c>
      <c r="AA65" s="117">
        <f>POWER($V65-$V62,AA$1)/FACT(AA$1)</f>
        <v>2.5383519140095018E+32</v>
      </c>
      <c r="AB65" s="117"/>
      <c r="AC65" s="119">
        <f t="array" ref="AC65:AJ65">AC62:AJ62+TRANSPOSE(K$12:K$19)*W65+TRANSPOSE(K$22:K$29)*X65+TRANSPOSE(K$32:K$39)*Y65+TRANSPOSE(K$42:K$49)*Z65+TRANSPOSE(K$52:K$59)*AA65</f>
        <v>2.5310605615625998E+19</v>
      </c>
      <c r="AD65" s="42">
        <v>1.9081402905174257E+21</v>
      </c>
      <c r="AE65" s="42">
        <v>8.6241605127025407E+20</v>
      </c>
      <c r="AF65" s="42">
        <v>1.186250916599216E+20</v>
      </c>
      <c r="AG65" s="42">
        <v>6.2992389151244018E+19</v>
      </c>
      <c r="AH65" s="42">
        <v>2.9096202612237042E+19</v>
      </c>
      <c r="AI65" s="42">
        <v>2.3249801731416486E+19</v>
      </c>
      <c r="AJ65" s="42">
        <v>1.4036129724927406E+22</v>
      </c>
      <c r="AL65" s="19"/>
    </row>
    <row r="66" spans="1:38">
      <c r="F66" s="110"/>
      <c r="T66" s="107">
        <v>64</v>
      </c>
      <c r="U66" s="27">
        <f t="shared" ref="U66:U129" si="3">V66/(3600*365*24)</f>
        <v>5.333333333333333</v>
      </c>
      <c r="V66" s="18">
        <f t="shared" ref="V66:V129" si="4">T66*D$5</f>
        <v>168192000</v>
      </c>
      <c r="W66" s="117">
        <f>POWER($V66-$V62,W$1)/FACT(W$1)</f>
        <v>10512000</v>
      </c>
      <c r="X66" s="117">
        <f>POWER($V66-$V62,X$1)/FACT(X$1)</f>
        <v>55251072000000</v>
      </c>
      <c r="Y66" s="117">
        <f>POWER($V66-$V62,Y$1)/FACT(Y$1)</f>
        <v>1.93599756288E+20</v>
      </c>
      <c r="Z66" s="117">
        <f>POWER($V66-$V62,Z$1)/FACT(Z$1)</f>
        <v>5.0878015952486396E+26</v>
      </c>
      <c r="AA66" s="117">
        <f>POWER($V66-$V62,AA$1)/FACT(AA$1)</f>
        <v>1.0696594073850741E+33</v>
      </c>
      <c r="AB66" s="117"/>
      <c r="AC66" s="119">
        <f t="array" ref="AC66:AJ66">AC62:AJ62+TRANSPOSE(K$12:K$19)*W66+TRANSPOSE(K$22:K$29)*X66+TRANSPOSE(K$32:K$39)*Y66+TRANSPOSE(K$42:K$49)*Z66+TRANSPOSE(K$52:K$59)*AA66</f>
        <v>2.5315047311750672E+19</v>
      </c>
      <c r="AD66" s="42">
        <v>1.9034873824409876E+21</v>
      </c>
      <c r="AE66" s="42">
        <v>8.6356211774811144E+20</v>
      </c>
      <c r="AF66" s="42">
        <v>1.1861468904171969E+20</v>
      </c>
      <c r="AG66" s="42">
        <v>6.3109138529718493E+19</v>
      </c>
      <c r="AH66" s="42">
        <v>2.9043740084474556E+19</v>
      </c>
      <c r="AI66" s="42">
        <v>2.2761823106650128E+19</v>
      </c>
      <c r="AJ66" s="42">
        <v>1.3996141530263528E+22</v>
      </c>
      <c r="AL66" s="19"/>
    </row>
    <row r="67" spans="1:38">
      <c r="F67" s="110"/>
      <c r="T67" s="107">
        <v>65</v>
      </c>
      <c r="U67" s="27">
        <f t="shared" si="3"/>
        <v>5.416666666666667</v>
      </c>
      <c r="V67" s="18">
        <f t="shared" si="4"/>
        <v>170820000</v>
      </c>
      <c r="W67" s="117">
        <f>POWER($V67-$V62,W$1)/FACT(W$1)</f>
        <v>13140000</v>
      </c>
      <c r="X67" s="117">
        <f>POWER($V67-$V62,X$1)/FACT(X$1)</f>
        <v>86329800000000</v>
      </c>
      <c r="Y67" s="117">
        <f>POWER($V67-$V62,Y$1)/FACT(Y$1)</f>
        <v>3.7812452400000002E+20</v>
      </c>
      <c r="Z67" s="117">
        <f>POWER($V67-$V62,Z$1)/FACT(Z$1)</f>
        <v>1.2421390613399999E+27</v>
      </c>
      <c r="AA67" s="117">
        <f>POWER($V67-$V62,AA$1)/FACT(AA$1)</f>
        <v>3.2643414532015203E+33</v>
      </c>
      <c r="AB67" s="117"/>
      <c r="AC67" s="119">
        <f t="array" ref="AC67:AJ67">AC62:AJ62+TRANSPOSE(K$12:K$19)*W67+TRANSPOSE(K$22:K$29)*X67+TRANSPOSE(K$32:K$39)*Y67+TRANSPOSE(K$42:K$49)*Z67+TRANSPOSE(K$52:K$59)*AA67</f>
        <v>2.5316599668574077E+19</v>
      </c>
      <c r="AD67" s="42">
        <v>1.8988324282952791E+21</v>
      </c>
      <c r="AE67" s="42">
        <v>8.6467976855723875E+20</v>
      </c>
      <c r="AF67" s="42">
        <v>1.1860922350181283E+20</v>
      </c>
      <c r="AG67" s="42">
        <v>6.3224956169474064E+19</v>
      </c>
      <c r="AH67" s="42">
        <v>2.8992195188764041E+19</v>
      </c>
      <c r="AI67" s="42">
        <v>2.2284170179126759E+19</v>
      </c>
      <c r="AJ67" s="42">
        <v>1.395626725990653E+22</v>
      </c>
      <c r="AL67" s="19"/>
    </row>
    <row r="68" spans="1:38">
      <c r="F68" s="110"/>
      <c r="T68" s="107">
        <v>66</v>
      </c>
      <c r="U68" s="27">
        <f t="shared" si="3"/>
        <v>5.5</v>
      </c>
      <c r="V68" s="18">
        <f t="shared" si="4"/>
        <v>173448000</v>
      </c>
      <c r="W68" s="117">
        <f>POWER($V68-$V62,W$1)/FACT(W$1)</f>
        <v>15768000</v>
      </c>
      <c r="X68" s="117">
        <f>POWER($V68-$V62,X$1)/FACT(X$1)</f>
        <v>124314912000000</v>
      </c>
      <c r="Y68" s="117">
        <f>POWER($V68-$V62,Y$1)/FACT(Y$1)</f>
        <v>6.53399177472E+20</v>
      </c>
      <c r="Z68" s="117">
        <f>POWER($V68-$V62,Z$1)/FACT(Z$1)</f>
        <v>2.5756995575946237E+27</v>
      </c>
      <c r="AA68" s="117">
        <f>POWER($V68-$V62,AA$1)/FACT(AA$1)</f>
        <v>8.1227261248304059E+33</v>
      </c>
      <c r="AB68" s="117"/>
      <c r="AC68" s="119">
        <f t="array" ref="AC68:AJ68">AC62:AJ62+TRANSPOSE(K$12:K$19)*W68+TRANSPOSE(K$22:K$29)*X68+TRANSPOSE(K$32:K$39)*Y68+TRANSPOSE(K$42:K$49)*Z68+TRANSPOSE(K$52:K$59)*AA68</f>
        <v>2.5315367986348536E+19</v>
      </c>
      <c r="AD68" s="42">
        <v>1.8941757267607455E+21</v>
      </c>
      <c r="AE68" s="42">
        <v>8.6576921962134084E+20</v>
      </c>
      <c r="AF68" s="42">
        <v>1.1860843190288674E+20</v>
      </c>
      <c r="AG68" s="42">
        <v>6.3339869889746371E+19</v>
      </c>
      <c r="AH68" s="42">
        <v>2.8941570557813686E+19</v>
      </c>
      <c r="AI68" s="42">
        <v>2.1816624180248011E+19</v>
      </c>
      <c r="AJ68" s="42">
        <v>1.3916506589291707E+22</v>
      </c>
      <c r="AL68" s="19"/>
    </row>
    <row r="69" spans="1:38">
      <c r="F69" s="110"/>
      <c r="T69" s="107">
        <v>67</v>
      </c>
      <c r="U69" s="27">
        <f t="shared" si="3"/>
        <v>5.583333333333333</v>
      </c>
      <c r="V69" s="18">
        <f t="shared" si="4"/>
        <v>176076000</v>
      </c>
      <c r="W69" s="117">
        <f>POWER($V69-$V62,W$1)/FACT(W$1)</f>
        <v>18396000</v>
      </c>
      <c r="X69" s="117">
        <f>POWER($V69-$V62,X$1)/FACT(X$1)</f>
        <v>169206408000000</v>
      </c>
      <c r="Y69" s="117">
        <f>POWER($V69-$V62,Y$1)/FACT(Y$1)</f>
        <v>1.037573693856E+21</v>
      </c>
      <c r="Z69" s="117">
        <f>POWER($V69-$V62,Z$1)/FACT(Z$1)</f>
        <v>4.7718014180437445E+27</v>
      </c>
      <c r="AA69" s="117">
        <f>POWER($V69-$V62,AA$1)/FACT(AA$1)</f>
        <v>1.7556411777266544E+34</v>
      </c>
      <c r="AB69" s="117"/>
      <c r="AC69" s="119">
        <f t="array" ref="AC69:AJ69">AC62:AJ62+TRANSPOSE(K$12:K$19)*W69+TRANSPOSE(K$22:K$29)*X69+TRANSPOSE(K$32:K$39)*Y69+TRANSPOSE(K$42:K$49)*Z69+TRANSPOSE(K$52:K$59)*AA69</f>
        <v>2.5311454850627351E+19</v>
      </c>
      <c r="AD69" s="42">
        <v>1.8895175702796535E+21</v>
      </c>
      <c r="AE69" s="42">
        <v>8.66830686385175E+20</v>
      </c>
      <c r="AF69" s="42">
        <v>1.1861205972296478E+20</v>
      </c>
      <c r="AG69" s="42">
        <v>6.3453906290001322E+19</v>
      </c>
      <c r="AH69" s="42">
        <v>2.8891867773491024E+19</v>
      </c>
      <c r="AI69" s="42">
        <v>2.1358970946591379E+19</v>
      </c>
      <c r="AJ69" s="42">
        <v>1.3876859194778952E+22</v>
      </c>
      <c r="AL69" s="19"/>
    </row>
    <row r="70" spans="1:38">
      <c r="T70" s="107">
        <v>68</v>
      </c>
      <c r="U70" s="27">
        <f t="shared" si="3"/>
        <v>5.666666666666667</v>
      </c>
      <c r="V70" s="18">
        <f t="shared" si="4"/>
        <v>178704000</v>
      </c>
      <c r="W70" s="117">
        <f>POWER($V70-$V62,W$1)/FACT(W$1)</f>
        <v>21024000</v>
      </c>
      <c r="X70" s="117">
        <f>POWER($V70-$V62,X$1)/FACT(X$1)</f>
        <v>221004288000000</v>
      </c>
      <c r="Y70" s="117">
        <f>POWER($V70-$V62,Y$1)/FACT(Y$1)</f>
        <v>1.548798050304E+21</v>
      </c>
      <c r="Z70" s="117">
        <f>POWER($V70-$V62,Z$1)/FACT(Z$1)</f>
        <v>8.1404825523978233E+27</v>
      </c>
      <c r="AA70" s="117">
        <f>POWER($V70-$V62,AA$1)/FACT(AA$1)</f>
        <v>3.422910103632237E+34</v>
      </c>
      <c r="AB70" s="117"/>
      <c r="AC70" s="119">
        <f t="array" ref="AC70:AJ70">AC62:AJ62+TRANSPOSE(K$12:K$19)*W70+TRANSPOSE(K$22:K$29)*X70+TRANSPOSE(K$32:K$39)*Y70+TRANSPOSE(K$42:K$49)*Z70+TRANSPOSE(K$52:K$59)*AA70</f>
        <v>2.5304960191542432E+19</v>
      </c>
      <c r="AD70" s="42">
        <v>1.8848582451833162E+21</v>
      </c>
      <c r="AE70" s="42">
        <v>8.6786438378855858E+20</v>
      </c>
      <c r="AF70" s="42">
        <v>1.1861986074624945E+20</v>
      </c>
      <c r="AG70" s="42">
        <v>6.3567090798516355E+19</v>
      </c>
      <c r="AH70" s="42">
        <v>2.8843087433025741E+19</v>
      </c>
      <c r="AI70" s="42">
        <v>2.0911000809472659E+19</v>
      </c>
      <c r="AJ70" s="42">
        <v>1.3837324753650045E+22</v>
      </c>
      <c r="AL70" s="19"/>
    </row>
    <row r="71" spans="1:38">
      <c r="T71" s="107">
        <v>69</v>
      </c>
      <c r="U71" s="27">
        <f t="shared" si="3"/>
        <v>5.75</v>
      </c>
      <c r="V71" s="18">
        <f t="shared" si="4"/>
        <v>181332000</v>
      </c>
      <c r="W71" s="117">
        <f>POWER($V71-$V62,W$1)/FACT(W$1)</f>
        <v>23652000</v>
      </c>
      <c r="X71" s="117">
        <f>POWER($V71-$V62,X$1)/FACT(X$1)</f>
        <v>279708552000000</v>
      </c>
      <c r="Y71" s="117">
        <f>POWER($V71-$V62,Y$1)/FACT(Y$1)</f>
        <v>2.205222223968E+21</v>
      </c>
      <c r="Z71" s="117">
        <f>POWER($V71-$V62,Z$1)/FACT(Z$1)</f>
        <v>1.3039479010322784E+28</v>
      </c>
      <c r="AA71" s="117">
        <f>POWER($V71-$V62,AA$1)/FACT(AA$1)</f>
        <v>6.1681951510430897E+34</v>
      </c>
      <c r="AB71" s="117"/>
      <c r="AC71" s="119">
        <f t="array" ref="AC71:AJ71">AC62:AJ62+TRANSPOSE(K$12:K$19)*W71+TRANSPOSE(K$22:K$29)*X71+TRANSPOSE(K$32:K$39)*Y71+TRANSPOSE(K$42:K$49)*Z71+TRANSPOSE(K$52:K$59)*AA71</f>
        <v>2.5295981343081812E+19</v>
      </c>
      <c r="AD71" s="42">
        <v>1.8801980318193138E+21</v>
      </c>
      <c r="AE71" s="42">
        <v>8.6887052624037911E+20</v>
      </c>
      <c r="AF71" s="42">
        <v>1.1863159675396347E+20</v>
      </c>
      <c r="AG71" s="42">
        <v>6.3679447720961647E+19</v>
      </c>
      <c r="AH71" s="42">
        <v>2.8795229215212483E+19</v>
      </c>
      <c r="AI71" s="42">
        <v>2.0472508484508369E+19</v>
      </c>
      <c r="AJ71" s="42">
        <v>1.3797902944105983E+22</v>
      </c>
      <c r="AL71" s="19"/>
    </row>
    <row r="72" spans="1:38">
      <c r="T72" s="107">
        <v>70</v>
      </c>
      <c r="U72" s="27">
        <f t="shared" si="3"/>
        <v>5.833333333333333</v>
      </c>
      <c r="V72" s="18">
        <f t="shared" si="4"/>
        <v>183960000</v>
      </c>
      <c r="W72" s="117">
        <f>POWER($V72-$V62,W$1)/FACT(W$1)</f>
        <v>26280000</v>
      </c>
      <c r="X72" s="117">
        <f>POWER($V72-$V62,X$1)/FACT(X$1)</f>
        <v>345319200000000</v>
      </c>
      <c r="Y72" s="117">
        <f>POWER($V72-$V62,Y$1)/FACT(Y$1)</f>
        <v>3.0249961920000001E+21</v>
      </c>
      <c r="Z72" s="117">
        <f>POWER($V72-$V62,Z$1)/FACT(Z$1)</f>
        <v>1.9874224981439999E+28</v>
      </c>
      <c r="AA72" s="117">
        <f>POWER($V72-$V62,AA$1)/FACT(AA$1)</f>
        <v>1.0445892650244865E+35</v>
      </c>
      <c r="AB72" s="117"/>
      <c r="AC72" s="119">
        <f t="array" ref="AC72:AJ72">AC62:AJ62+TRANSPOSE(K$12:K$19)*W72+TRANSPOSE(K$22:K$29)*X72+TRANSPOSE(K$32:K$39)*Y72+TRANSPOSE(K$42:K$49)*Z72+TRANSPOSE(K$52:K$59)*AA72</f>
        <v>2.5284613102367257E+19</v>
      </c>
      <c r="AD72" s="42">
        <v>1.8755372046787137E+21</v>
      </c>
      <c r="AE72" s="42">
        <v>8.6984932759260208E+20</v>
      </c>
      <c r="AF72" s="42">
        <v>1.186470372151913E+20</v>
      </c>
      <c r="AG72" s="42">
        <v>6.3791000288981393E+19</v>
      </c>
      <c r="AH72" s="42">
        <v>2.8748291946613641E+19</v>
      </c>
      <c r="AI72" s="42">
        <v>2.0043292961178141E+19</v>
      </c>
      <c r="AJ72" s="42">
        <v>1.3758593445264324E+22</v>
      </c>
      <c r="AL72" s="19"/>
    </row>
    <row r="73" spans="1:38">
      <c r="S73" s="24"/>
      <c r="T73" s="107">
        <v>71</v>
      </c>
      <c r="U73" s="27">
        <f t="shared" si="3"/>
        <v>5.916666666666667</v>
      </c>
      <c r="V73" s="18">
        <f t="shared" si="4"/>
        <v>186588000</v>
      </c>
      <c r="W73" s="117">
        <f>POWER($V73-$V62,W$1)/FACT(W$1)</f>
        <v>28908000</v>
      </c>
      <c r="X73" s="117">
        <f>POWER($V73-$V62,X$1)/FACT(X$1)</f>
        <v>417836232000000</v>
      </c>
      <c r="Y73" s="117">
        <f>POWER($V73-$V62,Y$1)/FACT(Y$1)</f>
        <v>4.0262699315519999E+21</v>
      </c>
      <c r="Z73" s="117">
        <f>POWER($V73-$V62,Z$1)/FACT(Z$1)</f>
        <v>2.9097852795326301E+28</v>
      </c>
      <c r="AA73" s="117">
        <f>POWER($V73-$V62,AA$1)/FACT(AA$1)</f>
        <v>1.6823214572145855E+35</v>
      </c>
      <c r="AB73" s="117"/>
      <c r="AC73" s="119">
        <f t="array" ref="AC73:AJ73">AC62:AJ62+TRANSPOSE(K$12:K$19)*W73+TRANSPOSE(K$22:K$29)*X73+TRANSPOSE(K$32:K$39)*Y73+TRANSPOSE(K$42:K$49)*Z73+TRANSPOSE(K$52:K$59)*AA73</f>
        <v>2.5270947788931817E+19</v>
      </c>
      <c r="AD73" s="42">
        <v>1.8708760325232929E+21</v>
      </c>
      <c r="AE73" s="42">
        <v>8.7080100111428026E+20</v>
      </c>
      <c r="AF73" s="42">
        <v>1.1866595897772043E+20</v>
      </c>
      <c r="AG73" s="42">
        <v>6.3901770708774896E+19</v>
      </c>
      <c r="AH73" s="42">
        <v>2.8702273667762192E+19</v>
      </c>
      <c r="AI73" s="42">
        <v>1.9623157392387215E+19</v>
      </c>
      <c r="AJ73" s="42">
        <v>1.3719395937156493E+22</v>
      </c>
      <c r="AL73" s="19"/>
    </row>
    <row r="74" spans="1:38">
      <c r="T74" s="107">
        <v>72</v>
      </c>
      <c r="U74" s="27">
        <f t="shared" si="3"/>
        <v>6</v>
      </c>
      <c r="V74" s="18">
        <f t="shared" si="4"/>
        <v>189216000</v>
      </c>
      <c r="W74" s="117">
        <f>POWER($V74-$V62,W$1)/FACT(W$1)</f>
        <v>31536000</v>
      </c>
      <c r="X74" s="117">
        <f>POWER($V74-$V62,X$1)/FACT(X$1)</f>
        <v>497259648000000</v>
      </c>
      <c r="Y74" s="117">
        <f>POWER($V74-$V62,Y$1)/FACT(Y$1)</f>
        <v>5.227193419776E+21</v>
      </c>
      <c r="Z74" s="117">
        <f>POWER($V74-$V62,Z$1)/FACT(Z$1)</f>
        <v>4.121119292151398E+28</v>
      </c>
      <c r="AA74" s="117">
        <f>POWER($V74-$V62,AA$1)/FACT(AA$1)</f>
        <v>2.5992723599457299E+35</v>
      </c>
      <c r="AB74" s="117"/>
      <c r="AC74" s="119">
        <f t="array" ref="AC74:AJ74">AC62:AJ62+TRANSPOSE(K$12:K$19)*W74+TRANSPOSE(K$22:K$29)*X74+TRANSPOSE(K$32:K$39)*Y74+TRANSPOSE(K$42:K$49)*Z74+TRANSPOSE(K$52:K$59)*AA74</f>
        <v>2.5255075303997342E+19</v>
      </c>
      <c r="AD74" s="42">
        <v>1.8662147785127588E+21</v>
      </c>
      <c r="AE74" s="42">
        <v>8.7172575946556414E+20</v>
      </c>
      <c r="AF74" s="42">
        <v>1.1868814595888251E+20</v>
      </c>
      <c r="AG74" s="42">
        <v>6.4011780209677976E+19</v>
      </c>
      <c r="AH74" s="42">
        <v>2.8657171699364463E+19</v>
      </c>
      <c r="AI74" s="42">
        <v>1.9211908984028762E+19</v>
      </c>
      <c r="AJ74" s="42">
        <v>1.3680310100725101E+22</v>
      </c>
      <c r="AL74" s="19"/>
    </row>
    <row r="75" spans="1:38">
      <c r="T75" s="107">
        <v>73</v>
      </c>
      <c r="U75" s="27">
        <f t="shared" si="3"/>
        <v>6.083333333333333</v>
      </c>
      <c r="V75" s="18">
        <f t="shared" si="4"/>
        <v>191844000</v>
      </c>
      <c r="W75" s="117">
        <f>POWER($V75-$V74,W$1)/FACT(W$1)</f>
        <v>2628000</v>
      </c>
      <c r="X75" s="117">
        <f>POWER($V75-$V74,X$1)/FACT(X$1)</f>
        <v>3453192000000</v>
      </c>
      <c r="Y75" s="117">
        <f>POWER($V75-$V74,Y$1)/FACT(Y$1)</f>
        <v>3.024996192E+18</v>
      </c>
      <c r="Z75" s="117">
        <f>POWER($V75-$V74,Z$1)/FACT(Z$1)</f>
        <v>1.9874224981439998E+24</v>
      </c>
      <c r="AA75" s="117">
        <f>POWER($V75-$V74,AA$1)/FACT(AA$1)</f>
        <v>1.0445892650244864E+30</v>
      </c>
      <c r="AB75" s="117"/>
      <c r="AC75" s="119">
        <f t="array" ref="AC75:AJ75">AC74:AJ74+TRANSPOSE(L$12:L$19)*W75+TRANSPOSE(L$22:L$29)*X75+TRANSPOSE(L$32:L$39)*Y75+TRANSPOSE(L$42:L$49)*Z75+TRANSPOSE(L$52:L$59)*AA75</f>
        <v>2.5237081184178864E+19</v>
      </c>
      <c r="AD75" s="42">
        <v>1.8615536944946078E+21</v>
      </c>
      <c r="AE75" s="42">
        <v>8.726238165392809E+20</v>
      </c>
      <c r="AF75" s="42">
        <v>1.1871341216949654E+20</v>
      </c>
      <c r="AG75" s="42">
        <v>6.4121045422194622E+19</v>
      </c>
      <c r="AH75" s="42">
        <v>2.8612976527908012E+19</v>
      </c>
      <c r="AI75" s="42">
        <v>1.8809364870653096E+19</v>
      </c>
      <c r="AJ75" s="42">
        <v>1.3641335617840795E+22</v>
      </c>
      <c r="AL75" s="19"/>
    </row>
    <row r="76" spans="1:38">
      <c r="T76" s="107">
        <v>74</v>
      </c>
      <c r="U76" s="27">
        <f t="shared" si="3"/>
        <v>6.166666666666667</v>
      </c>
      <c r="V76" s="18">
        <f t="shared" si="4"/>
        <v>194472000</v>
      </c>
      <c r="W76" s="117">
        <f>POWER($V76-$V74,W$1)/FACT(W$1)</f>
        <v>5256000</v>
      </c>
      <c r="X76" s="117">
        <f>POWER($V76-$V74,X$1)/FACT(X$1)</f>
        <v>13812768000000</v>
      </c>
      <c r="Y76" s="117">
        <f>POWER($V76-$V74,Y$1)/FACT(Y$1)</f>
        <v>2.4199969536E+19</v>
      </c>
      <c r="Z76" s="117">
        <f>POWER($V76-$V74,Z$1)/FACT(Z$1)</f>
        <v>3.1798759970303997E+25</v>
      </c>
      <c r="AA76" s="117">
        <f>POWER($V76-$V74,AA$1)/FACT(AA$1)</f>
        <v>3.3426856480783565E+31</v>
      </c>
      <c r="AB76" s="117"/>
      <c r="AC76" s="119">
        <f t="array" ref="AC76:AJ76">AC74:AJ74+TRANSPOSE(L$12:L$19)*W76+TRANSPOSE(L$22:L$29)*X76+TRANSPOSE(L$32:L$39)*Y76+TRANSPOSE(L$42:L$49)*Z76+TRANSPOSE(L$52:L$59)*AA76</f>
        <v>2.5217051733436129E+19</v>
      </c>
      <c r="AD76" s="42">
        <v>1.8568930360184115E+21</v>
      </c>
      <c r="AE76" s="42">
        <v>8.7349538266765958E+20</v>
      </c>
      <c r="AF76" s="42">
        <v>1.1874154163880831E+20</v>
      </c>
      <c r="AG76" s="42">
        <v>6.42295878259224E+19</v>
      </c>
      <c r="AH76" s="42">
        <v>2.8569687724351353E+19</v>
      </c>
      <c r="AI76" s="42">
        <v>1.8415336722063604E+19</v>
      </c>
      <c r="AJ76" s="42">
        <v>1.3602472171250125E+22</v>
      </c>
      <c r="AL76" s="19"/>
    </row>
    <row r="77" spans="1:38">
      <c r="T77" s="107">
        <v>75</v>
      </c>
      <c r="U77" s="27">
        <f t="shared" si="3"/>
        <v>6.25</v>
      </c>
      <c r="V77" s="18">
        <f t="shared" si="4"/>
        <v>197100000</v>
      </c>
      <c r="W77" s="117">
        <f>POWER($V77-$V74,W$1)/FACT(W$1)</f>
        <v>7884000</v>
      </c>
      <c r="X77" s="117">
        <f>POWER($V77-$V74,X$1)/FACT(X$1)</f>
        <v>31078728000000</v>
      </c>
      <c r="Y77" s="117">
        <f>POWER($V77-$V74,Y$1)/FACT(Y$1)</f>
        <v>8.1674897184E+19</v>
      </c>
      <c r="Z77" s="117">
        <f>POWER($V77-$V74,Z$1)/FACT(Z$1)</f>
        <v>1.6098122234966398E+26</v>
      </c>
      <c r="AA77" s="117">
        <f>POWER($V77-$V74,AA$1)/FACT(AA$1)</f>
        <v>2.5383519140095018E+32</v>
      </c>
      <c r="AB77" s="117"/>
      <c r="AC77" s="119">
        <f t="array" ref="AC77:AJ77">AC74:AJ74+TRANSPOSE(L$12:L$19)*W77+TRANSPOSE(L$22:L$29)*X77+TRANSPOSE(L$32:L$39)*Y77+TRANSPOSE(L$42:L$49)*Z77+TRANSPOSE(L$52:L$59)*AA77</f>
        <v>2.5195069630603432E+19</v>
      </c>
      <c r="AD77" s="42">
        <v>1.8522330493107257E+21</v>
      </c>
      <c r="AE77" s="42">
        <v>8.7434066881102637E+20</v>
      </c>
      <c r="AF77" s="42">
        <v>1.1877234108723852E+20</v>
      </c>
      <c r="AG77" s="42">
        <v>6.4337425467452604E+19</v>
      </c>
      <c r="AH77" s="42">
        <v>2.8527299942410707E+19</v>
      </c>
      <c r="AI77" s="42">
        <v>1.8029644146195816E+19</v>
      </c>
      <c r="AJ77" s="42">
        <v>1.3563719444616337E+22</v>
      </c>
      <c r="AL77" s="19"/>
    </row>
    <row r="78" spans="1:38">
      <c r="A78" s="4"/>
      <c r="B78" s="4"/>
      <c r="T78" s="107">
        <v>76</v>
      </c>
      <c r="U78" s="27">
        <f t="shared" si="3"/>
        <v>6.333333333333333</v>
      </c>
      <c r="V78" s="18">
        <f t="shared" si="4"/>
        <v>199728000</v>
      </c>
      <c r="W78" s="117">
        <f>POWER($V78-$V74,W$1)/FACT(W$1)</f>
        <v>10512000</v>
      </c>
      <c r="X78" s="117">
        <f>POWER($V78-$V74,X$1)/FACT(X$1)</f>
        <v>55251072000000</v>
      </c>
      <c r="Y78" s="117">
        <f>POWER($V78-$V74,Y$1)/FACT(Y$1)</f>
        <v>1.93599756288E+20</v>
      </c>
      <c r="Z78" s="117">
        <f>POWER($V78-$V74,Z$1)/FACT(Z$1)</f>
        <v>5.0878015952486396E+26</v>
      </c>
      <c r="AA78" s="117">
        <f>POWER($V78-$V74,AA$1)/FACT(AA$1)</f>
        <v>1.0696594073850741E+33</v>
      </c>
      <c r="AB78" s="117"/>
      <c r="AC78" s="119">
        <f t="array" ref="AC78:AJ78">AC74:AJ74+TRANSPOSE(L$12:L$19)*W78+TRANSPOSE(L$22:L$29)*X78+TRANSPOSE(L$32:L$39)*Y78+TRANSPOSE(L$42:L$49)*Z78+TRANSPOSE(L$52:L$59)*AA78</f>
        <v>2.5171215297860641E+19</v>
      </c>
      <c r="AD78" s="42">
        <v>1.8475739753011814E+21</v>
      </c>
      <c r="AE78" s="42">
        <v>8.7515988528138342E+20</v>
      </c>
      <c r="AF78" s="42">
        <v>1.188056238478662E+20</v>
      </c>
      <c r="AG78" s="42">
        <v>6.4444575487855272E+19</v>
      </c>
      <c r="AH78" s="42">
        <v>2.8485807177089118E+19</v>
      </c>
      <c r="AI78" s="42">
        <v>1.7652110568845099E+19</v>
      </c>
      <c r="AJ78" s="42">
        <v>1.3525077122503896E+22</v>
      </c>
      <c r="AL78" s="19"/>
    </row>
    <row r="79" spans="1:38">
      <c r="A79" s="4"/>
      <c r="B79" s="4"/>
      <c r="T79" s="107">
        <v>77</v>
      </c>
      <c r="U79" s="27">
        <f t="shared" si="3"/>
        <v>6.416666666666667</v>
      </c>
      <c r="V79" s="18">
        <f t="shared" si="4"/>
        <v>202356000</v>
      </c>
      <c r="W79" s="117">
        <f>POWER($V79-$V74,W$1)/FACT(W$1)</f>
        <v>13140000</v>
      </c>
      <c r="X79" s="117">
        <f>POWER($V79-$V74,X$1)/FACT(X$1)</f>
        <v>86329800000000</v>
      </c>
      <c r="Y79" s="117">
        <f>POWER($V79-$V74,Y$1)/FACT(Y$1)</f>
        <v>3.7812452400000002E+20</v>
      </c>
      <c r="Z79" s="117">
        <f>POWER($V79-$V74,Z$1)/FACT(Z$1)</f>
        <v>1.2421390613399999E+27</v>
      </c>
      <c r="AA79" s="117">
        <f>POWER($V79-$V74,AA$1)/FACT(AA$1)</f>
        <v>3.2643414532015203E+33</v>
      </c>
      <c r="AB79" s="117"/>
      <c r="AC79" s="119">
        <f t="array" ref="AC79:AJ79">AC74:AJ74+TRANSPOSE(L$12:L$19)*W79+TRANSPOSE(L$22:L$29)*X79+TRANSPOSE(L$32:L$39)*Y79+TRANSPOSE(L$42:L$49)*Z79+TRANSPOSE(L$52:L$59)*AA79</f>
        <v>2.5145566950595908E+19</v>
      </c>
      <c r="AD79" s="42">
        <v>1.8429160497249182E+21</v>
      </c>
      <c r="AE79" s="42">
        <v>8.7595324172423804E+20</v>
      </c>
      <c r="AF79" s="42">
        <v>1.1884120965056289E+20</v>
      </c>
      <c r="AG79" s="42">
        <v>6.4551054156531876E+19</v>
      </c>
      <c r="AH79" s="42">
        <v>2.8445202806640751E+19</v>
      </c>
      <c r="AI79" s="42">
        <v>1.7282563148254206E+19</v>
      </c>
      <c r="AJ79" s="42">
        <v>1.3486544890375904E+22</v>
      </c>
      <c r="AL79" s="19"/>
    </row>
    <row r="80" spans="1:38">
      <c r="A80" s="4"/>
      <c r="B80" s="4"/>
      <c r="T80" s="107">
        <v>78</v>
      </c>
      <c r="U80" s="27">
        <f t="shared" si="3"/>
        <v>6.5</v>
      </c>
      <c r="V80" s="18">
        <f t="shared" si="4"/>
        <v>204984000</v>
      </c>
      <c r="W80" s="117">
        <f>POWER($V80-$V74,W$1)/FACT(W$1)</f>
        <v>15768000</v>
      </c>
      <c r="X80" s="117">
        <f>POWER($V80-$V74,X$1)/FACT(X$1)</f>
        <v>124314912000000</v>
      </c>
      <c r="Y80" s="117">
        <f>POWER($V80-$V74,Y$1)/FACT(Y$1)</f>
        <v>6.53399177472E+20</v>
      </c>
      <c r="Z80" s="117">
        <f>POWER($V80-$V74,Z$1)/FACT(Z$1)</f>
        <v>2.5756995575946237E+27</v>
      </c>
      <c r="AA80" s="117">
        <f>POWER($V80-$V74,AA$1)/FACT(AA$1)</f>
        <v>8.1227261248304059E+33</v>
      </c>
      <c r="AB80" s="117"/>
      <c r="AC80" s="119">
        <f t="array" ref="AC80:AJ80">AC74:AJ74+TRANSPOSE(L$12:L$19)*W80+TRANSPOSE(L$22:L$29)*X80+TRANSPOSE(L$32:L$39)*Y80+TRANSPOSE(L$42:L$49)*Z80+TRANSPOSE(L$52:L$59)*AA80</f>
        <v>2.5118200647268413E+19</v>
      </c>
      <c r="AD80" s="42">
        <v>1.8382595032250277E+21</v>
      </c>
      <c r="AE80" s="42">
        <v>8.7672094710043155E+20</v>
      </c>
      <c r="AF80" s="42">
        <v>1.1887892440612676E+20</v>
      </c>
      <c r="AG80" s="42">
        <v>6.4656876905067708E+19</v>
      </c>
      <c r="AH80" s="42">
        <v>2.8405479634535158E+19</v>
      </c>
      <c r="AI80" s="42">
        <v>1.6920832689700876E+19</v>
      </c>
      <c r="AJ80" s="42">
        <v>1.344812243459149E+22</v>
      </c>
      <c r="AL80" s="19"/>
    </row>
    <row r="81" spans="1:38">
      <c r="A81" s="4"/>
      <c r="B81" s="4"/>
      <c r="T81" s="107">
        <v>79</v>
      </c>
      <c r="U81" s="27">
        <f t="shared" si="3"/>
        <v>6.583333333333333</v>
      </c>
      <c r="V81" s="18">
        <f t="shared" si="4"/>
        <v>207612000</v>
      </c>
      <c r="W81" s="117">
        <f>POWER($V81-$V74,W$1)/FACT(W$1)</f>
        <v>18396000</v>
      </c>
      <c r="X81" s="117">
        <f>POWER($V81-$V74,X$1)/FACT(X$1)</f>
        <v>169206408000000</v>
      </c>
      <c r="Y81" s="117">
        <f>POWER($V81-$V74,Y$1)/FACT(Y$1)</f>
        <v>1.037573693856E+21</v>
      </c>
      <c r="Z81" s="117">
        <f>POWER($V81-$V74,Z$1)/FACT(Z$1)</f>
        <v>4.7718014180437445E+27</v>
      </c>
      <c r="AA81" s="117">
        <f>POWER($V81-$V74,AA$1)/FACT(AA$1)</f>
        <v>1.7556411777266544E+34</v>
      </c>
      <c r="AB81" s="117"/>
      <c r="AC81" s="119">
        <f t="array" ref="AC81:AJ81">AC74:AJ74+TRANSPOSE(L$12:L$19)*W81+TRANSPOSE(L$22:L$29)*X81+TRANSPOSE(L$32:L$39)*Y81+TRANSPOSE(L$42:L$49)*Z81+TRANSPOSE(L$52:L$59)*AA81</f>
        <v>2.5089190339271029E+19</v>
      </c>
      <c r="AD81" s="42">
        <v>1.8336045614549875E+21</v>
      </c>
      <c r="AE81" s="42">
        <v>8.7746320966796863E+20</v>
      </c>
      <c r="AF81" s="42">
        <v>1.1891859999041726E+20</v>
      </c>
      <c r="AG81" s="42">
        <v>6.4762058361084551E+19</v>
      </c>
      <c r="AH81" s="42">
        <v>2.8366629931421598E+19</v>
      </c>
      <c r="AI81" s="42">
        <v>1.6566753560085393E+19</v>
      </c>
      <c r="AJ81" s="42">
        <v>1.3409809442403248E+22</v>
      </c>
      <c r="AL81" s="19"/>
    </row>
    <row r="82" spans="1:38">
      <c r="A82" s="4"/>
      <c r="B82" s="4"/>
      <c r="T82" s="107">
        <v>80</v>
      </c>
      <c r="U82" s="27">
        <f t="shared" si="3"/>
        <v>6.666666666666667</v>
      </c>
      <c r="V82" s="18">
        <f t="shared" si="4"/>
        <v>210240000</v>
      </c>
      <c r="W82" s="117">
        <f>POWER($V82-$V74,W$1)/FACT(W$1)</f>
        <v>21024000</v>
      </c>
      <c r="X82" s="117">
        <f>POWER($V82-$V74,X$1)/FACT(X$1)</f>
        <v>221004288000000</v>
      </c>
      <c r="Y82" s="117">
        <f>POWER($V82-$V74,Y$1)/FACT(Y$1)</f>
        <v>1.548798050304E+21</v>
      </c>
      <c r="Z82" s="117">
        <f>POWER($V82-$V74,Z$1)/FACT(Z$1)</f>
        <v>8.1404825523978233E+27</v>
      </c>
      <c r="AA82" s="117">
        <f>POWER($V82-$V74,AA$1)/FACT(AA$1)</f>
        <v>3.422910103632237E+34</v>
      </c>
      <c r="AB82" s="117"/>
      <c r="AC82" s="119">
        <f t="array" ref="AC82:AJ82">AC74:AJ74+TRANSPOSE(L$12:L$19)*W82+TRANSPOSE(L$22:L$29)*X82+TRANSPOSE(L$32:L$39)*Y82+TRANSPOSE(L$42:L$49)*Z82+TRANSPOSE(L$52:L$59)*AA82</f>
        <v>2.5058607920793072E+19</v>
      </c>
      <c r="AD82" s="42">
        <v>1.828951445181102E+21</v>
      </c>
      <c r="AE82" s="42">
        <v>8.7818023696384616E+20</v>
      </c>
      <c r="AF82" s="42">
        <v>1.1896007402848926E+20</v>
      </c>
      <c r="AG82" s="42">
        <v>6.4866612382093066E+19</v>
      </c>
      <c r="AH82" s="42">
        <v>2.8328645477093319E+19</v>
      </c>
      <c r="AI82" s="42">
        <v>1.6220163602518149E+19</v>
      </c>
      <c r="AJ82" s="42">
        <v>1.337160560195464E+22</v>
      </c>
      <c r="AL82" s="19"/>
    </row>
    <row r="83" spans="1:38">
      <c r="A83" s="4"/>
      <c r="B83" s="4"/>
      <c r="T83" s="107">
        <v>81</v>
      </c>
      <c r="U83" s="27">
        <f t="shared" si="3"/>
        <v>6.75</v>
      </c>
      <c r="V83" s="18">
        <f t="shared" si="4"/>
        <v>212868000</v>
      </c>
      <c r="W83" s="117">
        <f>POWER($V83-$V74,W$1)/FACT(W$1)</f>
        <v>23652000</v>
      </c>
      <c r="X83" s="117">
        <f>POWER($V83-$V74,X$1)/FACT(X$1)</f>
        <v>279708552000000</v>
      </c>
      <c r="Y83" s="117">
        <f>POWER($V83-$V74,Y$1)/FACT(Y$1)</f>
        <v>2.205222223968E+21</v>
      </c>
      <c r="Z83" s="117">
        <f>POWER($V83-$V74,Z$1)/FACT(Z$1)</f>
        <v>1.3039479010322784E+28</v>
      </c>
      <c r="AA83" s="117">
        <f>POWER($V83-$V74,AA$1)/FACT(AA$1)</f>
        <v>6.1681951510430897E+34</v>
      </c>
      <c r="AB83" s="117"/>
      <c r="AC83" s="119">
        <f t="array" ref="AC83:AJ83">AC74:AJ74+TRANSPOSE(L$12:L$19)*W83+TRANSPOSE(L$22:L$29)*X83+TRANSPOSE(L$32:L$39)*Y83+TRANSPOSE(L$42:L$49)*Z83+TRANSPOSE(L$52:L$59)*AA83</f>
        <v>2.5026523278682993E+19</v>
      </c>
      <c r="AD83" s="42">
        <v>1.8243003703849407E+21</v>
      </c>
      <c r="AE83" s="42">
        <v>8.7887223578588191E+20</v>
      </c>
      <c r="AF83" s="42">
        <v>1.1900318967872725E+20</v>
      </c>
      <c r="AG83" s="42">
        <v>6.4970552089345352E+19</v>
      </c>
      <c r="AH83" s="42">
        <v>2.8291517602451825E+19</v>
      </c>
      <c r="AI83" s="42">
        <v>1.588090405090722E+19</v>
      </c>
      <c r="AJ83" s="42">
        <v>1.3333510602277404E+22</v>
      </c>
      <c r="AL83" s="19"/>
    </row>
    <row r="84" spans="1:38">
      <c r="A84" s="4"/>
      <c r="B84" s="4"/>
      <c r="T84" s="107">
        <v>82</v>
      </c>
      <c r="U84" s="27">
        <f t="shared" si="3"/>
        <v>6.833333333333333</v>
      </c>
      <c r="V84" s="18">
        <f t="shared" si="4"/>
        <v>215496000</v>
      </c>
      <c r="W84" s="117">
        <f>POWER($V84-$V74,W$1)/FACT(W$1)</f>
        <v>26280000</v>
      </c>
      <c r="X84" s="117">
        <f>POWER($V84-$V74,X$1)/FACT(X$1)</f>
        <v>345319200000000</v>
      </c>
      <c r="Y84" s="117">
        <f>POWER($V84-$V74,Y$1)/FACT(Y$1)</f>
        <v>3.0249961920000001E+21</v>
      </c>
      <c r="Z84" s="117">
        <f>POWER($V84-$V74,Z$1)/FACT(Z$1)</f>
        <v>1.9874224981439999E+28</v>
      </c>
      <c r="AA84" s="117">
        <f>POWER($V84-$V74,AA$1)/FACT(AA$1)</f>
        <v>1.0445892650244865E+35</v>
      </c>
      <c r="AB84" s="117"/>
      <c r="AC84" s="119">
        <f t="array" ref="AC84:AJ84">AC74:AJ74+TRANSPOSE(L$12:L$19)*W84+TRANSPOSE(L$22:L$29)*X84+TRANSPOSE(L$32:L$39)*Y84+TRANSPOSE(L$42:L$49)*Z84+TRANSPOSE(L$52:L$59)*AA84</f>
        <v>2.4993004342311072E+19</v>
      </c>
      <c r="AD84" s="42">
        <v>1.8196515483657754E+21</v>
      </c>
      <c r="AE84" s="42">
        <v>8.7953941217454431E+20</v>
      </c>
      <c r="AF84" s="42">
        <v>1.190477954169798E+20</v>
      </c>
      <c r="AG84" s="42">
        <v>6.5073889901687562E+19</v>
      </c>
      <c r="AH84" s="42">
        <v>2.8255237231471215E+19</v>
      </c>
      <c r="AI84" s="42">
        <v>1.554881944454595E+19</v>
      </c>
      <c r="AJ84" s="42">
        <v>1.3295524133288985E+22</v>
      </c>
    </row>
    <row r="85" spans="1:38">
      <c r="A85" s="4"/>
      <c r="B85" s="4"/>
      <c r="T85" s="107">
        <v>83</v>
      </c>
      <c r="U85" s="27">
        <f t="shared" si="3"/>
        <v>6.916666666666667</v>
      </c>
      <c r="V85" s="18">
        <f t="shared" si="4"/>
        <v>218124000</v>
      </c>
      <c r="W85" s="117">
        <f>POWER($V85-$V74,W$1)/FACT(W$1)</f>
        <v>28908000</v>
      </c>
      <c r="X85" s="117">
        <f>POWER($V85-$V74,X$1)/FACT(X$1)</f>
        <v>417836232000000</v>
      </c>
      <c r="Y85" s="117">
        <f>POWER($V85-$V74,Y$1)/FACT(Y$1)</f>
        <v>4.0262699315519999E+21</v>
      </c>
      <c r="Z85" s="117">
        <f>POWER($V85-$V74,Z$1)/FACT(Z$1)</f>
        <v>2.9097852795326301E+28</v>
      </c>
      <c r="AA85" s="117">
        <f>POWER($V85-$V74,AA$1)/FACT(AA$1)</f>
        <v>1.6823214572145855E+35</v>
      </c>
      <c r="AB85" s="117"/>
      <c r="AC85" s="119">
        <f t="array" ref="AC85:AJ85">AC74:AJ74+TRANSPOSE(L$12:L$19)*W85+TRANSPOSE(L$22:L$29)*X85+TRANSPOSE(L$32:L$39)*Y85+TRANSPOSE(L$42:L$49)*Z85+TRANSPOSE(L$52:L$59)*AA85</f>
        <v>2.4958117133432164E+19</v>
      </c>
      <c r="AD85" s="42">
        <v>1.815005185843017E+21</v>
      </c>
      <c r="AE85" s="42">
        <v>8.8018197139478059E+20</v>
      </c>
      <c r="AF85" s="42">
        <v>1.1909374482069384E+20</v>
      </c>
      <c r="AG85" s="42">
        <v>6.517663756941226E+19</v>
      </c>
      <c r="AH85" s="42">
        <v>2.8219794923162419E+19</v>
      </c>
      <c r="AI85" s="42">
        <v>1.5223757542700495E+19</v>
      </c>
      <c r="AJ85" s="42">
        <v>1.3257645885789934E+22</v>
      </c>
    </row>
    <row r="86" spans="1:38">
      <c r="A86" s="4"/>
      <c r="B86" s="4"/>
      <c r="T86" s="107">
        <v>84</v>
      </c>
      <c r="U86" s="27">
        <f t="shared" si="3"/>
        <v>7</v>
      </c>
      <c r="V86" s="18">
        <f t="shared" si="4"/>
        <v>220752000</v>
      </c>
      <c r="W86" s="117">
        <f>POWER($V86-$V74,W$1)/FACT(W$1)</f>
        <v>31536000</v>
      </c>
      <c r="X86" s="117">
        <f>POWER($V86-$V74,X$1)/FACT(X$1)</f>
        <v>497259648000000</v>
      </c>
      <c r="Y86" s="117">
        <f>POWER($V86-$V74,Y$1)/FACT(Y$1)</f>
        <v>5.227193419776E+21</v>
      </c>
      <c r="Z86" s="117">
        <f>POWER($V86-$V74,Z$1)/FACT(Z$1)</f>
        <v>4.121119292151398E+28</v>
      </c>
      <c r="AA86" s="117">
        <f>POWER($V86-$V74,AA$1)/FACT(AA$1)</f>
        <v>2.5992723599457299E+35</v>
      </c>
      <c r="AB86" s="117"/>
      <c r="AC86" s="119">
        <f t="array" ref="AC86:AJ86">AC74:AJ74+TRANSPOSE(L$12:L$19)*W86+TRANSPOSE(L$22:L$29)*X86+TRANSPOSE(L$32:L$39)*Y86+TRANSPOSE(L$42:L$49)*Z86+TRANSPOSE(L$52:L$59)*AA86</f>
        <v>2.4921925816048378E+19</v>
      </c>
      <c r="AD86" s="42">
        <v>1.8103614850586591E+21</v>
      </c>
      <c r="AE86" s="42">
        <v>8.8080011791784647E+20</v>
      </c>
      <c r="AF86" s="42">
        <v>1.1914089635304884E+20</v>
      </c>
      <c r="AG86" s="42">
        <v>6.5278806208111084E+19</v>
      </c>
      <c r="AH86" s="42">
        <v>2.8185180913537544E+19</v>
      </c>
      <c r="AI86" s="42">
        <v>1.4905569239197424E+19</v>
      </c>
      <c r="AJ86" s="42">
        <v>1.3219875551461331E+22</v>
      </c>
    </row>
    <row r="87" spans="1:38">
      <c r="A87" s="4"/>
      <c r="B87" s="4"/>
      <c r="T87" s="107">
        <v>85</v>
      </c>
      <c r="U87" s="27">
        <f t="shared" si="3"/>
        <v>7.083333333333333</v>
      </c>
      <c r="V87" s="18">
        <f t="shared" si="4"/>
        <v>223380000</v>
      </c>
      <c r="W87" s="117">
        <f>POWER($V87-$V86,W$1)/FACT(W$1)</f>
        <v>2628000</v>
      </c>
      <c r="X87" s="117">
        <f>POWER($V87-$V86,X$1)/FACT(X$1)</f>
        <v>3453192000000</v>
      </c>
      <c r="Y87" s="117">
        <f>POWER($V87-$V86,Y$1)/FACT(Y$1)</f>
        <v>3.024996192E+18</v>
      </c>
      <c r="Z87" s="117">
        <f>POWER($V87-$V86,Z$1)/FACT(Z$1)</f>
        <v>1.9874224981439998E+24</v>
      </c>
      <c r="AA87" s="117">
        <f>POWER($V87-$V86,AA$1)/FACT(AA$1)</f>
        <v>1.0445892650244864E+30</v>
      </c>
      <c r="AB87" s="117"/>
      <c r="AC87" s="119">
        <f t="array" ref="AC87:AJ87">AC86:AJ86+TRANSPOSE(M$12:M$19)*W87+TRANSPOSE(M$22:M$29)*X87+TRANSPOSE(M$32:M$39)*Y87+TRANSPOSE(M$42:M$49)*Z87+TRANSPOSE(M$52:M$59)*AA87</f>
        <v>2.4884490773279646E+19</v>
      </c>
      <c r="AD87" s="42">
        <v>1.8057206392006391E+21</v>
      </c>
      <c r="AE87" s="42">
        <v>8.8139405685140305E+20</v>
      </c>
      <c r="AF87" s="42">
        <v>1.1918912943913681E+20</v>
      </c>
      <c r="AG87" s="42">
        <v>6.5380403748300882E+19</v>
      </c>
      <c r="AH87" s="42">
        <v>2.8151381039278285E+19</v>
      </c>
      <c r="AI87" s="42">
        <v>1.4594113106690859E+19</v>
      </c>
      <c r="AJ87" s="42">
        <v>1.3182212822881039E+22</v>
      </c>
    </row>
    <row r="88" spans="1:38">
      <c r="A88" s="4"/>
      <c r="B88" s="4"/>
      <c r="T88" s="107">
        <v>86</v>
      </c>
      <c r="U88" s="27">
        <f t="shared" si="3"/>
        <v>7.166666666666667</v>
      </c>
      <c r="V88" s="18">
        <f t="shared" si="4"/>
        <v>226008000</v>
      </c>
      <c r="W88" s="117">
        <f>POWER($V88-$V86,W$1)/FACT(W$1)</f>
        <v>5256000</v>
      </c>
      <c r="X88" s="117">
        <f>POWER($V88-$V86,X$1)/FACT(X$1)</f>
        <v>13812768000000</v>
      </c>
      <c r="Y88" s="117">
        <f>POWER($V88-$V86,Y$1)/FACT(Y$1)</f>
        <v>2.4199969536E+19</v>
      </c>
      <c r="Z88" s="117">
        <f>POWER($V88-$V86,Z$1)/FACT(Z$1)</f>
        <v>3.1798759970303997E+25</v>
      </c>
      <c r="AA88" s="117">
        <f>POWER($V88-$V86,AA$1)/FACT(AA$1)</f>
        <v>3.3426856480783565E+31</v>
      </c>
      <c r="AB88" s="117"/>
      <c r="AC88" s="119">
        <f t="array" ref="AC88:AJ88">AC86:AJ86+TRANSPOSE(M$12:M$19)*W88+TRANSPOSE(M$22:M$29)*X88+TRANSPOSE(M$32:M$39)*Y88+TRANSPOSE(M$42:M$49)*Z88+TRANSPOSE(M$52:M$59)*AA88</f>
        <v>2.4845873662625366E+19</v>
      </c>
      <c r="AD88" s="42">
        <v>1.8010828444367357E+21</v>
      </c>
      <c r="AE88" s="42">
        <v>8.8196399022376957E+20</v>
      </c>
      <c r="AF88" s="42">
        <v>1.1923830251988946E+20</v>
      </c>
      <c r="AG88" s="42">
        <v>6.5481441586761097E+19</v>
      </c>
      <c r="AH88" s="42">
        <v>2.8118387345578435E+19</v>
      </c>
      <c r="AI88" s="42">
        <v>1.4289243491340442E+19</v>
      </c>
      <c r="AJ88" s="42">
        <v>1.3144657393473351E+22</v>
      </c>
    </row>
    <row r="89" spans="1:38">
      <c r="A89" s="4"/>
      <c r="B89" s="4"/>
      <c r="T89" s="107">
        <v>87</v>
      </c>
      <c r="U89" s="27">
        <f t="shared" si="3"/>
        <v>7.25</v>
      </c>
      <c r="V89" s="18">
        <f t="shared" si="4"/>
        <v>228636000</v>
      </c>
      <c r="W89" s="117">
        <f>POWER($V89-$V86,W$1)/FACT(W$1)</f>
        <v>7884000</v>
      </c>
      <c r="X89" s="117">
        <f>POWER($V89-$V86,X$1)/FACT(X$1)</f>
        <v>31078728000000</v>
      </c>
      <c r="Y89" s="117">
        <f>POWER($V89-$V86,Y$1)/FACT(Y$1)</f>
        <v>8.1674897184E+19</v>
      </c>
      <c r="Z89" s="117">
        <f>POWER($V89-$V86,Z$1)/FACT(Z$1)</f>
        <v>1.6098122234966398E+26</v>
      </c>
      <c r="AA89" s="117">
        <f>POWER($V89-$V86,AA$1)/FACT(AA$1)</f>
        <v>2.5383519140095018E+32</v>
      </c>
      <c r="AB89" s="117"/>
      <c r="AC89" s="119">
        <f t="array" ref="AC89:AJ89">AC86:AJ86+TRANSPOSE(M$12:M$19)*W89+TRANSPOSE(M$22:M$29)*X89+TRANSPOSE(M$32:M$39)*Y89+TRANSPOSE(M$42:M$49)*Z89+TRANSPOSE(M$52:M$59)*AA89</f>
        <v>2.4806133062407373E+19</v>
      </c>
      <c r="AD89" s="42">
        <v>1.7964482894770356E+21</v>
      </c>
      <c r="AE89" s="42">
        <v>8.8251012023514694E+20</v>
      </c>
      <c r="AF89" s="42">
        <v>1.1928828982923649E+20</v>
      </c>
      <c r="AG89" s="42">
        <v>6.5581928755328508E+19</v>
      </c>
      <c r="AH89" s="42">
        <v>2.8086188749629649E+19</v>
      </c>
      <c r="AI89" s="42">
        <v>1.3990820878654276E+19</v>
      </c>
      <c r="AJ89" s="42">
        <v>1.3107208957548407E+22</v>
      </c>
    </row>
    <row r="90" spans="1:38">
      <c r="A90" s="4"/>
      <c r="B90" s="4"/>
      <c r="T90" s="107">
        <v>88</v>
      </c>
      <c r="U90" s="27">
        <f t="shared" si="3"/>
        <v>7.333333333333333</v>
      </c>
      <c r="V90" s="18">
        <f t="shared" si="4"/>
        <v>231264000</v>
      </c>
      <c r="W90" s="117">
        <f>POWER($V90-$V86,W$1)/FACT(W$1)</f>
        <v>10512000</v>
      </c>
      <c r="X90" s="117">
        <f>POWER($V90-$V86,X$1)/FACT(X$1)</f>
        <v>55251072000000</v>
      </c>
      <c r="Y90" s="117">
        <f>POWER($V90-$V86,Y$1)/FACT(Y$1)</f>
        <v>1.93599756288E+20</v>
      </c>
      <c r="Z90" s="117">
        <f>POWER($V90-$V86,Z$1)/FACT(Z$1)</f>
        <v>5.0878015952486396E+26</v>
      </c>
      <c r="AA90" s="117">
        <f>POWER($V90-$V86,AA$1)/FACT(AA$1)</f>
        <v>1.0696594073850741E+33</v>
      </c>
      <c r="AB90" s="117"/>
      <c r="AC90" s="119">
        <f t="array" ref="AC90:AJ90">AC86:AJ86+TRANSPOSE(M$12:M$19)*W90+TRANSPOSE(M$22:M$29)*X90+TRANSPOSE(M$32:M$39)*Y90+TRANSPOSE(M$42:M$49)*Z90+TRANSPOSE(M$52:M$59)*AA90</f>
        <v>2.4765325820404527E+19</v>
      </c>
      <c r="AD90" s="42">
        <v>1.7918171588004356E+21</v>
      </c>
      <c r="AE90" s="42">
        <v>8.8303264826932134E+20</v>
      </c>
      <c r="AF90" s="42">
        <v>1.1933897016790301E+20</v>
      </c>
      <c r="AG90" s="42">
        <v>6.5681873699958014E+19</v>
      </c>
      <c r="AH90" s="42">
        <v>2.8054773878144205E+19</v>
      </c>
      <c r="AI90" s="42">
        <v>1.3698708706853534E+19</v>
      </c>
      <c r="AJ90" s="42">
        <v>1.3069867210287228E+22</v>
      </c>
    </row>
    <row r="91" spans="1:38">
      <c r="A91" s="4"/>
      <c r="B91" s="4"/>
      <c r="T91" s="107">
        <v>89</v>
      </c>
      <c r="U91" s="27">
        <f t="shared" si="3"/>
        <v>7.416666666666667</v>
      </c>
      <c r="V91" s="18">
        <f t="shared" si="4"/>
        <v>233892000</v>
      </c>
      <c r="W91" s="117">
        <f>POWER($V91-$V86,W$1)/FACT(W$1)</f>
        <v>13140000</v>
      </c>
      <c r="X91" s="117">
        <f>POWER($V91-$V86,X$1)/FACT(X$1)</f>
        <v>86329800000000</v>
      </c>
      <c r="Y91" s="117">
        <f>POWER($V91-$V86,Y$1)/FACT(Y$1)</f>
        <v>3.7812452400000002E+20</v>
      </c>
      <c r="Z91" s="117">
        <f>POWER($V91-$V86,Z$1)/FACT(Z$1)</f>
        <v>1.2421390613399999E+27</v>
      </c>
      <c r="AA91" s="117">
        <f>POWER($V91-$V86,AA$1)/FACT(AA$1)</f>
        <v>3.2643414532015203E+33</v>
      </c>
      <c r="AB91" s="117"/>
      <c r="AC91" s="119">
        <f t="array" ref="AC91:AJ91">AC86:AJ86+TRANSPOSE(M$12:M$19)*W91+TRANSPOSE(M$22:M$29)*X91+TRANSPOSE(M$32:M$39)*Y91+TRANSPOSE(M$42:M$49)*Z91+TRANSPOSE(M$52:M$59)*AA91</f>
        <v>2.4723507094782747E+19</v>
      </c>
      <c r="AD91" s="42">
        <v>1.7871896327371817E+21</v>
      </c>
      <c r="AE91" s="42">
        <v>8.8353177488154244E+20</v>
      </c>
      <c r="AF91" s="42">
        <v>1.1939022675269732E+20</v>
      </c>
      <c r="AG91" s="42">
        <v>6.578128430420453E+19</v>
      </c>
      <c r="AH91" s="42">
        <v>2.8024131093233676E+19</v>
      </c>
      <c r="AI91" s="42">
        <v>1.3412773300814555E+19</v>
      </c>
      <c r="AJ91" s="42">
        <v>1.3032631847739212E+22</v>
      </c>
    </row>
    <row r="92" spans="1:38">
      <c r="A92" s="4"/>
      <c r="B92" s="4"/>
      <c r="T92" s="107">
        <v>90</v>
      </c>
      <c r="U92" s="27">
        <f t="shared" si="3"/>
        <v>7.5</v>
      </c>
      <c r="V92" s="18">
        <f t="shared" si="4"/>
        <v>236520000</v>
      </c>
      <c r="W92" s="117">
        <f>POWER($V92-$V86,W$1)/FACT(W$1)</f>
        <v>15768000</v>
      </c>
      <c r="X92" s="117">
        <f>POWER($V92-$V86,X$1)/FACT(X$1)</f>
        <v>124314912000000</v>
      </c>
      <c r="Y92" s="117">
        <f>POWER($V92-$V86,Y$1)/FACT(Y$1)</f>
        <v>6.53399177472E+20</v>
      </c>
      <c r="Z92" s="117">
        <f>POWER($V92-$V86,Z$1)/FACT(Z$1)</f>
        <v>2.5756995575946237E+27</v>
      </c>
      <c r="AA92" s="117">
        <f>POWER($V92-$V86,AA$1)/FACT(AA$1)</f>
        <v>8.1227261248304059E+33</v>
      </c>
      <c r="AB92" s="117"/>
      <c r="AC92" s="119">
        <f t="array" ref="AC92:AJ92">AC86:AJ86+TRANSPOSE(M$12:M$19)*W92+TRANSPOSE(M$22:M$29)*X92+TRANSPOSE(M$32:M$39)*Y92+TRANSPOSE(M$42:M$49)*Z92+TRANSPOSE(M$52:M$59)*AA92</f>
        <v>2.468073039502506E+19</v>
      </c>
      <c r="AD92" s="42">
        <v>1.7825658875514066E+21</v>
      </c>
      <c r="AE92" s="42">
        <v>8.840076997864004E+20</v>
      </c>
      <c r="AF92" s="42">
        <v>1.1944194706579823E+20</v>
      </c>
      <c r="AG92" s="42">
        <v>6.5880167912704991E+19</v>
      </c>
      <c r="AH92" s="42">
        <v>2.7994248518287573E+19</v>
      </c>
      <c r="AI92" s="42">
        <v>1.3132883806010974E+19</v>
      </c>
      <c r="AJ92" s="42">
        <v>1.2995502566819657E+22</v>
      </c>
    </row>
    <row r="93" spans="1:38">
      <c r="A93" s="4"/>
      <c r="B93" s="4"/>
      <c r="T93" s="107">
        <v>91</v>
      </c>
      <c r="U93" s="27">
        <f t="shared" si="3"/>
        <v>7.583333333333333</v>
      </c>
      <c r="V93" s="18">
        <f t="shared" si="4"/>
        <v>239148000</v>
      </c>
      <c r="W93" s="117">
        <f>POWER($V93-$V86,W$1)/FACT(W$1)</f>
        <v>18396000</v>
      </c>
      <c r="X93" s="117">
        <f>POWER($V93-$V86,X$1)/FACT(X$1)</f>
        <v>169206408000000</v>
      </c>
      <c r="Y93" s="117">
        <f>POWER($V93-$V86,Y$1)/FACT(Y$1)</f>
        <v>1.037573693856E+21</v>
      </c>
      <c r="Z93" s="117">
        <f>POWER($V93-$V86,Z$1)/FACT(Z$1)</f>
        <v>4.7718014180437445E+27</v>
      </c>
      <c r="AA93" s="117">
        <f>POWER($V93-$V86,AA$1)/FACT(AA$1)</f>
        <v>1.7556411777266544E+34</v>
      </c>
      <c r="AB93" s="117"/>
      <c r="AC93" s="119">
        <f t="array" ref="AC93:AJ93">AC86:AJ86+TRANSPOSE(M$12:M$19)*W93+TRANSPOSE(M$22:M$29)*X93+TRANSPOSE(M$32:M$39)*Y93+TRANSPOSE(M$42:M$49)*Z93+TRANSPOSE(M$52:M$59)*AA93</f>
        <v>2.4637047622861672E+19</v>
      </c>
      <c r="AD93" s="42">
        <v>1.7779460955236705E+21</v>
      </c>
      <c r="AE93" s="42">
        <v>8.8446062184570461E+20</v>
      </c>
      <c r="AF93" s="42">
        <v>1.194940227040427E+20</v>
      </c>
      <c r="AG93" s="42">
        <v>6.5978531354660282E+19</v>
      </c>
      <c r="AH93" s="42">
        <v>2.7965114063851999E+19</v>
      </c>
      <c r="AI93" s="42">
        <v>1.2858912122455824E+19</v>
      </c>
      <c r="AJ93" s="42">
        <v>1.2958479065307222E+22</v>
      </c>
    </row>
    <row r="94" spans="1:38">
      <c r="A94" s="4"/>
      <c r="B94" s="4"/>
      <c r="T94" s="107">
        <v>92</v>
      </c>
      <c r="U94" s="27">
        <f t="shared" si="3"/>
        <v>7.666666666666667</v>
      </c>
      <c r="V94" s="18">
        <f t="shared" si="4"/>
        <v>241776000</v>
      </c>
      <c r="W94" s="117">
        <f>POWER($V94-$V86,W$1)/FACT(W$1)</f>
        <v>21024000</v>
      </c>
      <c r="X94" s="117">
        <f>POWER($V94-$V86,X$1)/FACT(X$1)</f>
        <v>221004288000000</v>
      </c>
      <c r="Y94" s="117">
        <f>POWER($V94-$V86,Y$1)/FACT(Y$1)</f>
        <v>1.548798050304E+21</v>
      </c>
      <c r="Z94" s="117">
        <f>POWER($V94-$V86,Z$1)/FACT(Z$1)</f>
        <v>8.1404825523978233E+27</v>
      </c>
      <c r="AA94" s="117">
        <f>POWER($V94-$V86,AA$1)/FACT(AA$1)</f>
        <v>3.422910103632237E+34</v>
      </c>
      <c r="AB94" s="117"/>
      <c r="AC94" s="119">
        <f t="array" ref="AC94:AJ94">AC86:AJ86+TRANSPOSE(M$12:M$19)*W94+TRANSPOSE(M$22:M$29)*X94+TRANSPOSE(M$32:M$39)*Y94+TRANSPOSE(M$42:M$49)*Z94+TRANSPOSE(M$52:M$59)*AA94</f>
        <v>2.4592509113199976E+19</v>
      </c>
      <c r="AD94" s="42">
        <v>1.773330425033498E+21</v>
      </c>
      <c r="AE94" s="42">
        <v>8.8489073905636042E+20</v>
      </c>
      <c r="AF94" s="42">
        <v>1.195463492282134E+20</v>
      </c>
      <c r="AG94" s="42">
        <v>6.6076380967317217E+19</v>
      </c>
      <c r="AH94" s="42">
        <v>2.7936715453508301E+19</v>
      </c>
      <c r="AI94" s="42">
        <v>1.2590732838643671E+19</v>
      </c>
      <c r="AJ94" s="42">
        <v>1.292156104184146E+22</v>
      </c>
    </row>
    <row r="95" spans="1:38" s="4" customFormat="1">
      <c r="C95" s="2"/>
      <c r="D95" s="2"/>
      <c r="E95" s="19"/>
      <c r="F95" s="19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T95" s="107">
        <v>93</v>
      </c>
      <c r="U95" s="27">
        <f t="shared" si="3"/>
        <v>7.75</v>
      </c>
      <c r="V95" s="18">
        <f t="shared" si="4"/>
        <v>244404000</v>
      </c>
      <c r="W95" s="117">
        <f>POWER($V95-$V86,W$1)/FACT(W$1)</f>
        <v>23652000</v>
      </c>
      <c r="X95" s="117">
        <f>POWER($V95-$V86,X$1)/FACT(X$1)</f>
        <v>279708552000000</v>
      </c>
      <c r="Y95" s="117">
        <f>POWER($V95-$V86,Y$1)/FACT(Y$1)</f>
        <v>2.205222223968E+21</v>
      </c>
      <c r="Z95" s="117">
        <f>POWER($V95-$V86,Z$1)/FACT(Z$1)</f>
        <v>1.3039479010322784E+28</v>
      </c>
      <c r="AA95" s="117">
        <f>POWER($V95-$V86,AA$1)/FACT(AA$1)</f>
        <v>6.1681951510430897E+34</v>
      </c>
      <c r="AB95" s="117"/>
      <c r="AC95" s="119">
        <f t="array" ref="AC95:AJ95">AC86:AJ86+TRANSPOSE(M$12:M$19)*W95+TRANSPOSE(M$22:M$29)*X95+TRANSPOSE(M$32:M$39)*Y95+TRANSPOSE(M$42:M$49)*Z95+TRANSPOSE(M$52:M$59)*AA95</f>
        <v>2.4547163675054653E+19</v>
      </c>
      <c r="AD95" s="42">
        <v>1.7687190406419175E+21</v>
      </c>
      <c r="AE95" s="42">
        <v>8.8529824853824753E+20</v>
      </c>
      <c r="AF95" s="42">
        <v>1.1959882601232615E+20</v>
      </c>
      <c r="AG95" s="42">
        <v>6.617372261945054E+19</v>
      </c>
      <c r="AH95" s="42">
        <v>2.7909040249751736E+19</v>
      </c>
      <c r="AI95" s="42">
        <v>1.2328223165492701E+19</v>
      </c>
      <c r="AJ95" s="42">
        <v>1.2884748195920311E+22</v>
      </c>
    </row>
    <row r="96" spans="1:38" s="4" customFormat="1">
      <c r="C96" s="2"/>
      <c r="D96" s="2"/>
      <c r="E96" s="19"/>
      <c r="F96" s="19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T96" s="107">
        <v>94</v>
      </c>
      <c r="U96" s="27">
        <f t="shared" si="3"/>
        <v>7.833333333333333</v>
      </c>
      <c r="V96" s="18">
        <f t="shared" si="4"/>
        <v>247032000</v>
      </c>
      <c r="W96" s="117">
        <f>POWER($V96-$V86,W$1)/FACT(W$1)</f>
        <v>26280000</v>
      </c>
      <c r="X96" s="117">
        <f>POWER($V96-$V86,X$1)/FACT(X$1)</f>
        <v>345319200000000</v>
      </c>
      <c r="Y96" s="117">
        <f>POWER($V96-$V86,Y$1)/FACT(Y$1)</f>
        <v>3.0249961920000001E+21</v>
      </c>
      <c r="Z96" s="117">
        <f>POWER($V96-$V86,Z$1)/FACT(Z$1)</f>
        <v>1.9874224981439999E+28</v>
      </c>
      <c r="AA96" s="117">
        <f>POWER($V96-$V86,AA$1)/FACT(AA$1)</f>
        <v>1.0445892650244865E+35</v>
      </c>
      <c r="AB96" s="117"/>
      <c r="AC96" s="119">
        <f t="array" ref="AC96:AJ96">AC86:AJ86+TRANSPOSE(M$12:M$19)*W96+TRANSPOSE(M$22:M$29)*X96+TRANSPOSE(M$32:M$39)*Y96+TRANSPOSE(M$42:M$49)*Z96+TRANSPOSE(M$52:M$59)*AA96</f>
        <v>2.4501058632477688E+19</v>
      </c>
      <c r="AD96" s="42">
        <v>1.7641121031739998E+21</v>
      </c>
      <c r="AE96" s="42">
        <v>8.8568334652209837E+20</v>
      </c>
      <c r="AF96" s="42">
        <v>1.1965135609291743E+20</v>
      </c>
      <c r="AG96" s="42">
        <v>6.6270561734844867E+19</v>
      </c>
      <c r="AH96" s="42">
        <v>2.788207587987012E+19</v>
      </c>
      <c r="AI96" s="42">
        <v>1.2071262870286868E+19</v>
      </c>
      <c r="AJ96" s="42">
        <v>1.2848040227897604E+22</v>
      </c>
    </row>
    <row r="97" spans="3:36" s="4" customFormat="1">
      <c r="C97" s="2"/>
      <c r="D97" s="2"/>
      <c r="E97" s="19"/>
      <c r="F97" s="19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T97" s="107">
        <v>95</v>
      </c>
      <c r="U97" s="27">
        <f t="shared" si="3"/>
        <v>7.916666666666667</v>
      </c>
      <c r="V97" s="18">
        <f t="shared" si="4"/>
        <v>249660000</v>
      </c>
      <c r="W97" s="117">
        <f>POWER($V97-$V86,W$1)/FACT(W$1)</f>
        <v>28908000</v>
      </c>
      <c r="X97" s="117">
        <f>POWER($V97-$V86,X$1)/FACT(X$1)</f>
        <v>417836232000000</v>
      </c>
      <c r="Y97" s="117">
        <f>POWER($V97-$V86,Y$1)/FACT(Y$1)</f>
        <v>4.0262699315519999E+21</v>
      </c>
      <c r="Z97" s="117">
        <f>POWER($V97-$V86,Z$1)/FACT(Z$1)</f>
        <v>2.9097852795326301E+28</v>
      </c>
      <c r="AA97" s="117">
        <f>POWER($V97-$V86,AA$1)/FACT(AA$1)</f>
        <v>1.6823214572145855E+35</v>
      </c>
      <c r="AB97" s="117"/>
      <c r="AC97" s="119">
        <f t="array" ref="AC97:AJ97">AC86:AJ86+TRANSPOSE(M$12:M$19)*W97+TRANSPOSE(M$22:M$29)*X97+TRANSPOSE(M$32:M$39)*Y97+TRANSPOSE(M$42:M$49)*Z97+TRANSPOSE(M$52:M$59)*AA97</f>
        <v>2.4454239865488421E+19</v>
      </c>
      <c r="AD97" s="42">
        <v>1.7595097698013972E+21</v>
      </c>
      <c r="AE97" s="42">
        <v>8.8604622833737413E+20</v>
      </c>
      <c r="AF97" s="42">
        <v>1.1970384601833198E+20</v>
      </c>
      <c r="AG97" s="42">
        <v>6.6366903315776627E+19</v>
      </c>
      <c r="AH97" s="42">
        <v>2.7855809661822476E+19</v>
      </c>
      <c r="AI97" s="42">
        <v>1.1819734210617989E+19</v>
      </c>
      <c r="AJ97" s="42">
        <v>1.2811436838980552E+22</v>
      </c>
    </row>
    <row r="98" spans="3:36" s="4" customFormat="1">
      <c r="C98" s="2"/>
      <c r="D98" s="2"/>
      <c r="E98" s="19"/>
      <c r="F98" s="19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T98" s="107">
        <v>96</v>
      </c>
      <c r="U98" s="27">
        <f t="shared" si="3"/>
        <v>8</v>
      </c>
      <c r="V98" s="18">
        <f t="shared" si="4"/>
        <v>252288000</v>
      </c>
      <c r="W98" s="117">
        <f>POWER($V98-$V86,W$1)/FACT(W$1)</f>
        <v>31536000</v>
      </c>
      <c r="X98" s="117">
        <f>POWER($V98-$V86,X$1)/FACT(X$1)</f>
        <v>497259648000000</v>
      </c>
      <c r="Y98" s="117">
        <f>POWER($V98-$V86,Y$1)/FACT(Y$1)</f>
        <v>5.227193419776E+21</v>
      </c>
      <c r="Z98" s="117">
        <f>POWER($V98-$V86,Z$1)/FACT(Z$1)</f>
        <v>4.121119292151398E+28</v>
      </c>
      <c r="AA98" s="117">
        <f>POWER($V98-$V86,AA$1)/FACT(AA$1)</f>
        <v>2.5992723599457299E+35</v>
      </c>
      <c r="AB98" s="117"/>
      <c r="AC98" s="119">
        <f t="array" ref="AC98:AJ98">AC86:AJ86+TRANSPOSE(M$12:M$19)*W98+TRANSPOSE(M$22:M$29)*X98+TRANSPOSE(M$32:M$39)*Y98+TRANSPOSE(M$42:M$49)*Z98+TRANSPOSE(M$52:M$59)*AA98</f>
        <v>2.4406751851003613E+19</v>
      </c>
      <c r="AD98" s="42">
        <v>1.7549121941248811E+21</v>
      </c>
      <c r="AE98" s="42">
        <v>8.8638708840014453E+20</v>
      </c>
      <c r="AF98" s="42">
        <v>1.1975620569801028E+20</v>
      </c>
      <c r="AG98" s="42">
        <v>6.6462751966496096E+19</v>
      </c>
      <c r="AH98" s="42">
        <v>2.7830228830117704E+19</v>
      </c>
      <c r="AI98" s="42">
        <v>1.1573521868327852E+19</v>
      </c>
      <c r="AJ98" s="42">
        <v>1.277493773122725E+22</v>
      </c>
    </row>
    <row r="99" spans="3:36" s="4" customFormat="1">
      <c r="C99" s="2"/>
      <c r="D99" s="2"/>
      <c r="E99" s="19"/>
      <c r="F99" s="19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T99" s="107">
        <v>97</v>
      </c>
      <c r="U99" s="27">
        <f t="shared" si="3"/>
        <v>8.0833333333333339</v>
      </c>
      <c r="V99" s="18">
        <f t="shared" si="4"/>
        <v>254916000</v>
      </c>
      <c r="W99" s="117">
        <f>POWER($V99-$V98,W$1)/FACT(W$1)</f>
        <v>2628000</v>
      </c>
      <c r="X99" s="117">
        <f>POWER($V99-$V98,X$1)/FACT(X$1)</f>
        <v>3453192000000</v>
      </c>
      <c r="Y99" s="117">
        <f>POWER($V99-$V98,Y$1)/FACT(Y$1)</f>
        <v>3.024996192E+18</v>
      </c>
      <c r="Z99" s="117">
        <f>POWER($V99-$V98,Z$1)/FACT(Z$1)</f>
        <v>1.9874224981439998E+24</v>
      </c>
      <c r="AA99" s="117">
        <f>POWER($V99-$V98,AA$1)/FACT(AA$1)</f>
        <v>1.0445892650244864E+30</v>
      </c>
      <c r="AB99" s="117"/>
      <c r="AC99" s="119">
        <f t="array" ref="AC99:AJ99">AC98:AJ98+TRANSPOSE(N$12:N$19)*W99+TRANSPOSE(N$22:N$29)*X99+TRANSPOSE(N$32:N$39)*Y99+TRANSPOSE(N$42:N$49)*Z99+TRANSPOSE(N$52:N$59)*AA99</f>
        <v>2.4358635898320036E+19</v>
      </c>
      <c r="AD99" s="42">
        <v>1.7503195224924543E+21</v>
      </c>
      <c r="AE99" s="42">
        <v>8.8670612131716216E+20</v>
      </c>
      <c r="AF99" s="42">
        <v>1.1980835963261544E+20</v>
      </c>
      <c r="AG99" s="42">
        <v>6.6558110097062633E+19</v>
      </c>
      <c r="AH99" s="42">
        <v>2.780531784469479E+19</v>
      </c>
      <c r="AI99" s="42">
        <v>1.1332516464059711E+19</v>
      </c>
      <c r="AJ99" s="42">
        <v>1.2738542607562405E+22</v>
      </c>
    </row>
    <row r="100" spans="3:36" s="4" customFormat="1">
      <c r="C100" s="2"/>
      <c r="D100" s="2"/>
      <c r="E100" s="19"/>
      <c r="F100" s="19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T100" s="107">
        <v>98</v>
      </c>
      <c r="U100" s="27">
        <f t="shared" si="3"/>
        <v>8.1666666666666661</v>
      </c>
      <c r="V100" s="18">
        <f t="shared" si="4"/>
        <v>257544000</v>
      </c>
      <c r="W100" s="117">
        <f>POWER($V100-$V98,W$1)/FACT(W$1)</f>
        <v>5256000</v>
      </c>
      <c r="X100" s="117">
        <f>POWER($V100-$V98,X$1)/FACT(X$1)</f>
        <v>13812768000000</v>
      </c>
      <c r="Y100" s="117">
        <f>POWER($V100-$V98,Y$1)/FACT(Y$1)</f>
        <v>2.4199969536E+19</v>
      </c>
      <c r="Z100" s="117">
        <f>POWER($V100-$V98,Z$1)/FACT(Z$1)</f>
        <v>3.1798759970303997E+25</v>
      </c>
      <c r="AA100" s="117">
        <f>POWER($V100-$V98,AA$1)/FACT(AA$1)</f>
        <v>3.3426856480783565E+31</v>
      </c>
      <c r="AB100" s="117"/>
      <c r="AC100" s="119">
        <f t="array" ref="AC100:AJ100">AC98:AJ98+TRANSPOSE(N$12:N$19)*W100+TRANSPOSE(N$22:N$29)*X100+TRANSPOSE(N$32:N$39)*Y100+TRANSPOSE(N$42:N$49)*Z100+TRANSPOSE(N$52:N$59)*AA100</f>
        <v>2.4309934778589184E+19</v>
      </c>
      <c r="AD100" s="42">
        <v>1.7457319036800826E+21</v>
      </c>
      <c r="AE100" s="42">
        <v>8.8700351902331686E+20</v>
      </c>
      <c r="AF100" s="42">
        <v>1.1986021761302816E+20</v>
      </c>
      <c r="AG100" s="42">
        <v>6.6652982606448599E+19</v>
      </c>
      <c r="AH100" s="42">
        <v>2.7781065390016774E+19</v>
      </c>
      <c r="AI100" s="42">
        <v>1.1096605349643246E+19</v>
      </c>
      <c r="AJ100" s="42">
        <v>1.2702251171728662E+22</v>
      </c>
    </row>
    <row r="101" spans="3:36" s="4" customFormat="1">
      <c r="C101" s="2"/>
      <c r="D101" s="2"/>
      <c r="E101" s="19"/>
      <c r="F101" s="19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T101" s="107">
        <v>99</v>
      </c>
      <c r="U101" s="27">
        <f t="shared" si="3"/>
        <v>8.25</v>
      </c>
      <c r="V101" s="18">
        <f t="shared" si="4"/>
        <v>260172000</v>
      </c>
      <c r="W101" s="117">
        <f>POWER($V101-$V98,W$1)/FACT(W$1)</f>
        <v>7884000</v>
      </c>
      <c r="X101" s="117">
        <f>POWER($V101-$V98,X$1)/FACT(X$1)</f>
        <v>31078728000000</v>
      </c>
      <c r="Y101" s="117">
        <f>POWER($V101-$V98,Y$1)/FACT(Y$1)</f>
        <v>8.1674897184E+19</v>
      </c>
      <c r="Z101" s="117">
        <f>POWER($V101-$V98,Z$1)/FACT(Z$1)</f>
        <v>1.6098122234966398E+26</v>
      </c>
      <c r="AA101" s="117">
        <f>POWER($V101-$V98,AA$1)/FACT(AA$1)</f>
        <v>2.5383519140095018E+32</v>
      </c>
      <c r="AB101" s="117"/>
      <c r="AC101" s="119">
        <f t="array" ref="AC101:AJ101">AC98:AJ98+TRANSPOSE(N$12:N$19)*W101+TRANSPOSE(N$22:N$29)*X101+TRANSPOSE(N$32:N$39)*Y101+TRANSPOSE(N$42:N$49)*Z101+TRANSPOSE(N$52:N$59)*AA101</f>
        <v>2.4260688723264397E+19</v>
      </c>
      <c r="AD101" s="42">
        <v>1.7411494804960929E+21</v>
      </c>
      <c r="AE101" s="42">
        <v>8.8727947329029656E+20</v>
      </c>
      <c r="AF101" s="42">
        <v>1.1991170041050869E+20</v>
      </c>
      <c r="AG101" s="42">
        <v>6.6747372776208253E+19</v>
      </c>
      <c r="AH101" s="42">
        <v>2.7757458209656992E+19</v>
      </c>
      <c r="AI101" s="42">
        <v>1.0865680625072339E+19</v>
      </c>
      <c r="AJ101" s="42">
        <v>1.2666063128324697E+22</v>
      </c>
    </row>
    <row r="102" spans="3:36" s="4" customFormat="1">
      <c r="C102" s="2"/>
      <c r="D102" s="2"/>
      <c r="E102" s="19"/>
      <c r="F102" s="19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T102" s="107">
        <v>100</v>
      </c>
      <c r="U102" s="27">
        <f t="shared" si="3"/>
        <v>8.3333333333333339</v>
      </c>
      <c r="V102" s="18">
        <f t="shared" si="4"/>
        <v>262800000</v>
      </c>
      <c r="W102" s="117">
        <f>POWER($V102-$V98,W$1)/FACT(W$1)</f>
        <v>10512000</v>
      </c>
      <c r="X102" s="117">
        <f>POWER($V102-$V98,X$1)/FACT(X$1)</f>
        <v>55251072000000</v>
      </c>
      <c r="Y102" s="117">
        <f>POWER($V102-$V98,Y$1)/FACT(Y$1)</f>
        <v>1.93599756288E+20</v>
      </c>
      <c r="Z102" s="117">
        <f>POWER($V102-$V98,Z$1)/FACT(Z$1)</f>
        <v>5.0878015952486396E+26</v>
      </c>
      <c r="AA102" s="117">
        <f>POWER($V102-$V98,AA$1)/FACT(AA$1)</f>
        <v>1.0696594073850741E+33</v>
      </c>
      <c r="AB102" s="117"/>
      <c r="AC102" s="119">
        <f t="array" ref="AC102:AJ102">AC98:AJ98+TRANSPOSE(N$12:N$19)*W102+TRANSPOSE(N$22:N$29)*X102+TRANSPOSE(N$32:N$39)*Y102+TRANSPOSE(N$42:N$49)*Z102+TRANSPOSE(N$52:N$59)*AA102</f>
        <v>2.421093665938781E+19</v>
      </c>
      <c r="AD102" s="42">
        <v>1.7365723923764079E+21</v>
      </c>
      <c r="AE102" s="42">
        <v>8.8753417496631955E+20</v>
      </c>
      <c r="AF102" s="42">
        <v>1.1996273193499722E+20</v>
      </c>
      <c r="AG102" s="42">
        <v>6.6841283522829304E+19</v>
      </c>
      <c r="AH102" s="42">
        <v>2.7734482978298253E+19</v>
      </c>
      <c r="AI102" s="42">
        <v>1.0639636673950966E+19</v>
      </c>
      <c r="AJ102" s="42">
        <v>1.2629978182790756E+22</v>
      </c>
    </row>
    <row r="103" spans="3:36" s="4" customFormat="1">
      <c r="C103" s="2"/>
      <c r="D103" s="2"/>
      <c r="E103" s="19"/>
      <c r="F103" s="19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9"/>
      <c r="T103" s="107">
        <v>101</v>
      </c>
      <c r="U103" s="27">
        <f t="shared" si="3"/>
        <v>8.4166666666666661</v>
      </c>
      <c r="V103" s="18">
        <f t="shared" si="4"/>
        <v>265428000</v>
      </c>
      <c r="W103" s="117">
        <f>POWER($V103-$V98,W$1)/FACT(W$1)</f>
        <v>13140000</v>
      </c>
      <c r="X103" s="117">
        <f>POWER($V103-$V98,X$1)/FACT(X$1)</f>
        <v>86329800000000</v>
      </c>
      <c r="Y103" s="117">
        <f>POWER($V103-$V98,Y$1)/FACT(Y$1)</f>
        <v>3.7812452400000002E+20</v>
      </c>
      <c r="Z103" s="117">
        <f>POWER($V103-$V98,Z$1)/FACT(Z$1)</f>
        <v>1.2421390613399999E+27</v>
      </c>
      <c r="AA103" s="117">
        <f>POWER($V103-$V98,AA$1)/FACT(AA$1)</f>
        <v>3.2643414532015203E+33</v>
      </c>
      <c r="AB103" s="117"/>
      <c r="AC103" s="119">
        <f t="array" ref="AC103:AJ103">AC98:AJ98+TRANSPOSE(N$12:N$19)*W103+TRANSPOSE(N$22:N$29)*X103+TRANSPOSE(N$32:N$39)*Y103+TRANSPOSE(N$42:N$49)*Z103+TRANSPOSE(N$52:N$59)*AA103</f>
        <v>2.4160716242524951E+19</v>
      </c>
      <c r="AD103" s="42">
        <v>1.7320007754510544E+21</v>
      </c>
      <c r="AE103" s="42">
        <v>8.8776781396865883E+20</v>
      </c>
      <c r="AF103" s="42">
        <v>1.2001323912992332E+20</v>
      </c>
      <c r="AG103" s="42">
        <v>6.6934717413913403E+19</v>
      </c>
      <c r="AH103" s="42">
        <v>2.7712126317054501E+19</v>
      </c>
      <c r="AI103" s="42">
        <v>1.041837011240414E+19</v>
      </c>
      <c r="AJ103" s="42">
        <v>1.2593996041406235E+22</v>
      </c>
    </row>
    <row r="104" spans="3:36" s="4" customFormat="1">
      <c r="C104" s="2"/>
      <c r="D104" s="2"/>
      <c r="E104" s="19"/>
      <c r="F104" s="19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9"/>
      <c r="T104" s="107">
        <v>102</v>
      </c>
      <c r="U104" s="27">
        <f t="shared" si="3"/>
        <v>8.5</v>
      </c>
      <c r="V104" s="18">
        <f t="shared" si="4"/>
        <v>268056000</v>
      </c>
      <c r="W104" s="117">
        <f>POWER($V104-$V98,W$1)/FACT(W$1)</f>
        <v>15768000</v>
      </c>
      <c r="X104" s="117">
        <f>POWER($V104-$V98,X$1)/FACT(X$1)</f>
        <v>124314912000000</v>
      </c>
      <c r="Y104" s="117">
        <f>POWER($V104-$V98,Y$1)/FACT(Y$1)</f>
        <v>6.53399177472E+20</v>
      </c>
      <c r="Z104" s="117">
        <f>POWER($V104-$V98,Z$1)/FACT(Z$1)</f>
        <v>2.5756995575946237E+27</v>
      </c>
      <c r="AA104" s="117">
        <f>POWER($V104-$V98,AA$1)/FACT(AA$1)</f>
        <v>8.1227261248304059E+33</v>
      </c>
      <c r="AB104" s="117"/>
      <c r="AC104" s="119">
        <f t="array" ref="AC104:AJ104">AC98:AJ98+TRANSPOSE(N$12:N$19)*W104+TRANSPOSE(N$22:N$29)*X104+TRANSPOSE(N$32:N$39)*Y104+TRANSPOSE(N$42:N$49)*Z104+TRANSPOSE(N$52:N$59)*AA104</f>
        <v>2.4110063889699303E+19</v>
      </c>
      <c r="AD104" s="42">
        <v>1.7274347626106729E+21</v>
      </c>
      <c r="AE104" s="42">
        <v>8.8798057927616496E+20</v>
      </c>
      <c r="AF104" s="42">
        <v>1.2006315186701541E+20</v>
      </c>
      <c r="AG104" s="42">
        <v>6.702767668435642E+19</v>
      </c>
      <c r="AH104" s="42">
        <v>2.7690374808792449E+19</v>
      </c>
      <c r="AI104" s="42">
        <v>1.0201779737988913E+19</v>
      </c>
      <c r="AJ104" s="42">
        <v>1.2558116411287271E+22</v>
      </c>
    </row>
    <row r="105" spans="3:36" s="4" customFormat="1">
      <c r="C105" s="2"/>
      <c r="D105" s="2"/>
      <c r="E105" s="19"/>
      <c r="F105" s="19"/>
      <c r="G105" s="110"/>
      <c r="H105" s="110"/>
      <c r="I105" s="110"/>
      <c r="J105" s="110"/>
      <c r="K105" s="110"/>
      <c r="L105" s="110"/>
      <c r="M105" s="110"/>
      <c r="N105" s="110"/>
      <c r="O105" s="110"/>
      <c r="P105" s="110"/>
      <c r="S105" s="19"/>
      <c r="T105" s="107">
        <v>103</v>
      </c>
      <c r="U105" s="27">
        <f t="shared" si="3"/>
        <v>8.5833333333333339</v>
      </c>
      <c r="V105" s="18">
        <f t="shared" si="4"/>
        <v>270684000</v>
      </c>
      <c r="W105" s="117">
        <f>POWER($V105-$V98,W$1)/FACT(W$1)</f>
        <v>18396000</v>
      </c>
      <c r="X105" s="117">
        <f>POWER($V105-$V98,X$1)/FACT(X$1)</f>
        <v>169206408000000</v>
      </c>
      <c r="Y105" s="117">
        <f>POWER($V105-$V98,Y$1)/FACT(Y$1)</f>
        <v>1.037573693856E+21</v>
      </c>
      <c r="Z105" s="117">
        <f>POWER($V105-$V98,Z$1)/FACT(Z$1)</f>
        <v>4.7718014180437445E+27</v>
      </c>
      <c r="AA105" s="117">
        <f>POWER($V105-$V98,AA$1)/FACT(AA$1)</f>
        <v>1.7556411777266544E+34</v>
      </c>
      <c r="AB105" s="117"/>
      <c r="AC105" s="119">
        <f t="array" ref="AC105:AJ105">AC98:AJ98+TRANSPOSE(N$12:N$19)*W105+TRANSPOSE(N$22:N$29)*X105+TRANSPOSE(N$32:N$39)*Y105+TRANSPOSE(N$42:N$49)*Z105+TRANSPOSE(N$52:N$59)*AA105</f>
        <v>2.4059014812326941E+19</v>
      </c>
      <c r="AD105" s="42">
        <v>1.7228744835730251E+21</v>
      </c>
      <c r="AE105" s="42">
        <v>8.881726589217909E+20</v>
      </c>
      <c r="AF105" s="42">
        <v>1.2011240284111032E+20</v>
      </c>
      <c r="AG105" s="42">
        <v>6.7120163252528923E+19</v>
      </c>
      <c r="AH105" s="42">
        <v>2.7669215013453222E+19</v>
      </c>
      <c r="AI105" s="42">
        <v>9.9897664786053448E+18</v>
      </c>
      <c r="AJ105" s="42">
        <v>1.2522339000384326E+22</v>
      </c>
    </row>
    <row r="106" spans="3:36" s="4" customFormat="1">
      <c r="C106" s="2"/>
      <c r="D106" s="2"/>
      <c r="E106" s="19"/>
      <c r="F106" s="19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S106" s="19"/>
      <c r="T106" s="107">
        <v>104</v>
      </c>
      <c r="U106" s="27">
        <f t="shared" si="3"/>
        <v>8.6666666666666661</v>
      </c>
      <c r="V106" s="18">
        <f t="shared" si="4"/>
        <v>273312000</v>
      </c>
      <c r="W106" s="117">
        <f>POWER($V106-$V98,W$1)/FACT(W$1)</f>
        <v>21024000</v>
      </c>
      <c r="X106" s="117">
        <f>POWER($V106-$V98,X$1)/FACT(X$1)</f>
        <v>221004288000000</v>
      </c>
      <c r="Y106" s="117">
        <f>POWER($V106-$V98,Y$1)/FACT(Y$1)</f>
        <v>1.548798050304E+21</v>
      </c>
      <c r="Z106" s="117">
        <f>POWER($V106-$V98,Z$1)/FACT(Z$1)</f>
        <v>8.1404825523978233E+27</v>
      </c>
      <c r="AA106" s="117">
        <f>POWER($V106-$V98,AA$1)/FACT(AA$1)</f>
        <v>3.422910103632237E+34</v>
      </c>
      <c r="AB106" s="117"/>
      <c r="AC106" s="119">
        <f t="array" ref="AC106:AJ106">AC98:AJ98+TRANSPOSE(N$12:N$19)*W106+TRANSPOSE(N$22:N$29)*X106+TRANSPOSE(N$32:N$39)*Y106+TRANSPOSE(N$42:N$49)*Z106+TRANSPOSE(N$52:N$59)*AA106</f>
        <v>2.4007603049151082E+19</v>
      </c>
      <c r="AD106" s="42">
        <v>1.718320064949505E+21</v>
      </c>
      <c r="AE106" s="42">
        <v>8.8834423998511487E+20</v>
      </c>
      <c r="AF106" s="42">
        <v>1.2016092746496247E+20</v>
      </c>
      <c r="AG106" s="42">
        <v>6.7212178736456516E+19</v>
      </c>
      <c r="AH106" s="42">
        <v>2.7648633483373974E+19</v>
      </c>
      <c r="AI106" s="42">
        <v>9.7822333414074634E+18</v>
      </c>
      <c r="AJ106" s="42">
        <v>1.2486663517479778E+22</v>
      </c>
    </row>
    <row r="107" spans="3:36" s="4" customFormat="1">
      <c r="C107" s="2"/>
      <c r="D107" s="2"/>
      <c r="E107" s="19"/>
      <c r="F107" s="19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S107" s="19"/>
      <c r="T107" s="107">
        <v>105</v>
      </c>
      <c r="U107" s="27">
        <f t="shared" si="3"/>
        <v>8.75</v>
      </c>
      <c r="V107" s="18">
        <f t="shared" si="4"/>
        <v>275940000</v>
      </c>
      <c r="W107" s="117">
        <f>POWER($V107-$V98,W$1)/FACT(W$1)</f>
        <v>23652000</v>
      </c>
      <c r="X107" s="117">
        <f>POWER($V107-$V98,X$1)/FACT(X$1)</f>
        <v>279708552000000</v>
      </c>
      <c r="Y107" s="117">
        <f>POWER($V107-$V98,Y$1)/FACT(Y$1)</f>
        <v>2.205222223968E+21</v>
      </c>
      <c r="Z107" s="117">
        <f>POWER($V107-$V98,Z$1)/FACT(Z$1)</f>
        <v>1.3039479010322784E+28</v>
      </c>
      <c r="AA107" s="117">
        <f>POWER($V107-$V98,AA$1)/FACT(AA$1)</f>
        <v>6.1681951510430897E+34</v>
      </c>
      <c r="AB107" s="117"/>
      <c r="AC107" s="119">
        <f t="array" ref="AC107:AJ107">AC98:AJ98+TRANSPOSE(N$12:N$19)*W107+TRANSPOSE(N$22:N$29)*X107+TRANSPOSE(N$32:N$39)*Y107+TRANSPOSE(N$42:N$49)*Z107+TRANSPOSE(N$52:N$59)*AA107</f>
        <v>2.3955861499176653E+19</v>
      </c>
      <c r="AD107" s="42">
        <v>1.7137716303116449E+21</v>
      </c>
      <c r="AE107" s="42">
        <v>8.8849550858486442E+20</v>
      </c>
      <c r="AF107" s="42">
        <v>1.2020866376405359E+20</v>
      </c>
      <c r="AG107" s="42">
        <v>6.7303724470000222E+19</v>
      </c>
      <c r="AH107" s="42">
        <v>2.7628616778609574E+19</v>
      </c>
      <c r="AI107" s="42">
        <v>9.5790853617142702E+18</v>
      </c>
      <c r="AJ107" s="42">
        <v>1.2451089672185485E+22</v>
      </c>
    </row>
    <row r="108" spans="3:36" s="4" customFormat="1">
      <c r="C108" s="2"/>
      <c r="D108" s="2"/>
      <c r="E108" s="19"/>
      <c r="F108" s="19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S108" s="19"/>
      <c r="T108" s="107">
        <v>106</v>
      </c>
      <c r="U108" s="27">
        <f t="shared" si="3"/>
        <v>8.8333333333333339</v>
      </c>
      <c r="V108" s="18">
        <f t="shared" si="4"/>
        <v>278568000</v>
      </c>
      <c r="W108" s="117">
        <f>POWER($V108-$V98,W$1)/FACT(W$1)</f>
        <v>26280000</v>
      </c>
      <c r="X108" s="117">
        <f>POWER($V108-$V98,X$1)/FACT(X$1)</f>
        <v>345319200000000</v>
      </c>
      <c r="Y108" s="117">
        <f>POWER($V108-$V98,Y$1)/FACT(Y$1)</f>
        <v>3.0249961920000001E+21</v>
      </c>
      <c r="Z108" s="117">
        <f>POWER($V108-$V98,Z$1)/FACT(Z$1)</f>
        <v>1.9874224981439999E+28</v>
      </c>
      <c r="AA108" s="117">
        <f>POWER($V108-$V98,AA$1)/FACT(AA$1)</f>
        <v>1.0445892650244865E+35</v>
      </c>
      <c r="AB108" s="117"/>
      <c r="AC108" s="119">
        <f t="array" ref="AC108:AJ108">AC98:AJ98+TRANSPOSE(N$12:N$19)*W108+TRANSPOSE(N$22:N$29)*X108+TRANSPOSE(N$32:N$39)*Y108+TRANSPOSE(N$42:N$49)*Z108+TRANSPOSE(N$52:N$59)*AA108</f>
        <v>2.3903821954604958E+19</v>
      </c>
      <c r="AD108" s="42">
        <v>1.7092293002576281E+21</v>
      </c>
      <c r="AE108" s="42">
        <v>8.8862664987144002E+20</v>
      </c>
      <c r="AF108" s="42">
        <v>1.2025555227140201E+20</v>
      </c>
      <c r="AG108" s="42">
        <v>6.7394801519036891E+19</v>
      </c>
      <c r="AH108" s="42">
        <v>2.7609151482254205E+19</v>
      </c>
      <c r="AI108" s="42">
        <v>9.380229551920681E+18</v>
      </c>
      <c r="AJ108" s="42">
        <v>1.2415617174940391E+22</v>
      </c>
    </row>
    <row r="109" spans="3:36" s="4" customFormat="1">
      <c r="C109" s="2"/>
      <c r="D109" s="2"/>
      <c r="E109" s="19"/>
      <c r="F109" s="19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S109" s="19"/>
      <c r="T109" s="107">
        <v>107</v>
      </c>
      <c r="U109" s="27">
        <f t="shared" si="3"/>
        <v>8.9166666666666661</v>
      </c>
      <c r="V109" s="18">
        <f t="shared" si="4"/>
        <v>281196000</v>
      </c>
      <c r="W109" s="117">
        <f>POWER($V109-$V98,W$1)/FACT(W$1)</f>
        <v>28908000</v>
      </c>
      <c r="X109" s="117">
        <f>POWER($V109-$V98,X$1)/FACT(X$1)</f>
        <v>417836232000000</v>
      </c>
      <c r="Y109" s="117">
        <f>POWER($V109-$V98,Y$1)/FACT(Y$1)</f>
        <v>4.0262699315519999E+21</v>
      </c>
      <c r="Z109" s="117">
        <f>POWER($V109-$V98,Z$1)/FACT(Z$1)</f>
        <v>2.9097852795326301E+28</v>
      </c>
      <c r="AA109" s="117">
        <f>POWER($V109-$V98,AA$1)/FACT(AA$1)</f>
        <v>1.6823214572145855E+35</v>
      </c>
      <c r="AB109" s="117"/>
      <c r="AC109" s="119">
        <f t="array" ref="AC109:AJ109">AC98:AJ98+TRANSPOSE(N$12:N$19)*W109+TRANSPOSE(N$22:N$29)*X109+TRANSPOSE(N$32:N$39)*Y109+TRANSPOSE(N$42:N$49)*Z109+TRANSPOSE(N$52:N$59)*AA109</f>
        <v>2.3851515133768159E+19</v>
      </c>
      <c r="AD109" s="42">
        <v>1.7046931924787939E+21</v>
      </c>
      <c r="AE109" s="42">
        <v>8.8873784801943958E+20</v>
      </c>
      <c r="AF109" s="42">
        <v>1.2030153592237213E+20</v>
      </c>
      <c r="AG109" s="42">
        <v>6.7485410697639608E+19</v>
      </c>
      <c r="AH109" s="42">
        <v>2.759022421576301E+19</v>
      </c>
      <c r="AI109" s="42">
        <v>9.1855748504085309E+18</v>
      </c>
      <c r="AJ109" s="42">
        <v>1.238024573700811E+22</v>
      </c>
    </row>
    <row r="110" spans="3:36" s="4" customFormat="1">
      <c r="C110" s="2"/>
      <c r="D110" s="2"/>
      <c r="E110" s="19"/>
      <c r="F110" s="19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S110" s="19"/>
      <c r="T110" s="107">
        <v>108</v>
      </c>
      <c r="U110" s="27">
        <f t="shared" si="3"/>
        <v>9</v>
      </c>
      <c r="V110" s="18">
        <f t="shared" si="4"/>
        <v>283824000</v>
      </c>
      <c r="W110" s="117">
        <f>POWER($V110-$V98,W$1)/FACT(W$1)</f>
        <v>31536000</v>
      </c>
      <c r="X110" s="117">
        <f>POWER($V110-$V98,X$1)/FACT(X$1)</f>
        <v>497259648000000</v>
      </c>
      <c r="Y110" s="117">
        <f>POWER($V110-$V98,Y$1)/FACT(Y$1)</f>
        <v>5.227193419776E+21</v>
      </c>
      <c r="Z110" s="117">
        <f>POWER($V110-$V98,Z$1)/FACT(Z$1)</f>
        <v>4.121119292151398E+28</v>
      </c>
      <c r="AA110" s="117">
        <f>POWER($V110-$V98,AA$1)/FACT(AA$1)</f>
        <v>2.5992723599457299E+35</v>
      </c>
      <c r="AB110" s="117"/>
      <c r="AC110" s="119">
        <f t="array" ref="AC110:AJ110">AC98:AJ98+TRANSPOSE(N$12:N$19)*W110+TRANSPOSE(N$22:N$29)*X110+TRANSPOSE(N$32:N$39)*Y110+TRANSPOSE(N$42:N$49)*Z110+TRANSPOSE(N$52:N$59)*AA110</f>
        <v>2.379897071406395E+19</v>
      </c>
      <c r="AD110" s="42">
        <v>1.7001634218261514E+21</v>
      </c>
      <c r="AE110" s="42">
        <v>8.8882928622018088E+20</v>
      </c>
      <c r="AF110" s="42">
        <v>1.2034655994948403E+20</v>
      </c>
      <c r="AG110" s="42">
        <v>6.7575552584257995E+19</v>
      </c>
      <c r="AH110" s="42">
        <v>2.7571821654273769E+19</v>
      </c>
      <c r="AI110" s="42">
        <v>8.9950320704575355E+18</v>
      </c>
      <c r="AJ110" s="42">
        <v>1.2344975070474501E+22</v>
      </c>
    </row>
    <row r="111" spans="3:36" s="4" customFormat="1">
      <c r="C111" s="2"/>
      <c r="D111" s="2"/>
      <c r="E111" s="19"/>
      <c r="F111" s="19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S111" s="19"/>
      <c r="T111" s="107">
        <v>109</v>
      </c>
      <c r="U111" s="27">
        <f t="shared" si="3"/>
        <v>9.0833333333333339</v>
      </c>
      <c r="V111" s="18">
        <f t="shared" si="4"/>
        <v>286452000</v>
      </c>
      <c r="W111" s="117">
        <f>POWER($V111-$V110,W$1)/FACT(W$1)</f>
        <v>2628000</v>
      </c>
      <c r="X111" s="117">
        <f>POWER($V111-$V110,X$1)/FACT(X$1)</f>
        <v>3453192000000</v>
      </c>
      <c r="Y111" s="117">
        <f>POWER($V111-$V110,Y$1)/FACT(Y$1)</f>
        <v>3.024996192E+18</v>
      </c>
      <c r="Z111" s="117">
        <f>POWER($V111-$V110,Z$1)/FACT(Z$1)</f>
        <v>1.9874224981439998E+24</v>
      </c>
      <c r="AA111" s="117">
        <f>POWER($V111-$V110,AA$1)/FACT(AA$1)</f>
        <v>1.0445892650244864E+30</v>
      </c>
      <c r="AB111" s="117"/>
      <c r="AC111" s="119">
        <f t="array" ref="AC111:AJ111">AC110:AJ110+TRANSPOSE(O$12:O$19)*W111+TRANSPOSE(O$22:O$29)*X111+TRANSPOSE(O$32:O$39)*Y111+TRANSPOSE(O$42:O$49)*Z111+TRANSPOSE(O$52:O$59)*AA111</f>
        <v>2.3746215786343199E+19</v>
      </c>
      <c r="AD111" s="42">
        <v>1.6956400973403041E+21</v>
      </c>
      <c r="AE111" s="42">
        <v>8.8890114752747681E+20</v>
      </c>
      <c r="AF111" s="42">
        <v>1.2039057973098211E+20</v>
      </c>
      <c r="AG111" s="42">
        <v>6.7665226257032962E+19</v>
      </c>
      <c r="AH111" s="42">
        <v>2.755392877245064E+19</v>
      </c>
      <c r="AI111" s="42">
        <v>8.8085166184078367E+18</v>
      </c>
      <c r="AJ111" s="42">
        <v>1.2309804888262852E+22</v>
      </c>
    </row>
    <row r="112" spans="3:36" s="4" customFormat="1">
      <c r="C112" s="2"/>
      <c r="D112" s="2"/>
      <c r="E112" s="19"/>
      <c r="F112" s="19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S112" s="19"/>
      <c r="T112" s="107">
        <v>110</v>
      </c>
      <c r="U112" s="27">
        <f t="shared" si="3"/>
        <v>9.1666666666666661</v>
      </c>
      <c r="V112" s="18">
        <f t="shared" si="4"/>
        <v>289080000</v>
      </c>
      <c r="W112" s="117">
        <f>POWER($V112-$V110,W$1)/FACT(W$1)</f>
        <v>5256000</v>
      </c>
      <c r="X112" s="117">
        <f>POWER($V112-$V110,X$1)/FACT(X$1)</f>
        <v>13812768000000</v>
      </c>
      <c r="Y112" s="117">
        <f>POWER($V112-$V110,Y$1)/FACT(Y$1)</f>
        <v>2.4199969536E+19</v>
      </c>
      <c r="Z112" s="117">
        <f>POWER($V112-$V110,Z$1)/FACT(Z$1)</f>
        <v>3.1798759970303997E+25</v>
      </c>
      <c r="AA112" s="117">
        <f>POWER($V112-$V110,AA$1)/FACT(AA$1)</f>
        <v>3.3426856480783565E+31</v>
      </c>
      <c r="AB112" s="117"/>
      <c r="AC112" s="119">
        <f t="array" ref="AC112:AJ112">AC110:AJ110+TRANSPOSE(O$12:O$19)*W112+TRANSPOSE(O$22:O$29)*X112+TRANSPOSE(O$32:O$39)*Y112+TRANSPOSE(O$42:O$49)*Z112+TRANSPOSE(O$52:O$59)*AA112</f>
        <v>2.3693278904525246E+19</v>
      </c>
      <c r="AD112" s="42">
        <v>1.691123330059823E+21</v>
      </c>
      <c r="AE112" s="42">
        <v>8.8895361267056181E+20</v>
      </c>
      <c r="AF112" s="42">
        <v>1.2043354031359261E+20</v>
      </c>
      <c r="AG112" s="42">
        <v>6.7754432589992894E+19</v>
      </c>
      <c r="AH112" s="42">
        <v>2.7536533403336753E+19</v>
      </c>
      <c r="AI112" s="42">
        <v>8.6259413724692152E+18</v>
      </c>
      <c r="AJ112" s="42">
        <v>1.2274734904086874E+22</v>
      </c>
    </row>
    <row r="113" spans="1:36" s="4" customFormat="1">
      <c r="C113" s="2"/>
      <c r="D113" s="2"/>
      <c r="E113" s="19"/>
      <c r="F113" s="19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9"/>
      <c r="T113" s="107">
        <v>111</v>
      </c>
      <c r="U113" s="27">
        <f t="shared" si="3"/>
        <v>9.25</v>
      </c>
      <c r="V113" s="18">
        <f t="shared" si="4"/>
        <v>291708000</v>
      </c>
      <c r="W113" s="117">
        <f>POWER($V113-$V110,W$1)/FACT(W$1)</f>
        <v>7884000</v>
      </c>
      <c r="X113" s="117">
        <f>POWER($V113-$V110,X$1)/FACT(X$1)</f>
        <v>31078728000000</v>
      </c>
      <c r="Y113" s="117">
        <f>POWER($V113-$V110,Y$1)/FACT(Y$1)</f>
        <v>8.1674897184E+19</v>
      </c>
      <c r="Z113" s="117">
        <f>POWER($V113-$V110,Z$1)/FACT(Z$1)</f>
        <v>1.6098122234966398E+26</v>
      </c>
      <c r="AA113" s="117">
        <f>POWER($V113-$V110,AA$1)/FACT(AA$1)</f>
        <v>2.5383519140095018E+32</v>
      </c>
      <c r="AB113" s="117"/>
      <c r="AC113" s="119">
        <f t="array" ref="AC113:AJ113">AC110:AJ110+TRANSPOSE(O$12:O$19)*W113+TRANSPOSE(O$22:O$29)*X113+TRANSPOSE(O$32:O$39)*Y113+TRANSPOSE(O$42:O$49)*Z113+TRANSPOSE(O$52:O$59)*AA113</f>
        <v>2.3640186576478614E+19</v>
      </c>
      <c r="AD113" s="42">
        <v>1.6866132262497058E+21</v>
      </c>
      <c r="AE113" s="42">
        <v>8.8898686197459386E+20</v>
      </c>
      <c r="AF113" s="42">
        <v>1.2047539436634703E+20</v>
      </c>
      <c r="AG113" s="42">
        <v>6.7843171362121875E+19</v>
      </c>
      <c r="AH113" s="42">
        <v>2.7519622218138608E+19</v>
      </c>
      <c r="AI113" s="42">
        <v>8.4472228830710344E+18</v>
      </c>
      <c r="AJ113" s="42">
        <v>1.2239764832487486E+22</v>
      </c>
    </row>
    <row r="114" spans="1:36" s="4" customFormat="1">
      <c r="C114" s="2"/>
      <c r="D114" s="2"/>
      <c r="E114" s="19"/>
      <c r="F114" s="19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9"/>
      <c r="T114" s="107">
        <v>112</v>
      </c>
      <c r="U114" s="27">
        <f t="shared" si="3"/>
        <v>9.3333333333333339</v>
      </c>
      <c r="V114" s="18">
        <f t="shared" si="4"/>
        <v>294336000</v>
      </c>
      <c r="W114" s="117">
        <f>POWER($V114-$V110,W$1)/FACT(W$1)</f>
        <v>10512000</v>
      </c>
      <c r="X114" s="117">
        <f>POWER($V114-$V110,X$1)/FACT(X$1)</f>
        <v>55251072000000</v>
      </c>
      <c r="Y114" s="117">
        <f>POWER($V114-$V110,Y$1)/FACT(Y$1)</f>
        <v>1.93599756288E+20</v>
      </c>
      <c r="Z114" s="117">
        <f>POWER($V114-$V110,Z$1)/FACT(Z$1)</f>
        <v>5.0878015952486396E+26</v>
      </c>
      <c r="AA114" s="117">
        <f>POWER($V114-$V110,AA$1)/FACT(AA$1)</f>
        <v>1.0696594073850741E+33</v>
      </c>
      <c r="AB114" s="117"/>
      <c r="AC114" s="119">
        <f t="array" ref="AC114:AJ114">AC110:AJ110+TRANSPOSE(O$12:O$19)*W114+TRANSPOSE(O$22:O$29)*X114+TRANSPOSE(O$32:O$39)*Y114+TRANSPOSE(O$42:O$49)*Z114+TRANSPOSE(O$52:O$59)*AA114</f>
        <v>2.3586964344651661E+19</v>
      </c>
      <c r="AD114" s="42">
        <v>1.6821098894943686E+21</v>
      </c>
      <c r="AE114" s="42">
        <v>8.8900107478081575E+20</v>
      </c>
      <c r="AF114" s="42">
        <v>1.2051609670058315E+20</v>
      </c>
      <c r="AG114" s="42">
        <v>6.7931442138596557E+19</v>
      </c>
      <c r="AH114" s="42">
        <v>2.7503181945383694E+19</v>
      </c>
      <c r="AI114" s="42">
        <v>8.2722794667704658E+18</v>
      </c>
      <c r="AJ114" s="42">
        <v>1.2204894388818859E+22</v>
      </c>
    </row>
    <row r="115" spans="1:36" s="4" customFormat="1">
      <c r="C115" s="2"/>
      <c r="D115" s="2"/>
      <c r="E115" s="19"/>
      <c r="F115" s="19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R115" s="110"/>
      <c r="S115" s="19"/>
      <c r="T115" s="107">
        <v>113</v>
      </c>
      <c r="U115" s="27">
        <f t="shared" si="3"/>
        <v>9.4166666666666661</v>
      </c>
      <c r="V115" s="18">
        <f t="shared" si="4"/>
        <v>296964000</v>
      </c>
      <c r="W115" s="117">
        <f>POWER($V115-$V110,W$1)/FACT(W$1)</f>
        <v>13140000</v>
      </c>
      <c r="X115" s="117">
        <f>POWER($V115-$V110,X$1)/FACT(X$1)</f>
        <v>86329800000000</v>
      </c>
      <c r="Y115" s="117">
        <f>POWER($V115-$V110,Y$1)/FACT(Y$1)</f>
        <v>3.7812452400000002E+20</v>
      </c>
      <c r="Z115" s="117">
        <f>POWER($V115-$V110,Z$1)/FACT(Z$1)</f>
        <v>1.2421390613399999E+27</v>
      </c>
      <c r="AA115" s="117">
        <f>POWER($V115-$V110,AA$1)/FACT(AA$1)</f>
        <v>3.2643414532015203E+33</v>
      </c>
      <c r="AB115" s="117"/>
      <c r="AC115" s="119">
        <f t="array" ref="AC115:AJ115">AC110:AJ110+TRANSPOSE(O$12:O$19)*W115+TRANSPOSE(O$22:O$29)*X115+TRANSPOSE(O$32:O$39)*Y115+TRANSPOSE(O$42:O$49)*Z115+TRANSPOSE(O$52:O$59)*AA115</f>
        <v>2.3533636812121375E+19</v>
      </c>
      <c r="AD115" s="42">
        <v>1.677613420751212E+21</v>
      </c>
      <c r="AE115" s="42">
        <v>8.8899642944261469E+20</v>
      </c>
      <c r="AF115" s="42">
        <v>1.2055560419657472E+20</v>
      </c>
      <c r="AG115" s="42">
        <v>6.801924428182877E+19</v>
      </c>
      <c r="AH115" s="42">
        <v>2.748719937941409E+19</v>
      </c>
      <c r="AI115" s="42">
        <v>8.101031166740396E+18</v>
      </c>
      <c r="AJ115" s="42">
        <v>1.2170123289246074E+22</v>
      </c>
    </row>
    <row r="116" spans="1:36" s="4" customFormat="1">
      <c r="A116" s="2"/>
      <c r="B116" s="2"/>
      <c r="C116" s="2"/>
      <c r="D116" s="2"/>
      <c r="E116" s="19"/>
      <c r="F116" s="19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R116" s="110"/>
      <c r="S116" s="19"/>
      <c r="T116" s="107">
        <v>114</v>
      </c>
      <c r="U116" s="27">
        <f t="shared" si="3"/>
        <v>9.5</v>
      </c>
      <c r="V116" s="18">
        <f t="shared" si="4"/>
        <v>299592000</v>
      </c>
      <c r="W116" s="117">
        <f>POWER($V116-$V110,W$1)/FACT(W$1)</f>
        <v>15768000</v>
      </c>
      <c r="X116" s="117">
        <f>POWER($V116-$V110,X$1)/FACT(X$1)</f>
        <v>124314912000000</v>
      </c>
      <c r="Y116" s="117">
        <f>POWER($V116-$V110,Y$1)/FACT(Y$1)</f>
        <v>6.53399177472E+20</v>
      </c>
      <c r="Z116" s="117">
        <f>POWER($V116-$V110,Z$1)/FACT(Z$1)</f>
        <v>2.5756995575946237E+27</v>
      </c>
      <c r="AA116" s="117">
        <f>POWER($V116-$V110,AA$1)/FACT(AA$1)</f>
        <v>8.1227261248304059E+33</v>
      </c>
      <c r="AB116" s="117"/>
      <c r="AC116" s="119">
        <f t="array" ref="AC116:AJ116">AC110:AJ110+TRANSPOSE(O$12:O$19)*W116+TRANSPOSE(O$22:O$29)*X116+TRANSPOSE(O$32:O$39)*Y116+TRANSPOSE(O$42:O$49)*Z116+TRANSPOSE(O$52:O$59)*AA116</f>
        <v>2.3480227668642218E+19</v>
      </c>
      <c r="AD116" s="42">
        <v>1.6731239184041892E+21</v>
      </c>
      <c r="AE116" s="42">
        <v>8.8897310332158175E+20</v>
      </c>
      <c r="AF116" s="42">
        <v>1.2059387573016106E+20</v>
      </c>
      <c r="AG116" s="42">
        <v>6.8106576962508055E+19</v>
      </c>
      <c r="AH116" s="42">
        <v>2.747166138888013E+19</v>
      </c>
      <c r="AI116" s="42">
        <v>7.9333997132573573E+18</v>
      </c>
      <c r="AJ116" s="42">
        <v>1.2135451250742786E+22</v>
      </c>
    </row>
    <row r="117" spans="1:36" s="4" customFormat="1">
      <c r="A117" s="2"/>
      <c r="B117" s="2"/>
      <c r="C117" s="2"/>
      <c r="D117" s="2"/>
      <c r="E117" s="19"/>
      <c r="F117" s="19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R117" s="110"/>
      <c r="S117" s="19"/>
      <c r="T117" s="107">
        <v>115</v>
      </c>
      <c r="U117" s="27">
        <f t="shared" si="3"/>
        <v>9.5833333333333339</v>
      </c>
      <c r="V117" s="18">
        <f t="shared" si="4"/>
        <v>302220000</v>
      </c>
      <c r="W117" s="117">
        <f>POWER($V117-$V110,W$1)/FACT(W$1)</f>
        <v>18396000</v>
      </c>
      <c r="X117" s="117">
        <f>POWER($V117-$V110,X$1)/FACT(X$1)</f>
        <v>169206408000000</v>
      </c>
      <c r="Y117" s="117">
        <f>POWER($V117-$V110,Y$1)/FACT(Y$1)</f>
        <v>1.037573693856E+21</v>
      </c>
      <c r="Z117" s="117">
        <f>POWER($V117-$V110,Z$1)/FACT(Z$1)</f>
        <v>4.7718014180437445E+27</v>
      </c>
      <c r="AA117" s="117">
        <f>POWER($V117-$V110,AA$1)/FACT(AA$1)</f>
        <v>1.7556411777266544E+34</v>
      </c>
      <c r="AB117" s="117"/>
      <c r="AC117" s="119">
        <f t="array" ref="AC117:AJ117">AC110:AJ110+TRANSPOSE(O$12:O$19)*W117+TRANSPOSE(O$22:O$29)*X117+TRANSPOSE(O$32:O$39)*Y117+TRANSPOSE(O$42:O$49)*Z117+TRANSPOSE(O$52:O$59)*AA117</f>
        <v>2.3426759716694897E+19</v>
      </c>
      <c r="AD117" s="42">
        <v>1.6686414783173739E+21</v>
      </c>
      <c r="AE117" s="42">
        <v>8.8893127278357106E+20</v>
      </c>
      <c r="AF117" s="42">
        <v>1.2063087209937687E+20</v>
      </c>
      <c r="AG117" s="42">
        <v>6.8193439170644181E+19</v>
      </c>
      <c r="AH117" s="42">
        <v>2.7456554925233979E+19</v>
      </c>
      <c r="AI117" s="42">
        <v>7.769308484189438E+18</v>
      </c>
      <c r="AJ117" s="42">
        <v>1.2100877991088885E+22</v>
      </c>
    </row>
    <row r="118" spans="1:36" s="4" customFormat="1">
      <c r="A118" s="2"/>
      <c r="B118" s="2"/>
      <c r="C118" s="2"/>
      <c r="D118" s="2"/>
      <c r="E118" s="19"/>
      <c r="F118" s="19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R118" s="110"/>
      <c r="S118" s="19"/>
      <c r="T118" s="107">
        <v>116</v>
      </c>
      <c r="U118" s="27">
        <f t="shared" si="3"/>
        <v>9.6666666666666661</v>
      </c>
      <c r="V118" s="18">
        <f t="shared" si="4"/>
        <v>304848000</v>
      </c>
      <c r="W118" s="117">
        <f>POWER($V118-$V110,W$1)/FACT(W$1)</f>
        <v>21024000</v>
      </c>
      <c r="X118" s="117">
        <f>POWER($V118-$V110,X$1)/FACT(X$1)</f>
        <v>221004288000000</v>
      </c>
      <c r="Y118" s="117">
        <f>POWER($V118-$V110,Y$1)/FACT(Y$1)</f>
        <v>1.548798050304E+21</v>
      </c>
      <c r="Z118" s="117">
        <f>POWER($V118-$V110,Z$1)/FACT(Z$1)</f>
        <v>8.1404825523978233E+27</v>
      </c>
      <c r="AA118" s="117">
        <f>POWER($V118-$V110,AA$1)/FACT(AA$1)</f>
        <v>3.422910103632237E+34</v>
      </c>
      <c r="AB118" s="117"/>
      <c r="AC118" s="119">
        <f t="array" ref="AC118:AJ118">AC110:AJ110+TRANSPOSE(O$12:O$19)*W118+TRANSPOSE(O$22:O$29)*X118+TRANSPOSE(O$32:O$39)*Y118+TRANSPOSE(O$42:O$49)*Z118+TRANSPOSE(O$52:O$59)*AA118</f>
        <v>2.3373254897535222E+19</v>
      </c>
      <c r="AD118" s="42">
        <v>1.6641661938885282E+21</v>
      </c>
      <c r="AE118" s="42">
        <v>8.8887111319475978E+20</v>
      </c>
      <c r="AF118" s="42">
        <v>1.206665559510819E+20</v>
      </c>
      <c r="AG118" s="42">
        <v>6.8279829726609826E+19</v>
      </c>
      <c r="AH118" s="42">
        <v>2.7441867031223325E+19</v>
      </c>
      <c r="AI118" s="42">
        <v>7.608682465484202E+18</v>
      </c>
      <c r="AJ118" s="42">
        <v>1.2066403228868193E+22</v>
      </c>
    </row>
    <row r="119" spans="1:36" s="4" customFormat="1">
      <c r="A119" s="2"/>
      <c r="B119" s="2"/>
      <c r="C119" s="2"/>
      <c r="D119" s="2"/>
      <c r="E119" s="19"/>
      <c r="F119" s="19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R119" s="110"/>
      <c r="S119" s="19"/>
      <c r="T119" s="107">
        <v>117</v>
      </c>
      <c r="U119" s="27">
        <f t="shared" si="3"/>
        <v>9.75</v>
      </c>
      <c r="V119" s="18">
        <f t="shared" si="4"/>
        <v>307476000</v>
      </c>
      <c r="W119" s="117">
        <f>POWER($V119-$V110,W$1)/FACT(W$1)</f>
        <v>23652000</v>
      </c>
      <c r="X119" s="117">
        <f>POWER($V119-$V110,X$1)/FACT(X$1)</f>
        <v>279708552000000</v>
      </c>
      <c r="Y119" s="117">
        <f>POWER($V119-$V110,Y$1)/FACT(Y$1)</f>
        <v>2.205222223968E+21</v>
      </c>
      <c r="Z119" s="117">
        <f>POWER($V119-$V110,Z$1)/FACT(Z$1)</f>
        <v>1.3039479010322784E+28</v>
      </c>
      <c r="AA119" s="117">
        <f>POWER($V119-$V110,AA$1)/FACT(AA$1)</f>
        <v>6.1681951510430897E+34</v>
      </c>
      <c r="AB119" s="117"/>
      <c r="AC119" s="119">
        <f t="array" ref="AC119:AJ119">AC110:AJ110+TRANSPOSE(O$12:O$19)*W119+TRANSPOSE(O$22:O$29)*X119+TRANSPOSE(O$32:O$39)*Y119+TRANSPOSE(O$42:O$49)*Z119+TRANSPOSE(O$52:O$59)*AA119</f>
        <v>2.3319734317242884E+19</v>
      </c>
      <c r="AD119" s="42">
        <v>1.6596981561026696E+21</v>
      </c>
      <c r="AE119" s="42">
        <v>8.8879279891770691E+20</v>
      </c>
      <c r="AF119" s="42">
        <v>1.2070089170759067E+20</v>
      </c>
      <c r="AG119" s="42">
        <v>6.8365747292182995E+19</v>
      </c>
      <c r="AH119" s="42">
        <v>2.7427584849384944E+19</v>
      </c>
      <c r="AI119" s="42">
        <v>7.4514482116566221E+18</v>
      </c>
      <c r="AJ119" s="42">
        <v>1.2032026683466081E+22</v>
      </c>
    </row>
    <row r="120" spans="1:36" s="4" customFormat="1">
      <c r="A120" s="2"/>
      <c r="B120" s="2"/>
      <c r="C120" s="2"/>
      <c r="D120" s="2"/>
      <c r="E120" s="19"/>
      <c r="F120" s="19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R120" s="110"/>
      <c r="S120" s="19"/>
      <c r="T120" s="107">
        <v>118</v>
      </c>
      <c r="U120" s="27">
        <f t="shared" si="3"/>
        <v>9.8333333333333339</v>
      </c>
      <c r="V120" s="18">
        <f t="shared" si="4"/>
        <v>310104000</v>
      </c>
      <c r="W120" s="117">
        <f>POWER($V120-$V110,W$1)/FACT(W$1)</f>
        <v>26280000</v>
      </c>
      <c r="X120" s="117">
        <f>POWER($V120-$V110,X$1)/FACT(X$1)</f>
        <v>345319200000000</v>
      </c>
      <c r="Y120" s="117">
        <f>POWER($V120-$V110,Y$1)/FACT(Y$1)</f>
        <v>3.0249961920000001E+21</v>
      </c>
      <c r="Z120" s="117">
        <f>POWER($V120-$V110,Z$1)/FACT(Z$1)</f>
        <v>1.9874224981439999E+28</v>
      </c>
      <c r="AA120" s="117">
        <f>POWER($V120-$V110,AA$1)/FACT(AA$1)</f>
        <v>1.0445892650244865E+35</v>
      </c>
      <c r="AB120" s="117"/>
      <c r="AC120" s="119">
        <f t="array" ref="AC120:AJ120">AC110:AJ110+TRANSPOSE(O$12:O$19)*W120+TRANSPOSE(O$22:O$29)*X120+TRANSPOSE(O$32:O$39)*Y120+TRANSPOSE(O$42:O$49)*Z120+TRANSPOSE(O$52:O$59)*AA120</f>
        <v>2.3266218272770273E+19</v>
      </c>
      <c r="AD120" s="42">
        <v>1.6552374535856403E+21</v>
      </c>
      <c r="AE120" s="42">
        <v>8.8869650330741323E+20</v>
      </c>
      <c r="AF120" s="42">
        <v>1.2073384549330221E+20</v>
      </c>
      <c r="AG120" s="42">
        <v>6.8451190381589643E+19</v>
      </c>
      <c r="AH120" s="42">
        <v>2.7413695630538355E+19</v>
      </c>
      <c r="AI120" s="42">
        <v>7.2975338062769848E+18</v>
      </c>
      <c r="AJ120" s="42">
        <v>1.1997748075067183E+22</v>
      </c>
    </row>
    <row r="121" spans="1:36" s="4" customFormat="1">
      <c r="A121" s="2"/>
      <c r="B121" s="2"/>
      <c r="C121" s="2"/>
      <c r="D121" s="2"/>
      <c r="E121" s="19"/>
      <c r="F121" s="19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R121" s="110"/>
      <c r="S121" s="19"/>
      <c r="T121" s="107">
        <v>119</v>
      </c>
      <c r="U121" s="27">
        <f t="shared" si="3"/>
        <v>9.9166666666666661</v>
      </c>
      <c r="V121" s="18">
        <f t="shared" si="4"/>
        <v>312732000</v>
      </c>
      <c r="W121" s="117">
        <f>POWER($V121-$V110,W$1)/FACT(W$1)</f>
        <v>28908000</v>
      </c>
      <c r="X121" s="117">
        <f>POWER($V121-$V110,X$1)/FACT(X$1)</f>
        <v>417836232000000</v>
      </c>
      <c r="Y121" s="117">
        <f>POWER($V121-$V110,Y$1)/FACT(Y$1)</f>
        <v>4.0262699315519999E+21</v>
      </c>
      <c r="Z121" s="117">
        <f>POWER($V121-$V110,Z$1)/FACT(Z$1)</f>
        <v>2.9097852795326301E+28</v>
      </c>
      <c r="AA121" s="117">
        <f>POWER($V121-$V110,AA$1)/FACT(AA$1)</f>
        <v>1.6823214572145855E+35</v>
      </c>
      <c r="AB121" s="117"/>
      <c r="AC121" s="119">
        <f t="array" ref="AC121:AJ121">AC110:AJ110+TRANSPOSE(O$12:O$19)*W121+TRANSPOSE(O$22:O$29)*X121+TRANSPOSE(O$32:O$39)*Y121+TRANSPOSE(O$42:O$49)*Z121+TRANSPOSE(O$52:O$59)*AA121</f>
        <v>2.3212726277991305E+19</v>
      </c>
      <c r="AD121" s="42">
        <v>1.6507841726576725E+21</v>
      </c>
      <c r="AE121" s="42">
        <v>8.8858239870737999E+20</v>
      </c>
      <c r="AF121" s="42">
        <v>1.2076538506132973E+20</v>
      </c>
      <c r="AG121" s="42">
        <v>6.8536157372546245E+19</v>
      </c>
      <c r="AH121" s="42">
        <v>2.7400186742279467E+19</v>
      </c>
      <c r="AI121" s="42">
        <v>7.1468688224588145E+18</v>
      </c>
      <c r="AJ121" s="42">
        <v>1.1963567124653028E+22</v>
      </c>
    </row>
    <row r="122" spans="1:36" s="4" customFormat="1">
      <c r="A122" s="2"/>
      <c r="B122" s="2"/>
      <c r="C122" s="2"/>
      <c r="D122" s="2"/>
      <c r="E122" s="19"/>
      <c r="F122" s="19"/>
      <c r="G122" s="110"/>
      <c r="H122" s="110"/>
      <c r="I122" s="110"/>
      <c r="J122" s="110"/>
      <c r="K122" s="110"/>
      <c r="L122" s="110"/>
      <c r="M122" s="110"/>
      <c r="N122" s="110"/>
      <c r="O122" s="110"/>
      <c r="P122" s="110"/>
      <c r="R122" s="110"/>
      <c r="S122" s="19"/>
      <c r="T122" s="107">
        <v>120</v>
      </c>
      <c r="U122" s="27">
        <f t="shared" si="3"/>
        <v>10</v>
      </c>
      <c r="V122" s="18">
        <f t="shared" si="4"/>
        <v>315360000</v>
      </c>
      <c r="W122" s="117">
        <f>POWER($V122-$V110,W$1)/FACT(W$1)</f>
        <v>31536000</v>
      </c>
      <c r="X122" s="117">
        <f>POWER($V122-$V110,X$1)/FACT(X$1)</f>
        <v>497259648000000</v>
      </c>
      <c r="Y122" s="117">
        <f>POWER($V122-$V110,Y$1)/FACT(Y$1)</f>
        <v>5.227193419776E+21</v>
      </c>
      <c r="Z122" s="117">
        <f>POWER($V122-$V110,Z$1)/FACT(Z$1)</f>
        <v>4.121119292151398E+28</v>
      </c>
      <c r="AA122" s="117">
        <f>POWER($V122-$V110,AA$1)/FACT(AA$1)</f>
        <v>2.5992723599457299E+35</v>
      </c>
      <c r="AB122" s="117"/>
      <c r="AC122" s="119">
        <f t="array" ref="AC122:AJ122">AC110:AJ110+TRANSPOSE(O$12:O$19)*W122+TRANSPOSE(O$22:O$29)*X122+TRANSPOSE(O$32:O$39)*Y122+TRANSPOSE(O$42:O$49)*Z122+TRANSPOSE(O$52:O$59)*AA122</f>
        <v>2.3159277089750217E+19</v>
      </c>
      <c r="AD122" s="42">
        <v>1.646338397386959E+21</v>
      </c>
      <c r="AE122" s="42">
        <v>8.8845065644566983E+20</v>
      </c>
      <c r="AF122" s="42">
        <v>1.2079547972013036E+20</v>
      </c>
      <c r="AG122" s="42">
        <v>6.8620646517302395E+19</v>
      </c>
      <c r="AH122" s="42">
        <v>2.7387045677474169E+19</v>
      </c>
      <c r="AI122" s="42">
        <v>6.9993842833467976E+18</v>
      </c>
      <c r="AJ122" s="42">
        <v>1.192948355399973E+22</v>
      </c>
    </row>
    <row r="123" spans="1:36" s="4" customFormat="1">
      <c r="A123" s="2"/>
      <c r="B123" s="2"/>
      <c r="C123" s="2"/>
      <c r="D123" s="2"/>
      <c r="E123" s="19"/>
      <c r="F123" s="19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9"/>
      <c r="T123" s="107">
        <v>121</v>
      </c>
      <c r="U123" s="27">
        <f t="shared" si="3"/>
        <v>10.083333333333334</v>
      </c>
      <c r="V123" s="18">
        <f t="shared" si="4"/>
        <v>317988000</v>
      </c>
      <c r="W123" s="117">
        <f>POWER($V123-$V122,W$1)/FACT(W$1)</f>
        <v>2628000</v>
      </c>
      <c r="X123" s="117">
        <f>POWER($V123-$V122,X$1)/FACT(X$1)</f>
        <v>3453192000000</v>
      </c>
      <c r="Y123" s="117">
        <f>POWER($V123-$V122,Y$1)/FACT(Y$1)</f>
        <v>3.024996192E+18</v>
      </c>
      <c r="Z123" s="117">
        <f>POWER($V123-$V122,Z$1)/FACT(Z$1)</f>
        <v>1.9874224981439998E+24</v>
      </c>
      <c r="AA123" s="117">
        <f>POWER($V123-$V122,AA$1)/FACT(AA$1)</f>
        <v>1.0445892650244864E+30</v>
      </c>
      <c r="AB123" s="117"/>
      <c r="AC123" s="119"/>
      <c r="AD123" s="42"/>
      <c r="AE123" s="42"/>
      <c r="AF123" s="42"/>
      <c r="AG123" s="42"/>
      <c r="AH123" s="42"/>
      <c r="AI123" s="42"/>
      <c r="AJ123" s="42"/>
    </row>
    <row r="124" spans="1:36" s="4" customFormat="1">
      <c r="A124" s="2"/>
      <c r="B124" s="2"/>
      <c r="C124" s="2"/>
      <c r="D124" s="2"/>
      <c r="E124" s="19"/>
      <c r="F124" s="19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9"/>
      <c r="T124" s="107">
        <v>122</v>
      </c>
      <c r="U124" s="27">
        <f t="shared" si="3"/>
        <v>10.166666666666666</v>
      </c>
      <c r="V124" s="18">
        <f t="shared" si="4"/>
        <v>320616000</v>
      </c>
      <c r="W124" s="117">
        <f>POWER($V124-$V122,W$1)/FACT(W$1)</f>
        <v>5256000</v>
      </c>
      <c r="X124" s="117">
        <f>POWER($V124-$V122,X$1)/FACT(X$1)</f>
        <v>13812768000000</v>
      </c>
      <c r="Y124" s="117">
        <f>POWER($V124-$V122,Y$1)/FACT(Y$1)</f>
        <v>2.4199969536E+19</v>
      </c>
      <c r="Z124" s="117">
        <f>POWER($V124-$V122,Z$1)/FACT(Z$1)</f>
        <v>3.1798759970303997E+25</v>
      </c>
      <c r="AA124" s="117">
        <f>POWER($V124-$V122,AA$1)/FACT(AA$1)</f>
        <v>3.3426856480783565E+31</v>
      </c>
      <c r="AB124" s="117"/>
      <c r="AC124" s="119"/>
      <c r="AD124" s="42"/>
      <c r="AE124" s="42"/>
      <c r="AF124" s="42"/>
      <c r="AG124" s="42"/>
      <c r="AH124" s="42"/>
      <c r="AI124" s="42"/>
      <c r="AJ124" s="42"/>
    </row>
    <row r="125" spans="1:36" s="4" customFormat="1">
      <c r="A125" s="2"/>
      <c r="B125" s="2"/>
      <c r="C125" s="2"/>
      <c r="D125" s="2"/>
      <c r="E125" s="19"/>
      <c r="F125" s="19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9"/>
      <c r="T125" s="107">
        <v>123</v>
      </c>
      <c r="U125" s="27">
        <f t="shared" si="3"/>
        <v>10.25</v>
      </c>
      <c r="V125" s="18">
        <f t="shared" si="4"/>
        <v>323244000</v>
      </c>
      <c r="W125" s="117">
        <f>POWER($V125-$V122,W$1)/FACT(W$1)</f>
        <v>7884000</v>
      </c>
      <c r="X125" s="117">
        <f>POWER($V125-$V122,X$1)/FACT(X$1)</f>
        <v>31078728000000</v>
      </c>
      <c r="Y125" s="117">
        <f>POWER($V125-$V122,Y$1)/FACT(Y$1)</f>
        <v>8.1674897184E+19</v>
      </c>
      <c r="Z125" s="117">
        <f>POWER($V125-$V122,Z$1)/FACT(Z$1)</f>
        <v>1.6098122234966398E+26</v>
      </c>
      <c r="AA125" s="117">
        <f>POWER($V125-$V122,AA$1)/FACT(AA$1)</f>
        <v>2.5383519140095018E+32</v>
      </c>
      <c r="AB125" s="117"/>
      <c r="AC125" s="119"/>
      <c r="AD125" s="42"/>
      <c r="AE125" s="42"/>
      <c r="AF125" s="42"/>
      <c r="AG125" s="42"/>
      <c r="AH125" s="42"/>
      <c r="AI125" s="42"/>
      <c r="AJ125" s="42"/>
    </row>
    <row r="126" spans="1:36" s="4" customFormat="1">
      <c r="A126" s="2"/>
      <c r="B126" s="2"/>
      <c r="C126" s="2"/>
      <c r="D126" s="2"/>
      <c r="E126" s="19"/>
      <c r="F126" s="19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9"/>
      <c r="T126" s="107">
        <v>124</v>
      </c>
      <c r="U126" s="27">
        <f t="shared" si="3"/>
        <v>10.333333333333334</v>
      </c>
      <c r="V126" s="18">
        <f t="shared" si="4"/>
        <v>325872000</v>
      </c>
      <c r="W126" s="117">
        <f>POWER($V126-$V122,W$1)/FACT(W$1)</f>
        <v>10512000</v>
      </c>
      <c r="X126" s="117">
        <f>POWER($V126-$V122,X$1)/FACT(X$1)</f>
        <v>55251072000000</v>
      </c>
      <c r="Y126" s="117">
        <f>POWER($V126-$V122,Y$1)/FACT(Y$1)</f>
        <v>1.93599756288E+20</v>
      </c>
      <c r="Z126" s="117">
        <f>POWER($V126-$V122,Z$1)/FACT(Z$1)</f>
        <v>5.0878015952486396E+26</v>
      </c>
      <c r="AA126" s="117">
        <f>POWER($V126-$V122,AA$1)/FACT(AA$1)</f>
        <v>1.0696594073850741E+33</v>
      </c>
      <c r="AB126" s="117"/>
      <c r="AC126" s="119"/>
      <c r="AD126" s="42"/>
      <c r="AE126" s="42"/>
      <c r="AF126" s="42"/>
      <c r="AG126" s="42"/>
      <c r="AH126" s="42"/>
      <c r="AI126" s="42"/>
      <c r="AJ126" s="42"/>
    </row>
    <row r="127" spans="1:36" s="4" customFormat="1">
      <c r="A127" s="2"/>
      <c r="B127" s="2"/>
      <c r="C127" s="2"/>
      <c r="D127" s="2"/>
      <c r="E127" s="19"/>
      <c r="F127" s="19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9"/>
      <c r="T127" s="107">
        <v>125</v>
      </c>
      <c r="U127" s="27">
        <f t="shared" si="3"/>
        <v>10.416666666666666</v>
      </c>
      <c r="V127" s="18">
        <f t="shared" si="4"/>
        <v>328500000</v>
      </c>
      <c r="W127" s="117">
        <f>POWER($V127-$V122,W$1)/FACT(W$1)</f>
        <v>13140000</v>
      </c>
      <c r="X127" s="117">
        <f>POWER($V127-$V122,X$1)/FACT(X$1)</f>
        <v>86329800000000</v>
      </c>
      <c r="Y127" s="117">
        <f>POWER($V127-$V122,Y$1)/FACT(Y$1)</f>
        <v>3.7812452400000002E+20</v>
      </c>
      <c r="Z127" s="117">
        <f>POWER($V127-$V122,Z$1)/FACT(Z$1)</f>
        <v>1.2421390613399999E+27</v>
      </c>
      <c r="AA127" s="117">
        <f>POWER($V127-$V122,AA$1)/FACT(AA$1)</f>
        <v>3.2643414532015203E+33</v>
      </c>
      <c r="AB127" s="117"/>
      <c r="AC127" s="119"/>
      <c r="AD127" s="42"/>
      <c r="AE127" s="42"/>
      <c r="AF127" s="42"/>
      <c r="AG127" s="42"/>
      <c r="AH127" s="42"/>
      <c r="AI127" s="42"/>
      <c r="AJ127" s="42"/>
    </row>
    <row r="128" spans="1:36" s="4" customFormat="1">
      <c r="A128" s="2"/>
      <c r="B128" s="2"/>
      <c r="C128" s="2"/>
      <c r="D128" s="2"/>
      <c r="E128" s="19"/>
      <c r="F128" s="19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9"/>
      <c r="T128" s="107">
        <v>126</v>
      </c>
      <c r="U128" s="27">
        <f t="shared" si="3"/>
        <v>10.5</v>
      </c>
      <c r="V128" s="18">
        <f t="shared" si="4"/>
        <v>331128000</v>
      </c>
      <c r="W128" s="117">
        <f>POWER($V128-$V122,W$1)/FACT(W$1)</f>
        <v>15768000</v>
      </c>
      <c r="X128" s="117">
        <f>POWER($V128-$V122,X$1)/FACT(X$1)</f>
        <v>124314912000000</v>
      </c>
      <c r="Y128" s="117">
        <f>POWER($V128-$V122,Y$1)/FACT(Y$1)</f>
        <v>6.53399177472E+20</v>
      </c>
      <c r="Z128" s="117">
        <f>POWER($V128-$V122,Z$1)/FACT(Z$1)</f>
        <v>2.5756995575946237E+27</v>
      </c>
      <c r="AA128" s="117">
        <f>POWER($V128-$V122,AA$1)/FACT(AA$1)</f>
        <v>8.1227261248304059E+33</v>
      </c>
      <c r="AB128" s="117"/>
      <c r="AC128" s="119"/>
      <c r="AD128" s="42"/>
      <c r="AE128" s="42"/>
      <c r="AF128" s="42"/>
      <c r="AG128" s="42"/>
      <c r="AH128" s="42"/>
      <c r="AI128" s="42"/>
      <c r="AJ128" s="42"/>
    </row>
    <row r="129" spans="1:36" s="4" customFormat="1">
      <c r="A129" s="2"/>
      <c r="B129" s="2"/>
      <c r="C129" s="2"/>
      <c r="D129" s="2"/>
      <c r="E129" s="19"/>
      <c r="F129" s="19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9"/>
      <c r="T129" s="107">
        <v>127</v>
      </c>
      <c r="U129" s="27">
        <f t="shared" si="3"/>
        <v>10.583333333333334</v>
      </c>
      <c r="V129" s="18">
        <f t="shared" si="4"/>
        <v>333756000</v>
      </c>
      <c r="W129" s="117">
        <f>POWER($V129-$V122,W$1)/FACT(W$1)</f>
        <v>18396000</v>
      </c>
      <c r="X129" s="117">
        <f>POWER($V129-$V122,X$1)/FACT(X$1)</f>
        <v>169206408000000</v>
      </c>
      <c r="Y129" s="117">
        <f>POWER($V129-$V122,Y$1)/FACT(Y$1)</f>
        <v>1.037573693856E+21</v>
      </c>
      <c r="Z129" s="117">
        <f>POWER($V129-$V122,Z$1)/FACT(Z$1)</f>
        <v>4.7718014180437445E+27</v>
      </c>
      <c r="AA129" s="117">
        <f>POWER($V129-$V122,AA$1)/FACT(AA$1)</f>
        <v>1.7556411777266544E+34</v>
      </c>
      <c r="AB129" s="117"/>
      <c r="AC129" s="119"/>
      <c r="AD129" s="42"/>
      <c r="AE129" s="42"/>
      <c r="AF129" s="42"/>
      <c r="AG129" s="42"/>
      <c r="AH129" s="42"/>
      <c r="AI129" s="42"/>
      <c r="AJ129" s="42"/>
    </row>
    <row r="130" spans="1:36" s="4" customFormat="1">
      <c r="A130" s="2"/>
      <c r="B130" s="2"/>
      <c r="C130" s="2"/>
      <c r="D130" s="2"/>
      <c r="E130" s="19"/>
      <c r="F130" s="19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9"/>
      <c r="T130" s="107">
        <v>128</v>
      </c>
      <c r="U130" s="27">
        <f t="shared" ref="U130:U136" si="5">V130/(3600*365*24)</f>
        <v>10.666666666666666</v>
      </c>
      <c r="V130" s="18">
        <f t="shared" ref="V130:V136" si="6">T130*D$5</f>
        <v>336384000</v>
      </c>
      <c r="W130" s="117">
        <f>POWER($V130-$V122,W$1)/FACT(W$1)</f>
        <v>21024000</v>
      </c>
      <c r="X130" s="117">
        <f>POWER($V130-$V122,X$1)/FACT(X$1)</f>
        <v>221004288000000</v>
      </c>
      <c r="Y130" s="117">
        <f>POWER($V130-$V122,Y$1)/FACT(Y$1)</f>
        <v>1.548798050304E+21</v>
      </c>
      <c r="Z130" s="117">
        <f>POWER($V130-$V122,Z$1)/FACT(Z$1)</f>
        <v>8.1404825523978233E+27</v>
      </c>
      <c r="AA130" s="117">
        <f>POWER($V130-$V122,AA$1)/FACT(AA$1)</f>
        <v>3.422910103632237E+34</v>
      </c>
      <c r="AB130" s="117"/>
      <c r="AC130" s="119"/>
      <c r="AD130" s="42"/>
      <c r="AE130" s="42"/>
      <c r="AF130" s="42"/>
      <c r="AG130" s="42"/>
      <c r="AH130" s="42"/>
      <c r="AI130" s="42"/>
      <c r="AJ130" s="42"/>
    </row>
    <row r="131" spans="1:36" s="4" customFormat="1">
      <c r="A131" s="2"/>
      <c r="B131" s="2"/>
      <c r="C131" s="2"/>
      <c r="D131" s="2"/>
      <c r="E131" s="19"/>
      <c r="F131" s="19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9"/>
      <c r="T131" s="107">
        <v>129</v>
      </c>
      <c r="U131" s="27">
        <f t="shared" si="5"/>
        <v>10.75</v>
      </c>
      <c r="V131" s="18">
        <f t="shared" si="6"/>
        <v>339012000</v>
      </c>
      <c r="W131" s="117">
        <f>POWER($V131-$V122,W$1)/FACT(W$1)</f>
        <v>23652000</v>
      </c>
      <c r="X131" s="117">
        <f>POWER($V131-$V122,X$1)/FACT(X$1)</f>
        <v>279708552000000</v>
      </c>
      <c r="Y131" s="117">
        <f>POWER($V131-$V122,Y$1)/FACT(Y$1)</f>
        <v>2.205222223968E+21</v>
      </c>
      <c r="Z131" s="117">
        <f>POWER($V131-$V122,Z$1)/FACT(Z$1)</f>
        <v>1.3039479010322784E+28</v>
      </c>
      <c r="AA131" s="117">
        <f>POWER($V131-$V122,AA$1)/FACT(AA$1)</f>
        <v>6.1681951510430897E+34</v>
      </c>
      <c r="AB131" s="117"/>
      <c r="AC131" s="119"/>
      <c r="AD131" s="42"/>
      <c r="AE131" s="42"/>
      <c r="AF131" s="42"/>
      <c r="AG131" s="42"/>
      <c r="AH131" s="42"/>
      <c r="AI131" s="42"/>
      <c r="AJ131" s="42"/>
    </row>
    <row r="132" spans="1:36" s="4" customFormat="1">
      <c r="A132" s="2"/>
      <c r="B132" s="2"/>
      <c r="C132" s="2"/>
      <c r="D132" s="2"/>
      <c r="E132" s="19"/>
      <c r="F132" s="19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9"/>
      <c r="T132" s="107">
        <v>130</v>
      </c>
      <c r="U132" s="27">
        <f t="shared" si="5"/>
        <v>10.833333333333334</v>
      </c>
      <c r="V132" s="18">
        <f t="shared" si="6"/>
        <v>341640000</v>
      </c>
      <c r="W132" s="117">
        <f>POWER($V132-$V122,W$1)/FACT(W$1)</f>
        <v>26280000</v>
      </c>
      <c r="X132" s="117">
        <f>POWER($V132-$V122,X$1)/FACT(X$1)</f>
        <v>345319200000000</v>
      </c>
      <c r="Y132" s="117">
        <f>POWER($V132-$V122,Y$1)/FACT(Y$1)</f>
        <v>3.0249961920000001E+21</v>
      </c>
      <c r="Z132" s="117">
        <f>POWER($V132-$V122,Z$1)/FACT(Z$1)</f>
        <v>1.9874224981439999E+28</v>
      </c>
      <c r="AA132" s="117">
        <f>POWER($V132-$V122,AA$1)/FACT(AA$1)</f>
        <v>1.0445892650244865E+35</v>
      </c>
      <c r="AB132" s="117"/>
      <c r="AC132" s="119"/>
      <c r="AD132" s="42"/>
      <c r="AE132" s="42"/>
      <c r="AF132" s="42"/>
      <c r="AG132" s="42"/>
      <c r="AH132" s="42"/>
      <c r="AI132" s="42"/>
      <c r="AJ132" s="42"/>
    </row>
    <row r="133" spans="1:36">
      <c r="T133" s="107">
        <v>131</v>
      </c>
      <c r="U133" s="27">
        <f t="shared" si="5"/>
        <v>10.916666666666666</v>
      </c>
      <c r="V133" s="18">
        <f t="shared" si="6"/>
        <v>344268000</v>
      </c>
      <c r="W133" s="117">
        <f>POWER($V133-$V122,W$1)/FACT(W$1)</f>
        <v>28908000</v>
      </c>
      <c r="X133" s="117">
        <f>POWER($V133-$V122,X$1)/FACT(X$1)</f>
        <v>417836232000000</v>
      </c>
      <c r="Y133" s="117">
        <f>POWER($V133-$V122,Y$1)/FACT(Y$1)</f>
        <v>4.0262699315519999E+21</v>
      </c>
      <c r="Z133" s="117">
        <f>POWER($V133-$V122,Z$1)/FACT(Z$1)</f>
        <v>2.9097852795326301E+28</v>
      </c>
      <c r="AA133" s="117">
        <f>POWER($V133-$V122,AA$1)/FACT(AA$1)</f>
        <v>1.6823214572145855E+35</v>
      </c>
      <c r="AB133" s="117"/>
      <c r="AC133" s="119"/>
      <c r="AD133" s="42"/>
      <c r="AE133" s="42"/>
      <c r="AF133" s="42"/>
      <c r="AG133" s="42"/>
      <c r="AH133" s="42"/>
      <c r="AI133" s="42"/>
      <c r="AJ133" s="42"/>
    </row>
    <row r="134" spans="1:36">
      <c r="T134" s="107">
        <v>132</v>
      </c>
      <c r="U134" s="27">
        <f t="shared" si="5"/>
        <v>11</v>
      </c>
      <c r="V134" s="18">
        <f t="shared" si="6"/>
        <v>346896000</v>
      </c>
      <c r="W134" s="117">
        <f>POWER($V134-$V122,W$1)/FACT(W$1)</f>
        <v>31536000</v>
      </c>
      <c r="X134" s="117">
        <f>POWER($V134-$V122,X$1)/FACT(X$1)</f>
        <v>497259648000000</v>
      </c>
      <c r="Y134" s="117">
        <f>POWER($V134-$V122,Y$1)/FACT(Y$1)</f>
        <v>5.227193419776E+21</v>
      </c>
      <c r="Z134" s="117">
        <f>POWER($V134-$V122,Z$1)/FACT(Z$1)</f>
        <v>4.121119292151398E+28</v>
      </c>
      <c r="AA134" s="117">
        <f>POWER($V134-$V122,AA$1)/FACT(AA$1)</f>
        <v>2.5992723599457299E+35</v>
      </c>
      <c r="AB134" s="117"/>
      <c r="AC134" s="119"/>
      <c r="AD134" s="42"/>
      <c r="AE134" s="42"/>
      <c r="AF134" s="42"/>
      <c r="AG134" s="42"/>
      <c r="AH134" s="42"/>
      <c r="AI134" s="42"/>
      <c r="AJ134" s="42"/>
    </row>
    <row r="135" spans="1:36">
      <c r="T135" s="107">
        <v>133</v>
      </c>
      <c r="U135" s="27">
        <f t="shared" si="5"/>
        <v>11.083333333333334</v>
      </c>
      <c r="V135" s="18">
        <f t="shared" si="6"/>
        <v>349524000</v>
      </c>
      <c r="W135" s="117">
        <f>POWER($V135-$V134,W$1)/FACT(W$1)</f>
        <v>2628000</v>
      </c>
      <c r="X135" s="117">
        <f>POWER($V135-$V134,X$1)/FACT(X$1)</f>
        <v>3453192000000</v>
      </c>
      <c r="Y135" s="117">
        <f>POWER($V135-$V134,Y$1)/FACT(Y$1)</f>
        <v>3.024996192E+18</v>
      </c>
      <c r="Z135" s="117">
        <f>POWER($V135-$V134,Z$1)/FACT(Z$1)</f>
        <v>1.9874224981439998E+24</v>
      </c>
      <c r="AA135" s="117">
        <f>POWER($V135-$V134,AA$1)/FACT(AA$1)</f>
        <v>1.0445892650244864E+30</v>
      </c>
      <c r="AB135" s="117"/>
      <c r="AC135" s="119"/>
      <c r="AD135" s="42"/>
      <c r="AE135" s="42"/>
      <c r="AF135" s="42"/>
      <c r="AG135" s="42"/>
      <c r="AH135" s="42"/>
      <c r="AI135" s="42"/>
      <c r="AJ135" s="42"/>
    </row>
    <row r="136" spans="1:36">
      <c r="T136" s="107">
        <v>134</v>
      </c>
      <c r="U136" s="27">
        <f t="shared" si="5"/>
        <v>11.166666666666666</v>
      </c>
      <c r="V136" s="18">
        <f t="shared" si="6"/>
        <v>352152000</v>
      </c>
      <c r="W136" s="117">
        <f>POWER($V136-$V134,W$1)/FACT(W$1)</f>
        <v>5256000</v>
      </c>
      <c r="X136" s="117">
        <f>POWER($V136-$V134,X$1)/FACT(X$1)</f>
        <v>13812768000000</v>
      </c>
      <c r="Y136" s="117">
        <f>POWER($V136-$V134,Y$1)/FACT(Y$1)</f>
        <v>2.4199969536E+19</v>
      </c>
      <c r="Z136" s="117">
        <f>POWER($V136-$V134,Z$1)/FACT(Z$1)</f>
        <v>3.1798759970303997E+25</v>
      </c>
      <c r="AA136" s="117">
        <f>POWER($V136-$V134,AA$1)/FACT(AA$1)</f>
        <v>3.3426856480783565E+31</v>
      </c>
      <c r="AB136" s="117"/>
      <c r="AC136" s="119"/>
      <c r="AD136" s="42"/>
      <c r="AE136" s="42"/>
      <c r="AF136" s="42"/>
      <c r="AG136" s="42"/>
      <c r="AH136" s="42"/>
      <c r="AI136" s="42"/>
      <c r="AJ136" s="42"/>
    </row>
    <row r="137" spans="1:36">
      <c r="W137" s="117"/>
      <c r="X137" s="117"/>
      <c r="Y137" s="117"/>
      <c r="Z137" s="117"/>
      <c r="AA137" s="117"/>
    </row>
    <row r="138" spans="1:36">
      <c r="W138" s="117"/>
      <c r="X138" s="117"/>
      <c r="Y138" s="117"/>
      <c r="Z138" s="117"/>
      <c r="AA138" s="117"/>
    </row>
    <row r="139" spans="1:36">
      <c r="W139" s="117"/>
      <c r="X139" s="117"/>
      <c r="Y139" s="117"/>
      <c r="Z139" s="117"/>
      <c r="AA139" s="117"/>
    </row>
    <row r="140" spans="1:36">
      <c r="W140" s="117"/>
      <c r="X140" s="117"/>
      <c r="Y140" s="117"/>
      <c r="Z140" s="117"/>
      <c r="AA140" s="117"/>
    </row>
    <row r="141" spans="1:36">
      <c r="W141" s="117"/>
      <c r="X141" s="117"/>
      <c r="Y141" s="117"/>
      <c r="Z141" s="117"/>
      <c r="AA141" s="117"/>
    </row>
    <row r="142" spans="1:36">
      <c r="W142" s="117"/>
      <c r="X142" s="117"/>
      <c r="Y142" s="117"/>
      <c r="Z142" s="117"/>
      <c r="AA142" s="117"/>
    </row>
    <row r="143" spans="1:36">
      <c r="W143" s="117"/>
      <c r="X143" s="117"/>
      <c r="Y143" s="117"/>
      <c r="Z143" s="117"/>
      <c r="AA143" s="117"/>
    </row>
    <row r="144" spans="1:36">
      <c r="W144" s="117"/>
      <c r="X144" s="117"/>
      <c r="Y144" s="117"/>
      <c r="Z144" s="117"/>
      <c r="AA144" s="117"/>
    </row>
    <row r="145" spans="23:27">
      <c r="W145" s="117"/>
      <c r="X145" s="117"/>
      <c r="Y145" s="117"/>
      <c r="Z145" s="117"/>
      <c r="AA145" s="117"/>
    </row>
    <row r="146" spans="23:27">
      <c r="W146" s="117"/>
      <c r="X146" s="117"/>
      <c r="Y146" s="117"/>
      <c r="Z146" s="117"/>
      <c r="AA146" s="117"/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BO207"/>
  <sheetViews>
    <sheetView zoomScale="85" zoomScaleNormal="85" workbookViewId="0">
      <selection activeCell="Z133" sqref="Z133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11" style="2" bestFit="1" customWidth="1"/>
    <col min="4" max="4" width="18" style="2" bestFit="1" customWidth="1"/>
    <col min="5" max="5" width="11.375" style="19" bestFit="1" customWidth="1"/>
    <col min="6" max="6" width="11.5" style="19" bestFit="1" customWidth="1"/>
    <col min="7" max="8" width="8.25" style="110" bestFit="1" customWidth="1"/>
    <col min="9" max="9" width="9.25" style="110" bestFit="1" customWidth="1"/>
    <col min="10" max="13" width="8.25" style="110" bestFit="1" customWidth="1"/>
    <col min="14" max="14" width="13.375" style="110" bestFit="1" customWidth="1"/>
    <col min="15" max="15" width="11" style="110" bestFit="1" customWidth="1"/>
    <col min="16" max="16" width="6.375" style="19" customWidth="1"/>
    <col min="17" max="17" width="4.375" style="2" bestFit="1" customWidth="1"/>
    <col min="18" max="18" width="5.25" style="2" customWidth="1"/>
    <col min="19" max="19" width="11.375" style="2" bestFit="1" customWidth="1"/>
    <col min="20" max="24" width="11.875" style="160" bestFit="1" customWidth="1"/>
    <col min="25" max="25" width="12.125" style="160" bestFit="1" customWidth="1"/>
    <col min="26" max="27" width="10.875" style="160" bestFit="1" customWidth="1"/>
    <col min="28" max="28" width="9.625" style="4" customWidth="1"/>
    <col min="68" max="16384" width="15.5" style="2"/>
  </cols>
  <sheetData>
    <row r="1" spans="1:28" s="31" customFormat="1" ht="15.75" thickBot="1">
      <c r="A1" s="109" t="s">
        <v>149</v>
      </c>
      <c r="B1" s="5" t="s">
        <v>81</v>
      </c>
      <c r="C1" s="2"/>
      <c r="D1" s="29"/>
      <c r="E1" s="109" t="s">
        <v>148</v>
      </c>
      <c r="F1" s="110"/>
      <c r="G1" s="110"/>
      <c r="H1" s="110"/>
      <c r="I1" s="110"/>
      <c r="J1" s="110"/>
      <c r="K1" s="110"/>
      <c r="L1" s="110"/>
      <c r="M1" s="110"/>
      <c r="N1" s="108" t="s">
        <v>147</v>
      </c>
      <c r="O1" s="110"/>
      <c r="P1" s="108"/>
      <c r="Q1" s="105" t="s">
        <v>23</v>
      </c>
      <c r="R1" s="30" t="s">
        <v>24</v>
      </c>
      <c r="S1" s="34" t="s">
        <v>25</v>
      </c>
      <c r="T1" s="157" t="s">
        <v>235</v>
      </c>
      <c r="U1" s="157" t="s">
        <v>236</v>
      </c>
      <c r="V1" s="158" t="s">
        <v>237</v>
      </c>
      <c r="W1" s="157" t="s">
        <v>238</v>
      </c>
      <c r="X1" s="157" t="s">
        <v>239</v>
      </c>
      <c r="Y1" s="157" t="s">
        <v>240</v>
      </c>
      <c r="Z1" s="157" t="s">
        <v>241</v>
      </c>
      <c r="AA1" s="157" t="s">
        <v>242</v>
      </c>
      <c r="AB1" s="135"/>
    </row>
    <row r="2" spans="1:28" ht="15.75" thickBot="1">
      <c r="A2" s="113" t="s">
        <v>7</v>
      </c>
      <c r="B2" s="73">
        <f>Données!F10</f>
        <v>1.2032336397210882E+19</v>
      </c>
      <c r="D2" s="16"/>
      <c r="F2" s="111">
        <f>-(Données!I$44*1E-24*B$12+Données!F$44)</f>
        <v>-6.3293664152644189E-9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f>(Données!H$50*1E-24*B$12)</f>
        <v>1.7908044097298317E-9</v>
      </c>
      <c r="M2" s="112">
        <v>0</v>
      </c>
      <c r="N2" s="111"/>
      <c r="O2" s="111">
        <f t="array" ref="O2:O9">MMULT($F$2:$M$9,B2:B9)</f>
        <v>83112286410.890167</v>
      </c>
      <c r="Q2" s="106">
        <v>0</v>
      </c>
      <c r="R2" s="26">
        <f t="shared" ref="R2:R33" si="0">S2/(3600*365*24)</f>
        <v>0</v>
      </c>
      <c r="S2" s="17">
        <f t="shared" ref="S2:S33" si="1">Q2*D$5</f>
        <v>0</v>
      </c>
      <c r="T2" s="159">
        <f t="shared" ref="T2:T33" si="2">$F$148*EXP($F$24*$S2)+$G$148*EXP($G$24*$S2)+$H$148*EXP($H$24*$S2)+$I$148*EXP($I$24*$S2)+$J$148*EXP($J$24*$S2)+$K$148*EXP($K$24*$S2)+$L$148*EXP($L$24*$S2)+$M$148*EXP($M$24*$S2)</f>
        <v>1.2032336397210911E+19</v>
      </c>
      <c r="U2" s="159">
        <f t="shared" ref="U2:U33" si="3">$F$149*EXP($F$24*$S2)+$G$149*EXP($G$24*$S2)+$H$149*EXP($H$24*$S2)+$I$149*EXP($I$24*$S2)+$J$149*EXP($J$24*$S2)+$K$149*EXP($K$24*$S2)+$L$149*EXP($L$24*$S2)+$M$149*EXP($M$24*$S2)</f>
        <v>2.1782E+21</v>
      </c>
      <c r="V2" s="159">
        <f t="shared" ref="V2:V33" si="4">$F$150*EXP($F$24*$S2)+$G$150*EXP($G$24*$S2)+$H$150*EXP($H$24*$S2)+$I$150*EXP($I$24*$S2)+$J$150*EXP($J$24*$S2)+$K$150*EXP($K$24*$S2)+$L$150*EXP($L$24*$S2)+$M$150*EXP($M$24*$S2)</f>
        <v>7.2346005790387942E+20</v>
      </c>
      <c r="W2" s="159">
        <f t="shared" ref="W2:W33" si="5">$F$151*EXP($F$24*$S2)+$G$151*EXP($G$24*$S2)+$H$151*EXP($H$24*$S2)+$I$151*EXP($I$24*$S2)+$J$151*EXP($J$24*$S2)+$K$151*EXP($K$24*$S2)+$L$151*EXP($L$24*$S2)+$M$151*EXP($M$24*$S2)</f>
        <v>1.5072084539664164E+20</v>
      </c>
      <c r="X2" s="159">
        <f t="shared" ref="X2:X33" si="6">$F$152*EXP($F$24*$S2)+$G$152*EXP($G$24*$S2)+$H$152*EXP($H$24*$S2)+$I$152*EXP($I$24*$S2)+$J$152*EXP($J$24*$S2)+$K$152*EXP($K$24*$S2)+$L$152*EXP($L$24*$S2)+$M$152*EXP($M$24*$S2)</f>
        <v>5.1070699679853543E+19</v>
      </c>
      <c r="Y2" s="159">
        <f t="shared" ref="Y2:Y33" si="7">$F$153*EXP($F$24*$S2)+$G$153*EXP($G$24*$S2)+$H$153*EXP($H$24*$S2)+$I$153*EXP($I$24*$S2)+$J$153*EXP($J$24*$S2)+$K$153*EXP($K$24*$S2)+$L$153*EXP($L$24*$S2)+$M$153*EXP($M$24*$S2)</f>
        <v>3.2520680334545175E+19</v>
      </c>
      <c r="Z2" s="159">
        <f t="shared" ref="Z2:Z33" si="8">$F$154*EXP($F$24*$S2)+$G$154*EXP($G$24*$S2)+$H$154*EXP($H$24*$S2)+$I$154*EXP($I$24*$S2)+$J$154*EXP($J$24*$S2)+$K$154*EXP($K$24*$S2)+$L$154*EXP($L$24*$S2)+$M$154*EXP($M$24*$S2)</f>
        <v>8.8937324162937733E+19</v>
      </c>
      <c r="AA2" s="159">
        <f t="shared" ref="AA2:AA33" si="9">$F$155*EXP($F$24*$S2)+$G$155*EXP($G$24*$S2)+$H$155*EXP($H$24*$S2)+$I$155*EXP($I$24*$S2)+$J$155*EXP($J$24*$S2)+$K$155*EXP($K$24*$S2)+$L$155*EXP($L$24*$S2)+$M$155*EXP($M$24*$S2)</f>
        <v>1.6799927091276066E+22</v>
      </c>
      <c r="AB2" s="24"/>
    </row>
    <row r="3" spans="1:28" ht="15.75" thickBot="1">
      <c r="A3" s="113" t="s">
        <v>9</v>
      </c>
      <c r="B3" s="73">
        <f>Données!F11</f>
        <v>2.1782E+21</v>
      </c>
      <c r="F3" s="111">
        <f>Données!H$44*1E-24*B$12</f>
        <v>1.7286052031176226E-9</v>
      </c>
      <c r="G3" s="111">
        <f>-(Données!I$45*1E-24*B$12+Données!F$45)</f>
        <v>-7.6746263231083104E-9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1">
        <f>(Données!H$51*1E-24*B$12)</f>
        <v>9.1410001975584975E-10</v>
      </c>
      <c r="O3" s="111">
        <v>-1339258211660.3555</v>
      </c>
      <c r="Q3" s="107">
        <v>1</v>
      </c>
      <c r="R3" s="27">
        <f t="shared" si="0"/>
        <v>8.3333333333333329E-2</v>
      </c>
      <c r="S3" s="18">
        <f t="shared" si="1"/>
        <v>2628000</v>
      </c>
      <c r="T3" s="159">
        <f t="shared" si="2"/>
        <v>1.2244524625048338E+19</v>
      </c>
      <c r="U3" s="159">
        <f t="shared" si="3"/>
        <v>2.1746594988127137E+21</v>
      </c>
      <c r="V3" s="159">
        <f t="shared" si="4"/>
        <v>7.2682807598096056E+20</v>
      </c>
      <c r="W3" s="159">
        <f t="shared" si="5"/>
        <v>1.4918954580386575E+20</v>
      </c>
      <c r="X3" s="159">
        <f t="shared" si="6"/>
        <v>5.1403038210638676E+19</v>
      </c>
      <c r="Y3" s="159">
        <f t="shared" si="7"/>
        <v>3.2531438086477447E+19</v>
      </c>
      <c r="Z3" s="159">
        <f t="shared" si="8"/>
        <v>8.7053382330057064E+19</v>
      </c>
      <c r="AA3" s="159">
        <f t="shared" si="9"/>
        <v>1.6752064971806066E+22</v>
      </c>
      <c r="AB3" s="24"/>
    </row>
    <row r="4" spans="1:28" ht="15.75" thickBot="1">
      <c r="A4" s="113" t="s">
        <v>10</v>
      </c>
      <c r="B4" s="73">
        <f>Données!F12</f>
        <v>7.2346005790387942E+20</v>
      </c>
      <c r="D4" s="3" t="s">
        <v>39</v>
      </c>
      <c r="E4" s="109"/>
      <c r="F4" s="112">
        <v>0</v>
      </c>
      <c r="G4" s="111">
        <f>Données!H$45*1E-24*B$12</f>
        <v>1.591476362733419E-9</v>
      </c>
      <c r="H4" s="111">
        <f>-(Données!I$46*1E-24*B$12+Données!F$46)</f>
        <v>-3.0092529569266895E-9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O4" s="111">
        <v>1289479494840.3303</v>
      </c>
      <c r="P4" s="109"/>
      <c r="Q4" s="107">
        <v>2</v>
      </c>
      <c r="R4" s="27">
        <f t="shared" si="0"/>
        <v>0.16666666666666666</v>
      </c>
      <c r="S4" s="18">
        <f t="shared" si="1"/>
        <v>5256000</v>
      </c>
      <c r="T4" s="159">
        <f t="shared" si="2"/>
        <v>1.2444513376394756E+19</v>
      </c>
      <c r="U4" s="159">
        <f t="shared" si="3"/>
        <v>2.1710769531702089E+21</v>
      </c>
      <c r="V4" s="159">
        <f t="shared" si="4"/>
        <v>7.3015472627317447E+20</v>
      </c>
      <c r="W4" s="159">
        <f t="shared" si="5"/>
        <v>1.4771760758840413E+20</v>
      </c>
      <c r="X4" s="159">
        <f t="shared" si="6"/>
        <v>5.1727025641732014E+19</v>
      </c>
      <c r="Y4" s="159">
        <f t="shared" si="7"/>
        <v>3.2536002227588538E+19</v>
      </c>
      <c r="Z4" s="159">
        <f t="shared" si="8"/>
        <v>8.5209347666220237E+19</v>
      </c>
      <c r="AA4" s="159">
        <f t="shared" si="9"/>
        <v>1.6704339209027838E+22</v>
      </c>
      <c r="AB4" s="24"/>
    </row>
    <row r="5" spans="1:28" ht="15.75" thickBot="1">
      <c r="A5" s="113" t="s">
        <v>11</v>
      </c>
      <c r="B5" s="73">
        <f>Données!F13</f>
        <v>1.5072084539664158E+20</v>
      </c>
      <c r="D5" s="16">
        <f>3600*365*24/12</f>
        <v>2628000</v>
      </c>
      <c r="F5" s="112">
        <v>0</v>
      </c>
      <c r="G5" s="112">
        <v>0</v>
      </c>
      <c r="H5" s="111">
        <f>Données!H$46*1E-24*B$12</f>
        <v>1.5792994324066686E-9</v>
      </c>
      <c r="I5" s="111">
        <f>-(Données!I$47*1E-24*B$12+Données!F$47)</f>
        <v>-1.1523237401921893E-8</v>
      </c>
      <c r="J5" s="112">
        <v>0</v>
      </c>
      <c r="K5" s="112">
        <v>0</v>
      </c>
      <c r="L5" s="112">
        <v>0</v>
      </c>
      <c r="M5" s="112">
        <v>0</v>
      </c>
      <c r="O5" s="111">
        <v>-594232024107.375</v>
      </c>
      <c r="Q5" s="107">
        <v>3</v>
      </c>
      <c r="R5" s="27">
        <f t="shared" si="0"/>
        <v>0.25</v>
      </c>
      <c r="S5" s="18">
        <f t="shared" si="1"/>
        <v>7884000</v>
      </c>
      <c r="T5" s="159">
        <f t="shared" si="2"/>
        <v>1.2632688167675199E+19</v>
      </c>
      <c r="U5" s="159">
        <f t="shared" si="3"/>
        <v>2.1674534724010474E+21</v>
      </c>
      <c r="V5" s="159">
        <f t="shared" si="4"/>
        <v>7.3344016180784988E+20</v>
      </c>
      <c r="W5" s="159">
        <f t="shared" si="5"/>
        <v>1.4630309124609373E+20</v>
      </c>
      <c r="X5" s="159">
        <f t="shared" si="6"/>
        <v>5.2042943811497558E+19</v>
      </c>
      <c r="Y5" s="159">
        <f t="shared" si="7"/>
        <v>3.2534718099636453E+19</v>
      </c>
      <c r="Z5" s="159">
        <f t="shared" si="8"/>
        <v>8.3404374825720037E+19</v>
      </c>
      <c r="AA5" s="159">
        <f t="shared" si="9"/>
        <v>1.6656749414468249E+22</v>
      </c>
      <c r="AB5" s="24"/>
    </row>
    <row r="6" spans="1:28" ht="15.75" thickBot="1">
      <c r="A6" s="113" t="s">
        <v>13</v>
      </c>
      <c r="B6" s="73">
        <f>Données!F14</f>
        <v>5.1070699679853748E+19</v>
      </c>
      <c r="F6" s="112">
        <v>0</v>
      </c>
      <c r="G6" s="112">
        <v>0</v>
      </c>
      <c r="H6" s="112">
        <v>0</v>
      </c>
      <c r="I6" s="111">
        <f>Données!H$47*1E-24*B$12</f>
        <v>1.5549801653052321E-9</v>
      </c>
      <c r="J6" s="111">
        <f>-(Données!I$48*1E-24*B$12+Données!F$48)</f>
        <v>-2.5875525259194115E-9</v>
      </c>
      <c r="K6" s="111">
        <f>Données!H$49*1E-24*B$12*0.85*0.16</f>
        <v>7.9538048403836127E-10</v>
      </c>
      <c r="L6" s="112">
        <v>0</v>
      </c>
      <c r="M6" s="112">
        <v>0</v>
      </c>
      <c r="O6" s="111">
        <v>128086121598.48409</v>
      </c>
      <c r="Q6" s="107">
        <v>4</v>
      </c>
      <c r="R6" s="27">
        <f t="shared" si="0"/>
        <v>0.33333333333333331</v>
      </c>
      <c r="S6" s="18">
        <f t="shared" si="1"/>
        <v>10512000</v>
      </c>
      <c r="T6" s="159">
        <f t="shared" si="2"/>
        <v>1.2809424252398715E+19</v>
      </c>
      <c r="U6" s="159">
        <f t="shared" si="3"/>
        <v>2.1637901444719205E+21</v>
      </c>
      <c r="V6" s="159">
        <f t="shared" si="4"/>
        <v>7.3668453898356916E+20</v>
      </c>
      <c r="W6" s="159">
        <f t="shared" si="5"/>
        <v>1.4494411575906207E+20</v>
      </c>
      <c r="X6" s="159">
        <f t="shared" si="6"/>
        <v>5.2351065574077039E+19</v>
      </c>
      <c r="Y6" s="159">
        <f t="shared" si="7"/>
        <v>3.2527917164369732E+19</v>
      </c>
      <c r="Z6" s="159">
        <f t="shared" si="8"/>
        <v>8.1637636369640964E+19</v>
      </c>
      <c r="AA6" s="159">
        <f t="shared" si="9"/>
        <v>1.660929520076091E+22</v>
      </c>
      <c r="AB6" s="24"/>
    </row>
    <row r="7" spans="1:28" ht="15.75" thickBot="1">
      <c r="A7" s="113" t="s">
        <v>14</v>
      </c>
      <c r="B7" s="73">
        <f>Données!F15</f>
        <v>3.2520680334545068E+19</v>
      </c>
      <c r="D7" s="3" t="s">
        <v>167</v>
      </c>
      <c r="F7" s="112">
        <v>0</v>
      </c>
      <c r="G7" s="112">
        <v>0</v>
      </c>
      <c r="H7" s="112">
        <v>0</v>
      </c>
      <c r="I7" s="112">
        <f>Données!F$47</f>
        <v>1.5343492432592516E-9</v>
      </c>
      <c r="J7" s="112">
        <v>0</v>
      </c>
      <c r="K7" s="111">
        <f>-(Données!I$49*1E-24*B$12+Données!F$49)</f>
        <v>-6.9476207224624008E-9</v>
      </c>
      <c r="L7" s="112">
        <v>0</v>
      </c>
      <c r="M7" s="112">
        <v>0</v>
      </c>
      <c r="O7" s="111">
        <v>5317062476.8708496</v>
      </c>
      <c r="P7" s="109"/>
      <c r="Q7" s="107">
        <v>5</v>
      </c>
      <c r="R7" s="27">
        <f t="shared" si="0"/>
        <v>0.41666666666666669</v>
      </c>
      <c r="S7" s="18">
        <f t="shared" si="1"/>
        <v>13140000</v>
      </c>
      <c r="T7" s="159">
        <f t="shared" si="2"/>
        <v>1.2975086873141232E+19</v>
      </c>
      <c r="U7" s="159">
        <f t="shared" si="3"/>
        <v>2.1600880363712251E+21</v>
      </c>
      <c r="V7" s="159">
        <f t="shared" si="4"/>
        <v>7.3988801745542329E+20</v>
      </c>
      <c r="W7" s="159">
        <f t="shared" si="5"/>
        <v>1.4363885686467772E+20</v>
      </c>
      <c r="X7" s="159">
        <f t="shared" si="6"/>
        <v>5.2651655066511081E+19</v>
      </c>
      <c r="Y7" s="159">
        <f t="shared" si="7"/>
        <v>3.2515917484860047E+19</v>
      </c>
      <c r="Z7" s="159">
        <f t="shared" si="8"/>
        <v>7.9908322386543198E+19</v>
      </c>
      <c r="AA7" s="159">
        <f t="shared" si="9"/>
        <v>1.6561976181643016E+22</v>
      </c>
      <c r="AB7" s="24"/>
    </row>
    <row r="8" spans="1:28" ht="15.75" thickBot="1">
      <c r="A8" s="113" t="s">
        <v>15</v>
      </c>
      <c r="B8" s="73">
        <f>Données!F16</f>
        <v>8.8937324162937733E+19</v>
      </c>
      <c r="D8" s="16" t="s">
        <v>168</v>
      </c>
      <c r="F8" s="112">
        <v>0</v>
      </c>
      <c r="G8" s="111">
        <f>Données!F$45</f>
        <v>9.1163637120235491E-13</v>
      </c>
      <c r="H8" s="112">
        <v>0</v>
      </c>
      <c r="I8" s="112">
        <v>0</v>
      </c>
      <c r="J8" s="112">
        <v>0</v>
      </c>
      <c r="K8" s="112">
        <v>0</v>
      </c>
      <c r="L8" s="111">
        <f>-(Données!I$50*1E-24*B$12+Données!F$50)</f>
        <v>-8.1470236973063684E-9</v>
      </c>
      <c r="M8" s="112">
        <v>0</v>
      </c>
      <c r="O8" s="111">
        <v>-722588761186.71912</v>
      </c>
      <c r="Q8" s="107">
        <v>6</v>
      </c>
      <c r="R8" s="27">
        <f t="shared" si="0"/>
        <v>0.5</v>
      </c>
      <c r="S8" s="18">
        <f t="shared" si="1"/>
        <v>15768000</v>
      </c>
      <c r="T8" s="159">
        <f t="shared" si="2"/>
        <v>1.3130031507619987E+19</v>
      </c>
      <c r="U8" s="159">
        <f t="shared" si="3"/>
        <v>2.1563481944860902E+21</v>
      </c>
      <c r="V8" s="159">
        <f t="shared" si="4"/>
        <v>7.4305076002275328E+20</v>
      </c>
      <c r="W8" s="159">
        <f t="shared" si="5"/>
        <v>1.423855453756725E+20</v>
      </c>
      <c r="X8" s="159">
        <f t="shared" si="6"/>
        <v>5.2944967968094093E+19</v>
      </c>
      <c r="Y8" s="159">
        <f t="shared" si="7"/>
        <v>3.2499024191312675E+19</v>
      </c>
      <c r="Z8" s="159">
        <f t="shared" si="8"/>
        <v>7.8215640121181553E+19</v>
      </c>
      <c r="AA8" s="159">
        <f t="shared" si="9"/>
        <v>1.6514791971952207E+22</v>
      </c>
      <c r="AB8" s="24"/>
    </row>
    <row r="9" spans="1:28" ht="15.75" thickBot="1">
      <c r="A9" s="113" t="s">
        <v>16</v>
      </c>
      <c r="B9" s="73">
        <f>Données!F17</f>
        <v>1.6799927091276064E+22</v>
      </c>
      <c r="F9" s="112">
        <v>0</v>
      </c>
      <c r="G9" s="112">
        <v>0</v>
      </c>
      <c r="H9" s="112">
        <v>0</v>
      </c>
      <c r="I9" s="112">
        <v>0</v>
      </c>
      <c r="J9" s="111">
        <f>Données!F$48</f>
        <v>5.8612141092503409E-14</v>
      </c>
      <c r="K9" s="112">
        <v>0</v>
      </c>
      <c r="L9" s="112">
        <v>0</v>
      </c>
      <c r="M9" s="111">
        <f>-(Données!I$51*1E-24*B$12+Données!F$51)</f>
        <v>-1.0856217745220376E-9</v>
      </c>
      <c r="O9" s="111">
        <v>-18238363667308.918</v>
      </c>
      <c r="Q9" s="107">
        <v>7</v>
      </c>
      <c r="R9" s="27">
        <f t="shared" si="0"/>
        <v>0.58333333333333337</v>
      </c>
      <c r="S9" s="18">
        <f t="shared" si="1"/>
        <v>18396000</v>
      </c>
      <c r="T9" s="159">
        <f t="shared" si="2"/>
        <v>1.3274604108994576E+19</v>
      </c>
      <c r="U9" s="159">
        <f t="shared" si="3"/>
        <v>2.1525716449729619E+21</v>
      </c>
      <c r="V9" s="159">
        <f t="shared" si="4"/>
        <v>7.4617293251933753E+20</v>
      </c>
      <c r="W9" s="159">
        <f t="shared" si="5"/>
        <v>1.4118246554991917E+20</v>
      </c>
      <c r="X9" s="159">
        <f t="shared" si="6"/>
        <v>5.3231251752183923E+19</v>
      </c>
      <c r="Y9" s="159">
        <f t="shared" si="7"/>
        <v>3.2477529931837759E+19</v>
      </c>
      <c r="Z9" s="159">
        <f t="shared" si="8"/>
        <v>7.6558813611089199E+19</v>
      </c>
      <c r="AA9" s="159">
        <f t="shared" si="9"/>
        <v>1.6467742187623425E+22</v>
      </c>
      <c r="AB9" s="24"/>
    </row>
    <row r="10" spans="1:28">
      <c r="Q10" s="107">
        <v>8</v>
      </c>
      <c r="R10" s="27">
        <f t="shared" si="0"/>
        <v>0.66666666666666663</v>
      </c>
      <c r="S10" s="18">
        <f t="shared" si="1"/>
        <v>21024000</v>
      </c>
      <c r="T10" s="159">
        <f t="shared" si="2"/>
        <v>1.3409141340525773E+19</v>
      </c>
      <c r="U10" s="159">
        <f t="shared" si="3"/>
        <v>2.1487593941218519E+21</v>
      </c>
      <c r="V10" s="159">
        <f t="shared" si="4"/>
        <v>7.4925470370597044E+20</v>
      </c>
      <c r="W10" s="159">
        <f t="shared" si="5"/>
        <v>1.4002795350839352E+20</v>
      </c>
      <c r="X10" s="159">
        <f t="shared" si="6"/>
        <v>5.351074593069151E+19</v>
      </c>
      <c r="Y10" s="159">
        <f t="shared" si="7"/>
        <v>3.245171530864744E+19</v>
      </c>
      <c r="Z10" s="159">
        <f t="shared" si="8"/>
        <v>7.493708333085945E+19</v>
      </c>
      <c r="AA10" s="159">
        <f t="shared" si="9"/>
        <v>1.6420826445685803E+22</v>
      </c>
      <c r="AB10" s="24"/>
    </row>
    <row r="11" spans="1:28" ht="15.75" thickBot="1">
      <c r="B11" s="113" t="s">
        <v>59</v>
      </c>
      <c r="N11" s="108" t="s">
        <v>150</v>
      </c>
      <c r="Q11" s="107">
        <v>9</v>
      </c>
      <c r="R11" s="27">
        <f t="shared" si="0"/>
        <v>0.75</v>
      </c>
      <c r="S11" s="18">
        <f t="shared" si="1"/>
        <v>23652000</v>
      </c>
      <c r="T11" s="159">
        <f t="shared" si="2"/>
        <v>1.3533970804720689E+19</v>
      </c>
      <c r="U11" s="159">
        <f t="shared" si="3"/>
        <v>2.1449124287143451E+21</v>
      </c>
      <c r="V11" s="159">
        <f t="shared" si="4"/>
        <v>7.52296245165392E+20</v>
      </c>
      <c r="W11" s="159">
        <f t="shared" si="5"/>
        <v>1.3892039569989236E+20</v>
      </c>
      <c r="X11" s="159">
        <f t="shared" si="6"/>
        <v>5.3783682291456147E+19</v>
      </c>
      <c r="Y11" s="159">
        <f t="shared" si="7"/>
        <v>3.2421849300135911E+19</v>
      </c>
      <c r="Z11" s="159">
        <f t="shared" si="8"/>
        <v>7.3349705843962864E+19</v>
      </c>
      <c r="AA11" s="159">
        <f t="shared" si="9"/>
        <v>1.6374044364259528E+22</v>
      </c>
      <c r="AB11" s="24"/>
    </row>
    <row r="12" spans="1:28">
      <c r="B12" s="75">
        <f>IF(R2&lt;Données!C$26/365,Données!C$30,0)</f>
        <v>3459355206463252.5</v>
      </c>
      <c r="O12" s="111">
        <f t="array" ref="O12:O19">MMULT($F$2:$M$9,O2:O9)</f>
        <v>-1820.0632542593185</v>
      </c>
      <c r="Q12" s="107">
        <v>10</v>
      </c>
      <c r="R12" s="27">
        <f t="shared" si="0"/>
        <v>0.83333333333333337</v>
      </c>
      <c r="S12" s="18">
        <f t="shared" si="1"/>
        <v>26280000</v>
      </c>
      <c r="T12" s="159">
        <f t="shared" si="2"/>
        <v>1.3649411267090612E+19</v>
      </c>
      <c r="U12" s="159">
        <f t="shared" si="3"/>
        <v>2.1410317163754716E+21</v>
      </c>
      <c r="V12" s="159">
        <f t="shared" si="4"/>
        <v>7.5529773119952742E+20</v>
      </c>
      <c r="W12" s="159">
        <f t="shared" si="5"/>
        <v>1.3785822741112339E+20</v>
      </c>
      <c r="X12" s="159">
        <f t="shared" si="6"/>
        <v>5.4050285128719401E+19</v>
      </c>
      <c r="Y12" s="159">
        <f t="shared" si="7"/>
        <v>3.2388189669278155E+19</v>
      </c>
      <c r="Z12" s="159">
        <f t="shared" si="8"/>
        <v>7.1795953461939675E+19</v>
      </c>
      <c r="AA12" s="159">
        <f t="shared" si="9"/>
        <v>1.6327395562552748E+22</v>
      </c>
      <c r="AB12" s="24"/>
    </row>
    <row r="13" spans="1:28" ht="15">
      <c r="E13" s="109" t="s">
        <v>169</v>
      </c>
      <c r="O13" s="111">
        <v>-6249.7139332210609</v>
      </c>
      <c r="Q13" s="107">
        <v>11</v>
      </c>
      <c r="R13" s="27">
        <f t="shared" si="0"/>
        <v>0.91666666666666663</v>
      </c>
      <c r="S13" s="18">
        <f t="shared" si="1"/>
        <v>28908000</v>
      </c>
      <c r="T13" s="159">
        <f t="shared" si="2"/>
        <v>1.3755772874643669E+19</v>
      </c>
      <c r="U13" s="159">
        <f t="shared" si="3"/>
        <v>2.1371182059195403E+21</v>
      </c>
      <c r="V13" s="159">
        <f t="shared" si="4"/>
        <v>7.5825933872898428E+20</v>
      </c>
      <c r="W13" s="159">
        <f t="shared" si="5"/>
        <v>1.3683993132082201E+20</v>
      </c>
      <c r="X13" s="159">
        <f t="shared" si="6"/>
        <v>5.431077146689808E+19</v>
      </c>
      <c r="Y13" s="159">
        <f t="shared" si="7"/>
        <v>3.2350983358775943E+19</v>
      </c>
      <c r="Z13" s="159">
        <f t="shared" si="8"/>
        <v>7.0275113910811517E+19</v>
      </c>
      <c r="AA13" s="159">
        <f t="shared" si="9"/>
        <v>1.6280879660858471E+22</v>
      </c>
      <c r="AB13" s="24"/>
    </row>
    <row r="14" spans="1:28">
      <c r="F14" s="111">
        <f t="array" ref="F14:M21">MINVERSE(F2:M9)</f>
        <v>-157994823.71890873</v>
      </c>
      <c r="G14" s="111">
        <v>-4125.3098568916384</v>
      </c>
      <c r="H14" s="111">
        <v>-6.201649459874458E-3</v>
      </c>
      <c r="I14" s="111">
        <v>-1.1816842070607722E-2</v>
      </c>
      <c r="J14" s="111">
        <v>-7.8681052223904674E-2</v>
      </c>
      <c r="K14" s="111">
        <v>-9.0075978385182418E-3</v>
      </c>
      <c r="L14" s="111">
        <v>-34728980.48938489</v>
      </c>
      <c r="M14" s="111">
        <v>-3473.5355444983279</v>
      </c>
      <c r="O14" s="111">
        <v>-6011.767770198684</v>
      </c>
      <c r="Q14" s="107">
        <v>12</v>
      </c>
      <c r="R14" s="27">
        <f t="shared" si="0"/>
        <v>1</v>
      </c>
      <c r="S14" s="18">
        <f t="shared" si="1"/>
        <v>31536000</v>
      </c>
      <c r="T14" s="159">
        <f t="shared" si="2"/>
        <v>1.3853357369232957E+19</v>
      </c>
      <c r="U14" s="159">
        <f t="shared" si="3"/>
        <v>2.1331728276900298E+21</v>
      </c>
      <c r="V14" s="159">
        <f t="shared" si="4"/>
        <v>7.6118124719477306E+20</v>
      </c>
      <c r="W14" s="159">
        <f t="shared" si="5"/>
        <v>1.3586403609659148E+20</v>
      </c>
      <c r="X14" s="159">
        <f t="shared" si="6"/>
        <v>5.4565351277845283E+19</v>
      </c>
      <c r="Y14" s="159">
        <f t="shared" si="7"/>
        <v>3.231046687336294E+19</v>
      </c>
      <c r="Z14" s="159">
        <f t="shared" si="8"/>
        <v>6.878649000455952E+19</v>
      </c>
      <c r="AA14" s="159">
        <f t="shared" si="9"/>
        <v>1.6234496280551462E+22</v>
      </c>
      <c r="AB14" s="24"/>
    </row>
    <row r="15" spans="1:28">
      <c r="F15" s="111">
        <v>-35586196.381128922</v>
      </c>
      <c r="G15" s="111">
        <v>-130300473.36169872</v>
      </c>
      <c r="H15" s="111">
        <v>-195.88294898503457</v>
      </c>
      <c r="I15" s="111">
        <v>-373.24229424084871</v>
      </c>
      <c r="J15" s="111">
        <v>-2485.1898899774255</v>
      </c>
      <c r="K15" s="111">
        <v>-284.51057082415218</v>
      </c>
      <c r="L15" s="111">
        <v>-7822232.9739764566</v>
      </c>
      <c r="M15" s="111">
        <v>-109713776.99803822</v>
      </c>
      <c r="O15" s="111">
        <v>8883.9509199152271</v>
      </c>
      <c r="Q15" s="107">
        <v>13</v>
      </c>
      <c r="R15" s="27">
        <f t="shared" si="0"/>
        <v>1.0833333333333333</v>
      </c>
      <c r="S15" s="18">
        <f t="shared" si="1"/>
        <v>34164000</v>
      </c>
      <c r="T15" s="159">
        <f t="shared" si="2"/>
        <v>1.3942458295877673E+19</v>
      </c>
      <c r="U15" s="159">
        <f t="shared" si="3"/>
        <v>2.1291964938936344E+21</v>
      </c>
      <c r="V15" s="159">
        <f t="shared" si="4"/>
        <v>7.6406363846220487E+20</v>
      </c>
      <c r="W15" s="159">
        <f t="shared" si="5"/>
        <v>1.3492911503320053E+20</v>
      </c>
      <c r="X15" s="159">
        <f t="shared" si="6"/>
        <v>5.4814227691796496E+19</v>
      </c>
      <c r="Y15" s="159">
        <f t="shared" si="7"/>
        <v>3.2266866649670263E+19</v>
      </c>
      <c r="Z15" s="159">
        <f t="shared" si="8"/>
        <v>6.7329399325519053E+19</v>
      </c>
      <c r="AA15" s="159">
        <f t="shared" si="9"/>
        <v>1.6188245044085173E+22</v>
      </c>
      <c r="AB15" s="24"/>
    </row>
    <row r="16" spans="1:28">
      <c r="F16" s="111">
        <v>-18820149.449315947</v>
      </c>
      <c r="G16" s="111">
        <v>-68910831.484204456</v>
      </c>
      <c r="H16" s="111">
        <v>-332308491.86050832</v>
      </c>
      <c r="I16" s="111">
        <v>-197.39327246964086</v>
      </c>
      <c r="J16" s="111">
        <v>-1314.3198738740969</v>
      </c>
      <c r="K16" s="111">
        <v>-150.46652936643147</v>
      </c>
      <c r="L16" s="111">
        <v>-4136873.5231189616</v>
      </c>
      <c r="M16" s="111">
        <v>-58023331.789597049</v>
      </c>
      <c r="O16" s="111">
        <v>-1251.2194908270114</v>
      </c>
      <c r="Q16" s="107">
        <v>14</v>
      </c>
      <c r="R16" s="27">
        <f t="shared" si="0"/>
        <v>1.1666666666666667</v>
      </c>
      <c r="S16" s="18">
        <f t="shared" si="1"/>
        <v>36792000</v>
      </c>
      <c r="T16" s="159">
        <f t="shared" si="2"/>
        <v>1.4023361206171812E+19</v>
      </c>
      <c r="U16" s="159">
        <f t="shared" si="3"/>
        <v>2.1251900989285576E+21</v>
      </c>
      <c r="V16" s="159">
        <f t="shared" si="4"/>
        <v>7.6690669672692554E+20</v>
      </c>
      <c r="W16" s="159">
        <f t="shared" si="5"/>
        <v>1.3403378473111129E+20</v>
      </c>
      <c r="X16" s="159">
        <f t="shared" si="6"/>
        <v>5.5057597202179129E+19</v>
      </c>
      <c r="Y16" s="159">
        <f t="shared" si="7"/>
        <v>3.2220399414039675E+19</v>
      </c>
      <c r="Z16" s="159">
        <f t="shared" si="8"/>
        <v>6.5903173911544521E+19</v>
      </c>
      <c r="AA16" s="159">
        <f t="shared" si="9"/>
        <v>1.6142125574988667E+22</v>
      </c>
      <c r="AB16" s="24"/>
    </row>
    <row r="17" spans="5:28">
      <c r="F17" s="111">
        <v>-2579366.3973421291</v>
      </c>
      <c r="G17" s="111">
        <v>-9444467.1452767625</v>
      </c>
      <c r="H17" s="111">
        <v>-45544025.02301012</v>
      </c>
      <c r="I17" s="111">
        <v>-86781194.977055594</v>
      </c>
      <c r="J17" s="111">
        <v>-180.13207212618653</v>
      </c>
      <c r="K17" s="111">
        <v>-20.621956845649414</v>
      </c>
      <c r="L17" s="111">
        <v>-566972.78543530568</v>
      </c>
      <c r="M17" s="111">
        <v>-7952297.7584728897</v>
      </c>
      <c r="O17" s="111">
        <v>-948.70038995649941</v>
      </c>
      <c r="Q17" s="107">
        <v>15</v>
      </c>
      <c r="R17" s="27">
        <f t="shared" si="0"/>
        <v>1.25</v>
      </c>
      <c r="S17" s="18">
        <f t="shared" si="1"/>
        <v>39420000</v>
      </c>
      <c r="T17" s="159">
        <f t="shared" si="2"/>
        <v>1.4096343856893092E+19</v>
      </c>
      <c r="U17" s="159">
        <f t="shared" si="3"/>
        <v>2.1211545197071497E+21</v>
      </c>
      <c r="V17" s="159">
        <f t="shared" si="4"/>
        <v>7.6971060842304478E+20</v>
      </c>
      <c r="W17" s="159">
        <f t="shared" si="5"/>
        <v>1.3317670381404568E+20</v>
      </c>
      <c r="X17" s="159">
        <f t="shared" si="6"/>
        <v>5.5295649864464466E+19</v>
      </c>
      <c r="Y17" s="159">
        <f t="shared" si="7"/>
        <v>3.2171272528662151E+19</v>
      </c>
      <c r="Z17" s="159">
        <f t="shared" si="8"/>
        <v>6.4507159949801021E+19</v>
      </c>
      <c r="AA17" s="159">
        <f t="shared" si="9"/>
        <v>1.6096137497863558E+22</v>
      </c>
      <c r="AB17" s="24"/>
    </row>
    <row r="18" spans="5:28">
      <c r="F18" s="111">
        <v>-1725161.0517052882</v>
      </c>
      <c r="G18" s="111">
        <v>-6316755.498532827</v>
      </c>
      <c r="H18" s="111">
        <v>-30461270.716928858</v>
      </c>
      <c r="I18" s="111">
        <v>-58041981.840628371</v>
      </c>
      <c r="J18" s="111">
        <v>-386465705.22766948</v>
      </c>
      <c r="K18" s="111">
        <v>-44243531.989936434</v>
      </c>
      <c r="L18" s="111">
        <v>-379209.16075270955</v>
      </c>
      <c r="M18" s="111">
        <v>-5318745.8666660292</v>
      </c>
      <c r="O18" s="111">
        <v>5885.7268442992718</v>
      </c>
      <c r="Q18" s="107">
        <v>16</v>
      </c>
      <c r="R18" s="27">
        <f t="shared" si="0"/>
        <v>1.3333333333333333</v>
      </c>
      <c r="S18" s="18">
        <f t="shared" si="1"/>
        <v>42048000</v>
      </c>
      <c r="T18" s="159">
        <f t="shared" si="2"/>
        <v>1.4161676403921428E+19</v>
      </c>
      <c r="U18" s="159">
        <f t="shared" si="3"/>
        <v>2.1170906159729727E+21</v>
      </c>
      <c r="V18" s="159">
        <f t="shared" si="4"/>
        <v>7.7247556213332273E+20</v>
      </c>
      <c r="W18" s="159">
        <f t="shared" si="5"/>
        <v>1.3235657168443367E+20</v>
      </c>
      <c r="X18" s="159">
        <f t="shared" si="6"/>
        <v>5.552856948923895E+19</v>
      </c>
      <c r="Y18" s="159">
        <f t="shared" si="7"/>
        <v>3.2119684326404997E+19</v>
      </c>
      <c r="Z18" s="159">
        <f t="shared" si="8"/>
        <v>6.3140717477042233E+19</v>
      </c>
      <c r="AA18" s="159">
        <f t="shared" si="9"/>
        <v>1.6050280438380938E+22</v>
      </c>
      <c r="AB18" s="24"/>
    </row>
    <row r="19" spans="5:28">
      <c r="F19" s="111">
        <v>-569640.89404804958</v>
      </c>
      <c r="G19" s="111">
        <v>-2085765.99043338</v>
      </c>
      <c r="H19" s="111">
        <v>-10058182.955080586</v>
      </c>
      <c r="I19" s="111">
        <v>-19165217.2968628</v>
      </c>
      <c r="J19" s="111">
        <v>-39.781317892030479</v>
      </c>
      <c r="K19" s="111">
        <v>-143934171.36433151</v>
      </c>
      <c r="L19" s="111">
        <v>-125213.26350885286</v>
      </c>
      <c r="M19" s="111">
        <v>-1756227.4245103847</v>
      </c>
      <c r="O19" s="111">
        <v>19799.972236283997</v>
      </c>
      <c r="Q19" s="107">
        <v>17</v>
      </c>
      <c r="R19" s="27">
        <f t="shared" si="0"/>
        <v>1.4166666666666667</v>
      </c>
      <c r="S19" s="18">
        <f t="shared" si="1"/>
        <v>44676000</v>
      </c>
      <c r="T19" s="159">
        <f t="shared" si="2"/>
        <v>1.4219621591574815E+19</v>
      </c>
      <c r="U19" s="159">
        <f t="shared" si="3"/>
        <v>2.1129992306123987E+21</v>
      </c>
      <c r="V19" s="159">
        <f t="shared" si="4"/>
        <v>7.7520174850137365E+20</v>
      </c>
      <c r="W19" s="159">
        <f t="shared" si="5"/>
        <v>1.3157212731562353E+20</v>
      </c>
      <c r="X19" s="159">
        <f t="shared" si="6"/>
        <v>5.5756533829655003E+19</v>
      </c>
      <c r="Y19" s="159">
        <f t="shared" si="7"/>
        <v>3.2065824434683339E+19</v>
      </c>
      <c r="Z19" s="159">
        <f t="shared" si="8"/>
        <v>6.1803220086237323E+19</v>
      </c>
      <c r="AA19" s="159">
        <f t="shared" si="9"/>
        <v>1.6004554023278358E+22</v>
      </c>
      <c r="AB19" s="24"/>
    </row>
    <row r="20" spans="5:28">
      <c r="F20" s="111">
        <v>-3982.0273193157482</v>
      </c>
      <c r="G20" s="111">
        <v>-14580.373780020094</v>
      </c>
      <c r="H20" s="111">
        <v>-2.1918927381072241E-2</v>
      </c>
      <c r="I20" s="111">
        <v>-4.1765098929743963E-2</v>
      </c>
      <c r="J20" s="111">
        <v>-0.2780879959630983</v>
      </c>
      <c r="K20" s="111">
        <v>-3.1836188771685495E-2</v>
      </c>
      <c r="L20" s="111">
        <v>-122745086.81774342</v>
      </c>
      <c r="M20" s="111">
        <v>-12276.761827324133</v>
      </c>
      <c r="Q20" s="107">
        <v>18</v>
      </c>
      <c r="R20" s="27">
        <f t="shared" si="0"/>
        <v>1.5</v>
      </c>
      <c r="S20" s="18">
        <f t="shared" si="1"/>
        <v>47304000</v>
      </c>
      <c r="T20" s="159">
        <f t="shared" si="2"/>
        <v>1.4270434937467093E+19</v>
      </c>
      <c r="U20" s="159">
        <f t="shared" si="3"/>
        <v>2.1088811899608092E+21</v>
      </c>
      <c r="V20" s="159">
        <f t="shared" si="4"/>
        <v>7.7788936014584676E+20</v>
      </c>
      <c r="W20" s="159">
        <f t="shared" si="5"/>
        <v>1.3082214807976354E+20</v>
      </c>
      <c r="X20" s="159">
        <f t="shared" si="6"/>
        <v>5.5979714763434426E+19</v>
      </c>
      <c r="Y20" s="159">
        <f t="shared" si="7"/>
        <v>3.2009874088717091E+19</v>
      </c>
      <c r="Z20" s="159">
        <f t="shared" si="8"/>
        <v>6.0494054639412314E+19</v>
      </c>
      <c r="AA20" s="159">
        <f t="shared" si="9"/>
        <v>1.5958957880356763E+22</v>
      </c>
      <c r="AB20" s="24"/>
    </row>
    <row r="21" spans="5:28" ht="15">
      <c r="F21" s="111">
        <v>-93.140525865336087</v>
      </c>
      <c r="G21" s="111">
        <v>-341.03826324767306</v>
      </c>
      <c r="H21" s="111">
        <v>-1644.5877735859049</v>
      </c>
      <c r="I21" s="111">
        <v>-3133.6556697466763</v>
      </c>
      <c r="J21" s="111">
        <v>-20865.077482616562</v>
      </c>
      <c r="K21" s="111">
        <v>-2388.6847153250433</v>
      </c>
      <c r="L21" s="111">
        <v>-20.473300513333093</v>
      </c>
      <c r="M21" s="111">
        <v>-921131406.17813158</v>
      </c>
      <c r="N21" s="108" t="s">
        <v>151</v>
      </c>
      <c r="Q21" s="107">
        <v>19</v>
      </c>
      <c r="R21" s="27">
        <f t="shared" si="0"/>
        <v>1.5833333333333333</v>
      </c>
      <c r="S21" s="18">
        <f t="shared" si="1"/>
        <v>49932000</v>
      </c>
      <c r="T21" s="159">
        <f t="shared" si="2"/>
        <v>1.4314364912990298E+19</v>
      </c>
      <c r="U21" s="159">
        <f t="shared" si="3"/>
        <v>2.1047373041035059E+21</v>
      </c>
      <c r="V21" s="159">
        <f t="shared" si="4"/>
        <v>7.8053859157654805E+20</v>
      </c>
      <c r="W21" s="159">
        <f t="shared" si="5"/>
        <v>1.3010544861030072E+20</v>
      </c>
      <c r="X21" s="159">
        <f t="shared" si="6"/>
        <v>5.6198278469574164E+19</v>
      </c>
      <c r="Y21" s="159">
        <f t="shared" si="7"/>
        <v>3.1952006434506555E+19</v>
      </c>
      <c r="Z21" s="159">
        <f t="shared" si="8"/>
        <v>5.9212620986574242E+19</v>
      </c>
      <c r="AA21" s="159">
        <f t="shared" si="9"/>
        <v>1.5913491638477476E+22</v>
      </c>
      <c r="AB21" s="24"/>
    </row>
    <row r="22" spans="5:28">
      <c r="O22" s="111">
        <f t="array" ref="O22:O29">MMULT($F$2:$M$9,O12:O19)</f>
        <v>2.2060032822402178E-5</v>
      </c>
      <c r="Q22" s="107">
        <v>20</v>
      </c>
      <c r="R22" s="27">
        <f t="shared" si="0"/>
        <v>1.6666666666666667</v>
      </c>
      <c r="S22" s="18">
        <f t="shared" si="1"/>
        <v>52560000</v>
      </c>
      <c r="T22" s="159">
        <f t="shared" si="2"/>
        <v>1.4351653119522128E+19</v>
      </c>
      <c r="U22" s="159">
        <f t="shared" si="3"/>
        <v>2.1005683671713983E+21</v>
      </c>
      <c r="V22" s="159">
        <f t="shared" si="4"/>
        <v>7.8314963911246597E+20</v>
      </c>
      <c r="W22" s="159">
        <f t="shared" si="5"/>
        <v>1.2942087969807119E+20</v>
      </c>
      <c r="X22" s="159">
        <f t="shared" si="6"/>
        <v>5.6412385599911592E+19</v>
      </c>
      <c r="Y22" s="159">
        <f t="shared" si="7"/>
        <v>3.1892386821849555E+19</v>
      </c>
      <c r="Z22" s="159">
        <f t="shared" si="8"/>
        <v>5.7958331690589307E+19</v>
      </c>
      <c r="AA22" s="159">
        <f t="shared" si="9"/>
        <v>1.5868154927559177E+22</v>
      </c>
      <c r="AB22" s="24"/>
    </row>
    <row r="23" spans="5:28">
      <c r="F23" s="120" t="s">
        <v>170</v>
      </c>
      <c r="G23" s="120" t="s">
        <v>171</v>
      </c>
      <c r="H23" s="120" t="s">
        <v>172</v>
      </c>
      <c r="I23" s="120" t="s">
        <v>173</v>
      </c>
      <c r="J23" s="120" t="s">
        <v>174</v>
      </c>
      <c r="K23" s="120" t="s">
        <v>175</v>
      </c>
      <c r="L23" s="120" t="s">
        <v>176</v>
      </c>
      <c r="M23" s="120" t="s">
        <v>177</v>
      </c>
      <c r="O23" s="111">
        <v>6.2917203264831759E-5</v>
      </c>
      <c r="Q23" s="107">
        <v>21</v>
      </c>
      <c r="R23" s="27">
        <f t="shared" si="0"/>
        <v>1.75</v>
      </c>
      <c r="S23" s="18">
        <f t="shared" si="1"/>
        <v>55188000</v>
      </c>
      <c r="T23" s="159">
        <f t="shared" si="2"/>
        <v>1.438253446045592E+19</v>
      </c>
      <c r="U23" s="159">
        <f t="shared" si="3"/>
        <v>2.0963751576315715E+21</v>
      </c>
      <c r="V23" s="159">
        <f t="shared" si="4"/>
        <v>7.8572270080166343E+20</v>
      </c>
      <c r="W23" s="159">
        <f t="shared" si="5"/>
        <v>1.2876732721998756E+20</v>
      </c>
      <c r="X23" s="159">
        <f t="shared" si="6"/>
        <v>5.6622191445700051E+19</v>
      </c>
      <c r="Y23" s="159">
        <f t="shared" si="7"/>
        <v>3.1831173087711117E+19</v>
      </c>
      <c r="Z23" s="159">
        <f t="shared" si="8"/>
        <v>5.6730611757888913E+19</v>
      </c>
      <c r="AA23" s="159">
        <f t="shared" si="9"/>
        <v>1.5822947378574892E+22</v>
      </c>
      <c r="AB23" s="24"/>
    </row>
    <row r="24" spans="5:28">
      <c r="F24" s="111">
        <f>F2</f>
        <v>-6.3293664152644189E-9</v>
      </c>
      <c r="G24" s="111">
        <f>G3</f>
        <v>-7.6746263231083104E-9</v>
      </c>
      <c r="H24" s="111">
        <f>H4</f>
        <v>-3.0092529569266895E-9</v>
      </c>
      <c r="I24" s="111">
        <f>I5</f>
        <v>-1.1523237401921893E-8</v>
      </c>
      <c r="J24" s="111">
        <f>J6</f>
        <v>-2.5875525259194115E-9</v>
      </c>
      <c r="K24" s="111">
        <f>K7</f>
        <v>-6.9476207224624008E-9</v>
      </c>
      <c r="L24" s="111">
        <f>L8</f>
        <v>-8.1470236973063684E-9</v>
      </c>
      <c r="M24" s="111">
        <f>M9</f>
        <v>-1.0856217745220376E-9</v>
      </c>
      <c r="O24" s="111">
        <v>8.1446579402599371E-6</v>
      </c>
      <c r="Q24" s="107">
        <v>22</v>
      </c>
      <c r="R24" s="27">
        <f t="shared" si="0"/>
        <v>1.8333333333333333</v>
      </c>
      <c r="S24" s="18">
        <f t="shared" si="1"/>
        <v>57816000</v>
      </c>
      <c r="T24" s="159">
        <f t="shared" si="2"/>
        <v>1.44072373091497E+19</v>
      </c>
      <c r="U24" s="159">
        <f t="shared" si="3"/>
        <v>2.0921584385728019E+21</v>
      </c>
      <c r="V24" s="159">
        <f t="shared" si="4"/>
        <v>7.8825797634300078E+20</v>
      </c>
      <c r="W24" s="159">
        <f t="shared" si="5"/>
        <v>1.281437110993592E+20</v>
      </c>
      <c r="X24" s="159">
        <f t="shared" si="6"/>
        <v>5.682784609933738E+19</v>
      </c>
      <c r="Y24" s="159">
        <f t="shared" si="7"/>
        <v>3.176851583024989E+19</v>
      </c>
      <c r="Z24" s="159">
        <f t="shared" si="8"/>
        <v>5.5528898374880059E+19</v>
      </c>
      <c r="AA24" s="159">
        <f t="shared" si="9"/>
        <v>1.5777868623548976E+22</v>
      </c>
      <c r="AB24" s="24"/>
    </row>
    <row r="25" spans="5:28">
      <c r="H25" s="19"/>
      <c r="I25" s="19"/>
      <c r="J25" s="19"/>
      <c r="K25" s="19"/>
      <c r="L25" s="19"/>
      <c r="M25" s="19"/>
      <c r="O25" s="111">
        <v>-1.1186625694444104E-4</v>
      </c>
      <c r="Q25" s="107">
        <v>23</v>
      </c>
      <c r="R25" s="27">
        <f t="shared" si="0"/>
        <v>1.9166666666666667</v>
      </c>
      <c r="S25" s="18">
        <f t="shared" si="1"/>
        <v>60444000</v>
      </c>
      <c r="T25" s="159">
        <f t="shared" si="2"/>
        <v>1.4425983672887386E+19</v>
      </c>
      <c r="U25" s="159">
        <f t="shared" si="3"/>
        <v>2.0879189579861181E+21</v>
      </c>
      <c r="V25" s="159">
        <f t="shared" si="4"/>
        <v>7.9075566700965488E+20</v>
      </c>
      <c r="W25" s="159">
        <f t="shared" si="5"/>
        <v>1.2754898429690908E+20</v>
      </c>
      <c r="X25" s="159">
        <f t="shared" si="6"/>
        <v>5.7029494611385844E+19</v>
      </c>
      <c r="Y25" s="159">
        <f t="shared" si="7"/>
        <v>3.1704558673793942E+19</v>
      </c>
      <c r="Z25" s="159">
        <f t="shared" si="8"/>
        <v>5.4352640649939304E+19</v>
      </c>
      <c r="AA25" s="159">
        <f t="shared" si="9"/>
        <v>1.5732918295554135E+22</v>
      </c>
      <c r="AB25" s="24"/>
    </row>
    <row r="26" spans="5:28">
      <c r="E26" s="110"/>
      <c r="F26" s="110"/>
      <c r="O26" s="111">
        <v>1.62973858486114E-5</v>
      </c>
      <c r="Q26" s="107">
        <v>24</v>
      </c>
      <c r="R26" s="27">
        <f t="shared" si="0"/>
        <v>2</v>
      </c>
      <c r="S26" s="18">
        <f t="shared" si="1"/>
        <v>63072000</v>
      </c>
      <c r="T26" s="159">
        <f t="shared" si="2"/>
        <v>1.4438989352943985E+19</v>
      </c>
      <c r="U26" s="159">
        <f t="shared" si="3"/>
        <v>2.0836574490404764E+21</v>
      </c>
      <c r="V26" s="159">
        <f t="shared" si="4"/>
        <v>7.9321597557439883E+20</v>
      </c>
      <c r="W26" s="159">
        <f t="shared" si="5"/>
        <v>1.2698213183157833E+20</v>
      </c>
      <c r="X26" s="159">
        <f t="shared" si="6"/>
        <v>5.7227277143026303E+19</v>
      </c>
      <c r="Y26" s="159">
        <f t="shared" si="7"/>
        <v>3.1639438525051093E+19</v>
      </c>
      <c r="Z26" s="159">
        <f t="shared" si="8"/>
        <v>5.3201299360872022E+19</v>
      </c>
      <c r="AA26" s="159">
        <f t="shared" si="9"/>
        <v>1.5688096028708431E+22</v>
      </c>
      <c r="AB26" s="24"/>
    </row>
    <row r="27" spans="5:28">
      <c r="E27" s="110"/>
      <c r="F27" s="110"/>
      <c r="O27" s="111">
        <v>2.0222293859794195E-5</v>
      </c>
      <c r="Q27" s="107">
        <v>25</v>
      </c>
      <c r="R27" s="27">
        <f t="shared" si="0"/>
        <v>2.0833333333333335</v>
      </c>
      <c r="S27" s="18">
        <f t="shared" si="1"/>
        <v>65700000</v>
      </c>
      <c r="T27" s="159">
        <f t="shared" si="2"/>
        <v>1.4446464100844282E+19</v>
      </c>
      <c r="U27" s="159">
        <f t="shared" si="3"/>
        <v>2.079374630353639E+21</v>
      </c>
      <c r="V27" s="159">
        <f t="shared" si="4"/>
        <v>7.9563910623660763E+20</v>
      </c>
      <c r="W27" s="159">
        <f t="shared" si="5"/>
        <v>1.264421698302375E+20</v>
      </c>
      <c r="X27" s="159">
        <f t="shared" si="6"/>
        <v>5.7421329114073399E+19</v>
      </c>
      <c r="Y27" s="159">
        <f t="shared" si="7"/>
        <v>3.1573285820829344E+19</v>
      </c>
      <c r="Z27" s="159">
        <f t="shared" si="8"/>
        <v>5.2074346707721232E+19</v>
      </c>
      <c r="AA27" s="159">
        <f t="shared" si="9"/>
        <v>1.5643401458172304E+22</v>
      </c>
      <c r="AB27" s="24"/>
    </row>
    <row r="28" spans="5:28" ht="15">
      <c r="E28" s="109" t="s">
        <v>178</v>
      </c>
      <c r="F28" s="110">
        <f>1000000000</f>
        <v>1000000000</v>
      </c>
      <c r="O28" s="111">
        <v>-4.7956853542909535E-5</v>
      </c>
      <c r="Q28" s="107">
        <v>26</v>
      </c>
      <c r="R28" s="27">
        <f t="shared" si="0"/>
        <v>2.1666666666666665</v>
      </c>
      <c r="S28" s="18">
        <f t="shared" si="1"/>
        <v>68328000</v>
      </c>
      <c r="T28" s="159">
        <f t="shared" si="2"/>
        <v>1.4448611770902389E+19</v>
      </c>
      <c r="U28" s="159">
        <f t="shared" si="3"/>
        <v>2.0750712062583279E+21</v>
      </c>
      <c r="V28" s="159">
        <f t="shared" si="4"/>
        <v>7.9802526455096082E+20</v>
      </c>
      <c r="W28" s="159">
        <f t="shared" si="5"/>
        <v>1.2592814460544947E+20</v>
      </c>
      <c r="X28" s="159">
        <f t="shared" si="6"/>
        <v>5.7611781346681225E+19</v>
      </c>
      <c r="Y28" s="159">
        <f t="shared" si="7"/>
        <v>3.1506224767534465E+19</v>
      </c>
      <c r="Z28" s="159">
        <f t="shared" si="8"/>
        <v>5.0971266070812557E+19</v>
      </c>
      <c r="AA28" s="159">
        <f t="shared" si="9"/>
        <v>1.5598834220145595E+22</v>
      </c>
      <c r="AB28" s="24"/>
    </row>
    <row r="29" spans="5:28">
      <c r="F29" s="112">
        <f t="array" ref="F29:M36">F2:M9*F28</f>
        <v>-6.3293664152644187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1.7908044097298317</v>
      </c>
      <c r="M29" s="112">
        <v>0</v>
      </c>
      <c r="O29" s="111">
        <v>-2.1495354331295042E-5</v>
      </c>
      <c r="Q29" s="107">
        <v>27</v>
      </c>
      <c r="R29" s="27">
        <f t="shared" si="0"/>
        <v>2.25</v>
      </c>
      <c r="S29" s="18">
        <f t="shared" si="1"/>
        <v>70956000</v>
      </c>
      <c r="T29" s="159">
        <f t="shared" si="2"/>
        <v>1.4445630469127832E+19</v>
      </c>
      <c r="U29" s="159">
        <f t="shared" si="3"/>
        <v>2.070747867063739E+21</v>
      </c>
      <c r="V29" s="159">
        <f t="shared" si="4"/>
        <v>8.0037465735780106E+20</v>
      </c>
      <c r="W29" s="159">
        <f t="shared" si="5"/>
        <v>1.2543913176045348E+20</v>
      </c>
      <c r="X29" s="159">
        <f t="shared" si="6"/>
        <v>5.7798760204869796E+19</v>
      </c>
      <c r="Y29" s="159">
        <f t="shared" si="7"/>
        <v>3.1438373572704698E+19</v>
      </c>
      <c r="Z29" s="159">
        <f t="shared" si="8"/>
        <v>4.9891551773924458E+19</v>
      </c>
      <c r="AA29" s="159">
        <f t="shared" si="9"/>
        <v>1.5554393951864609E+22</v>
      </c>
      <c r="AB29" s="24"/>
    </row>
    <row r="30" spans="5:28">
      <c r="F30" s="111">
        <v>1.7286052031176227</v>
      </c>
      <c r="G30" s="111">
        <v>-7.6746263231083107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1">
        <v>0.91410001975584976</v>
      </c>
      <c r="Q30" s="107">
        <v>28</v>
      </c>
      <c r="R30" s="27">
        <f t="shared" si="0"/>
        <v>2.3333333333333335</v>
      </c>
      <c r="S30" s="18">
        <f t="shared" si="1"/>
        <v>73584000</v>
      </c>
      <c r="T30" s="159">
        <f t="shared" si="2"/>
        <v>1.4437712698581574E+19</v>
      </c>
      <c r="U30" s="159">
        <f t="shared" si="3"/>
        <v>2.0664052893124859E+21</v>
      </c>
      <c r="V30" s="159">
        <f t="shared" si="4"/>
        <v>8.0268749271512488E+20</v>
      </c>
      <c r="W30" s="159">
        <f t="shared" si="5"/>
        <v>1.2497423532056551E+20</v>
      </c>
      <c r="X30" s="159">
        <f t="shared" si="6"/>
        <v>5.7982387729983177E+19</v>
      </c>
      <c r="Y30" s="159">
        <f t="shared" si="7"/>
        <v>3.1369844668833554E+19</v>
      </c>
      <c r="Z30" s="159">
        <f t="shared" si="8"/>
        <v>4.8834708852475322E+19</v>
      </c>
      <c r="AA30" s="159">
        <f t="shared" si="9"/>
        <v>1.5510080291599131E+22</v>
      </c>
      <c r="AB30" s="24"/>
    </row>
    <row r="31" spans="5:28" ht="15">
      <c r="E31" s="109"/>
      <c r="F31" s="112">
        <v>0</v>
      </c>
      <c r="G31" s="111">
        <v>1.591476362733419</v>
      </c>
      <c r="H31" s="111">
        <v>-3.0092529569266895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08" t="s">
        <v>152</v>
      </c>
      <c r="Q31" s="107">
        <v>29</v>
      </c>
      <c r="R31" s="27">
        <f t="shared" si="0"/>
        <v>2.4166666666666665</v>
      </c>
      <c r="S31" s="18">
        <f t="shared" si="1"/>
        <v>76212000</v>
      </c>
      <c r="T31" s="159">
        <f t="shared" si="2"/>
        <v>1.4425045501264036E+19</v>
      </c>
      <c r="U31" s="159">
        <f t="shared" si="3"/>
        <v>2.0620441360330544E+21</v>
      </c>
      <c r="V31" s="159">
        <f t="shared" si="4"/>
        <v>8.0496397983216907E+20</v>
      </c>
      <c r="W31" s="159">
        <f t="shared" si="5"/>
        <v>1.2453258689021374E+20</v>
      </c>
      <c r="X31" s="159">
        <f t="shared" si="6"/>
        <v>5.8162781772207555E+19</v>
      </c>
      <c r="Y31" s="159">
        <f t="shared" si="7"/>
        <v>3.1300744929723171E+19</v>
      </c>
      <c r="Z31" s="159">
        <f t="shared" si="8"/>
        <v>4.7800252826620822E+19</v>
      </c>
      <c r="AA31" s="159">
        <f t="shared" si="9"/>
        <v>1.5465892878649506E+22</v>
      </c>
      <c r="AB31" s="24"/>
    </row>
    <row r="32" spans="5:28">
      <c r="F32" s="112">
        <v>0</v>
      </c>
      <c r="G32" s="112">
        <v>0</v>
      </c>
      <c r="H32" s="111">
        <v>1.5792994324066687</v>
      </c>
      <c r="I32" s="111">
        <v>-11.523237401921893</v>
      </c>
      <c r="J32" s="112">
        <v>0</v>
      </c>
      <c r="K32" s="112">
        <v>0</v>
      </c>
      <c r="L32" s="112">
        <v>0</v>
      </c>
      <c r="M32" s="112">
        <v>0</v>
      </c>
      <c r="O32" s="111">
        <f t="array" ref="O32:O39">MMULT($F$2:$M$9,O22:O29)</f>
        <v>-2.2550737566715319E-13</v>
      </c>
      <c r="Q32" s="107">
        <v>30</v>
      </c>
      <c r="R32" s="27">
        <f t="shared" si="0"/>
        <v>2.5</v>
      </c>
      <c r="S32" s="18">
        <f t="shared" si="1"/>
        <v>78840000</v>
      </c>
      <c r="T32" s="159">
        <f t="shared" si="2"/>
        <v>1.4407810596614627E+19</v>
      </c>
      <c r="U32" s="159">
        <f t="shared" si="3"/>
        <v>2.0576650569878379E+21</v>
      </c>
      <c r="V32" s="159">
        <f t="shared" si="4"/>
        <v>8.0720432900456173E+20</v>
      </c>
      <c r="W32" s="159">
        <f t="shared" si="5"/>
        <v>1.2411334483484996E+20</v>
      </c>
      <c r="X32" s="159">
        <f t="shared" si="6"/>
        <v>5.8340056118258729E+19</v>
      </c>
      <c r="Y32" s="159">
        <f t="shared" si="7"/>
        <v>3.1231175879606321E+19</v>
      </c>
      <c r="Z32" s="159">
        <f t="shared" si="8"/>
        <v>4.6787709479157817E+19</v>
      </c>
      <c r="AA32" s="159">
        <f t="shared" si="9"/>
        <v>1.5421831353343691E+22</v>
      </c>
      <c r="AB32" s="24"/>
    </row>
    <row r="33" spans="2:28">
      <c r="F33" s="112">
        <v>0</v>
      </c>
      <c r="G33" s="112">
        <v>0</v>
      </c>
      <c r="H33" s="112">
        <v>0</v>
      </c>
      <c r="I33" s="111">
        <v>1.554980165305232</v>
      </c>
      <c r="J33" s="111">
        <v>-2.5875525259194117</v>
      </c>
      <c r="K33" s="111">
        <v>0.79538048403836126</v>
      </c>
      <c r="L33" s="112">
        <v>0</v>
      </c>
      <c r="M33" s="112">
        <v>0</v>
      </c>
      <c r="O33" s="111">
        <v>-4.6438184065377981E-13</v>
      </c>
      <c r="Q33" s="107">
        <v>31</v>
      </c>
      <c r="R33" s="27">
        <f t="shared" si="0"/>
        <v>2.5833333333333335</v>
      </c>
      <c r="S33" s="18">
        <f t="shared" si="1"/>
        <v>81468000</v>
      </c>
      <c r="T33" s="159">
        <f t="shared" si="2"/>
        <v>1.4386184516701127E+19</v>
      </c>
      <c r="U33" s="159">
        <f t="shared" si="3"/>
        <v>2.0532686889168302E+21</v>
      </c>
      <c r="V33" s="159">
        <f t="shared" si="4"/>
        <v>8.0940875155100874E+20</v>
      </c>
      <c r="W33" s="159">
        <f t="shared" si="5"/>
        <v>1.237156934870025E+20</v>
      </c>
      <c r="X33" s="159">
        <f t="shared" si="6"/>
        <v>5.851432061534693E+19</v>
      </c>
      <c r="Y33" s="159">
        <f t="shared" si="7"/>
        <v>3.1161233895263445E+19</v>
      </c>
      <c r="Z33" s="159">
        <f t="shared" si="8"/>
        <v>4.5796614638132847E+19</v>
      </c>
      <c r="AA33" s="159">
        <f t="shared" si="9"/>
        <v>1.5377895357034325E+22</v>
      </c>
      <c r="AB33" s="24"/>
    </row>
    <row r="34" spans="2:28">
      <c r="F34" s="112">
        <v>0</v>
      </c>
      <c r="G34" s="112">
        <v>0</v>
      </c>
      <c r="H34" s="112">
        <v>0</v>
      </c>
      <c r="I34" s="112">
        <v>1.5343492432592516</v>
      </c>
      <c r="J34" s="112">
        <v>0</v>
      </c>
      <c r="K34" s="111">
        <v>-6.9476207224624007</v>
      </c>
      <c r="L34" s="112">
        <v>0</v>
      </c>
      <c r="M34" s="112">
        <v>0</v>
      </c>
      <c r="O34" s="111">
        <v>7.5621905815389996E-14</v>
      </c>
      <c r="Q34" s="107">
        <v>32</v>
      </c>
      <c r="R34" s="27">
        <f t="shared" ref="R34:R65" si="10">S34/(3600*365*24)</f>
        <v>2.6666666666666665</v>
      </c>
      <c r="S34" s="18">
        <f t="shared" ref="S34:S65" si="11">Q34*D$5</f>
        <v>84096000</v>
      </c>
      <c r="T34" s="159">
        <f t="shared" ref="T34:T65" si="12">$F$148*EXP($F$24*$S34)+$G$148*EXP($G$24*$S34)+$H$148*EXP($H$24*$S34)+$I$148*EXP($I$24*$S34)+$J$148*EXP($J$24*$S34)+$K$148*EXP($K$24*$S34)+$L$148*EXP($L$24*$S34)+$M$148*EXP($M$24*$S34)</f>
        <v>1.4360338738175107E+19</v>
      </c>
      <c r="U34" s="159">
        <f t="shared" ref="U34:U65" si="13">$F$149*EXP($F$24*$S34)+$G$149*EXP($G$24*$S34)+$H$149*EXP($H$24*$S34)+$I$149*EXP($I$24*$S34)+$J$149*EXP($J$24*$S34)+$K$149*EXP($K$24*$S34)+$L$149*EXP($L$24*$S34)+$M$149*EXP($M$24*$S34)</f>
        <v>2.0488556557770451E+21</v>
      </c>
      <c r="V34" s="159">
        <f t="shared" ref="V34:V65" si="14">$F$150*EXP($F$24*$S34)+$G$150*EXP($G$24*$S34)+$H$150*EXP($H$24*$S34)+$I$150*EXP($I$24*$S34)+$J$150*EXP($J$24*$S34)+$K$150*EXP($K$24*$S34)+$L$150*EXP($L$24*$S34)+$M$150*EXP($M$24*$S34)</f>
        <v>8.1157745975148741E+20</v>
      </c>
      <c r="W34" s="159">
        <f t="shared" ref="W34:W65" si="15">$F$151*EXP($F$24*$S34)+$G$151*EXP($G$24*$S34)+$H$151*EXP($H$24*$S34)+$I$151*EXP($I$24*$S34)+$J$151*EXP($J$24*$S34)+$K$151*EXP($K$24*$S34)+$L$151*EXP($L$24*$S34)+$M$151*EXP($M$24*$S34)</f>
        <v>1.2333884237575623E+20</v>
      </c>
      <c r="X34" s="159">
        <f t="shared" ref="X34:X65" si="16">$F$152*EXP($F$24*$S34)+$G$152*EXP($G$24*$S34)+$H$152*EXP($H$24*$S34)+$I$152*EXP($I$24*$S34)+$J$152*EXP($J$24*$S34)+$K$152*EXP($K$24*$S34)+$L$152*EXP($L$24*$S34)+$M$152*EXP($M$24*$S34)</f>
        <v>5.8685681291534631E+19</v>
      </c>
      <c r="Y34" s="159">
        <f t="shared" ref="Y34:Y65" si="17">$F$153*EXP($F$24*$S34)+$G$153*EXP($G$24*$S34)+$H$153*EXP($H$24*$S34)+$I$153*EXP($I$24*$S34)+$J$153*EXP($J$24*$S34)+$K$153*EXP($K$24*$S34)+$L$153*EXP($L$24*$S34)+$M$153*EXP($M$24*$S34)</f>
        <v>3.1091010401358766E+19</v>
      </c>
      <c r="Z34" s="159">
        <f t="shared" ref="Z34:Z65" si="18">$F$154*EXP($F$24*$S34)+$G$154*EXP($G$24*$S34)+$H$154*EXP($H$24*$S34)+$I$154*EXP($I$24*$S34)+$J$154*EXP($J$24*$S34)+$K$154*EXP($K$24*$S34)+$L$154*EXP($L$24*$S34)+$M$154*EXP($M$24*$S34)</f>
        <v>4.4826513964055585E+19</v>
      </c>
      <c r="AA34" s="159">
        <f t="shared" ref="AA34:AA65" si="19">$F$155*EXP($F$24*$S34)+$G$155*EXP($G$24*$S34)+$H$155*EXP($H$24*$S34)+$I$155*EXP($I$24*$S34)+$J$155*EXP($J$24*$S34)+$K$155*EXP($K$24*$S34)+$L$155*EXP($L$24*$S34)+$M$155*EXP($M$24*$S34)</f>
        <v>1.5334084532095821E+22</v>
      </c>
      <c r="AB34" s="24"/>
    </row>
    <row r="35" spans="2:28">
      <c r="F35" s="112">
        <v>0</v>
      </c>
      <c r="G35" s="111">
        <v>9.1163637120235494E-4</v>
      </c>
      <c r="H35" s="112">
        <v>0</v>
      </c>
      <c r="I35" s="112">
        <v>0</v>
      </c>
      <c r="J35" s="112">
        <v>0</v>
      </c>
      <c r="K35" s="112">
        <v>0</v>
      </c>
      <c r="L35" s="111">
        <v>-8.1470236973063681</v>
      </c>
      <c r="M35" s="112">
        <v>0</v>
      </c>
      <c r="O35" s="111">
        <v>1.3019242896973867E-12</v>
      </c>
      <c r="Q35" s="107">
        <v>33</v>
      </c>
      <c r="R35" s="27">
        <f t="shared" si="10"/>
        <v>2.75</v>
      </c>
      <c r="S35" s="18">
        <f t="shared" si="11"/>
        <v>86724000</v>
      </c>
      <c r="T35" s="159">
        <f t="shared" si="12"/>
        <v>1.4330439811068133E+19</v>
      </c>
      <c r="U35" s="159">
        <f t="shared" si="13"/>
        <v>2.044426568977736E+21</v>
      </c>
      <c r="V35" s="159">
        <f t="shared" si="14"/>
        <v>8.1371066678691155E+20</v>
      </c>
      <c r="W35" s="159">
        <f t="shared" si="15"/>
        <v>1.2298202547896612E+20</v>
      </c>
      <c r="X35" s="159">
        <f t="shared" si="16"/>
        <v>5.885424047258334E+19</v>
      </c>
      <c r="Y35" s="159">
        <f t="shared" si="17"/>
        <v>3.1020592059208393E+19</v>
      </c>
      <c r="Z35" s="159">
        <f t="shared" si="18"/>
        <v>4.3876962741619704E+19</v>
      </c>
      <c r="AA35" s="159">
        <f t="shared" si="19"/>
        <v>1.5290398521921443E+22</v>
      </c>
      <c r="AB35" s="24"/>
    </row>
    <row r="36" spans="2:28">
      <c r="F36" s="112">
        <v>0</v>
      </c>
      <c r="G36" s="112">
        <v>0</v>
      </c>
      <c r="H36" s="112">
        <v>0</v>
      </c>
      <c r="I36" s="112">
        <v>0</v>
      </c>
      <c r="J36" s="111">
        <v>5.8612141092503411E-5</v>
      </c>
      <c r="K36" s="112">
        <v>0</v>
      </c>
      <c r="L36" s="112">
        <v>0</v>
      </c>
      <c r="M36" s="111">
        <v>-1.0856217745220376</v>
      </c>
      <c r="O36" s="111">
        <v>-2.0003573475543312E-13</v>
      </c>
      <c r="Q36" s="107">
        <v>34</v>
      </c>
      <c r="R36" s="27">
        <f t="shared" si="10"/>
        <v>2.8333333333333335</v>
      </c>
      <c r="S36" s="18">
        <f t="shared" si="11"/>
        <v>89352000</v>
      </c>
      <c r="T36" s="159">
        <f t="shared" si="12"/>
        <v>1.4296649484501541E+19</v>
      </c>
      <c r="U36" s="159">
        <f t="shared" si="13"/>
        <v>2.0399820276114839E+21</v>
      </c>
      <c r="V36" s="159">
        <f t="shared" si="14"/>
        <v>8.1580858668024778E+20</v>
      </c>
      <c r="W36" s="159">
        <f t="shared" si="15"/>
        <v>1.2264450049753385E+20</v>
      </c>
      <c r="X36" s="159">
        <f t="shared" si="16"/>
        <v>5.9020096895397331E+19</v>
      </c>
      <c r="Y36" s="159">
        <f t="shared" si="17"/>
        <v>3.0950060949190124E+19</v>
      </c>
      <c r="Z36" s="159">
        <f t="shared" si="18"/>
        <v>4.2947525675835679E+19</v>
      </c>
      <c r="AA36" s="159">
        <f t="shared" si="19"/>
        <v>1.5246836970920421E+22</v>
      </c>
      <c r="AB36" s="24"/>
    </row>
    <row r="37" spans="2:28">
      <c r="O37" s="111">
        <v>-3.121387345649784E-13</v>
      </c>
      <c r="Q37" s="107">
        <v>35</v>
      </c>
      <c r="R37" s="27">
        <f t="shared" si="10"/>
        <v>2.9166666666666665</v>
      </c>
      <c r="S37" s="18">
        <f t="shared" si="11"/>
        <v>91980000</v>
      </c>
      <c r="T37" s="159">
        <f t="shared" si="12"/>
        <v>1.4259124829381198E+19</v>
      </c>
      <c r="U37" s="159">
        <f t="shared" si="13"/>
        <v>2.0355226186812212E+21</v>
      </c>
      <c r="V37" s="159">
        <f t="shared" si="14"/>
        <v>8.1787143423904422E+20</v>
      </c>
      <c r="W37" s="159">
        <f t="shared" si="15"/>
        <v>1.2232554815109372E+20</v>
      </c>
      <c r="X37" s="159">
        <f t="shared" si="16"/>
        <v>5.918334581815876E+19</v>
      </c>
      <c r="Y37" s="159">
        <f t="shared" si="17"/>
        <v>3.0879494746996228E+19</v>
      </c>
      <c r="Z37" s="159">
        <f t="shared" si="18"/>
        <v>4.2037776692482064E+19</v>
      </c>
      <c r="AA37" s="159">
        <f t="shared" si="19"/>
        <v>1.5203399524515026E+22</v>
      </c>
      <c r="AB37" s="24"/>
    </row>
    <row r="38" spans="2:28">
      <c r="O38" s="111">
        <v>3.9076297987320543E-13</v>
      </c>
      <c r="Q38" s="107">
        <v>36</v>
      </c>
      <c r="R38" s="27">
        <f t="shared" si="10"/>
        <v>3</v>
      </c>
      <c r="S38" s="18">
        <f t="shared" si="11"/>
        <v>94608000</v>
      </c>
      <c r="T38" s="159">
        <f t="shared" si="12"/>
        <v>1.4218018358146753E+19</v>
      </c>
      <c r="U38" s="159">
        <f t="shared" si="13"/>
        <v>2.031048917323264E+21</v>
      </c>
      <c r="V38" s="159">
        <f t="shared" si="14"/>
        <v>8.1989942499935571E+20</v>
      </c>
      <c r="W38" s="159">
        <f t="shared" si="15"/>
        <v>1.2202447149447591E+20</v>
      </c>
      <c r="X38" s="159">
        <f t="shared" si="16"/>
        <v>5.9344079127252533E+19</v>
      </c>
      <c r="Y38" s="159">
        <f t="shared" si="17"/>
        <v>3.0808966893925032E+19</v>
      </c>
      <c r="Z38" s="159">
        <f t="shared" si="18"/>
        <v>4.1147298742783795E+19</v>
      </c>
      <c r="AA38" s="159">
        <f t="shared" si="19"/>
        <v>1.5160085829137721E+22</v>
      </c>
      <c r="AB38" s="24"/>
    </row>
    <row r="39" spans="2:28">
      <c r="O39" s="111">
        <v>2.333677993779929E-14</v>
      </c>
      <c r="Q39" s="107">
        <v>37</v>
      </c>
      <c r="R39" s="27">
        <f t="shared" si="10"/>
        <v>3.0833333333333335</v>
      </c>
      <c r="S39" s="18">
        <f t="shared" si="11"/>
        <v>97236000</v>
      </c>
      <c r="T39" s="159">
        <f t="shared" si="12"/>
        <v>1.4173478141643727E+19</v>
      </c>
      <c r="U39" s="159">
        <f t="shared" si="13"/>
        <v>2.0265614870264134E+21</v>
      </c>
      <c r="V39" s="159">
        <f t="shared" si="14"/>
        <v>8.218927751710258E+20</v>
      </c>
      <c r="W39" s="159">
        <f t="shared" si="15"/>
        <v>1.2174059525433211E+20</v>
      </c>
      <c r="X39" s="159">
        <f t="shared" si="16"/>
        <v>5.9502385441072939E+19</v>
      </c>
      <c r="Y39" s="159">
        <f t="shared" si="17"/>
        <v>3.07385467614005E+19</v>
      </c>
      <c r="Z39" s="159">
        <f t="shared" si="18"/>
        <v>4.0275683612227936E+19</v>
      </c>
      <c r="AA39" s="159">
        <f t="shared" si="19"/>
        <v>1.5116895532228253E+22</v>
      </c>
      <c r="AB39" s="24"/>
    </row>
    <row r="40" spans="2:28">
      <c r="Q40" s="107">
        <v>38</v>
      </c>
      <c r="R40" s="27">
        <f t="shared" si="10"/>
        <v>3.1666666666666665</v>
      </c>
      <c r="S40" s="18">
        <f t="shared" si="11"/>
        <v>99864000</v>
      </c>
      <c r="T40" s="159">
        <f t="shared" si="12"/>
        <v>1.4125647923184771E+19</v>
      </c>
      <c r="U40" s="159">
        <f t="shared" si="13"/>
        <v>2.0220608798471954E+21</v>
      </c>
      <c r="V40" s="159">
        <f t="shared" si="14"/>
        <v>8.2385170158430899E+20</v>
      </c>
      <c r="W40" s="159">
        <f t="shared" si="15"/>
        <v>1.2147326518532859E+20</v>
      </c>
      <c r="X40" s="159">
        <f t="shared" si="16"/>
        <v>5.9658350210799796E+19</v>
      </c>
      <c r="Y40" s="159">
        <f t="shared" si="17"/>
        <v>3.0668299809904476E+19</v>
      </c>
      <c r="Z40" s="159">
        <f t="shared" si="18"/>
        <v>3.9422531733429191E+19</v>
      </c>
      <c r="AA40" s="159">
        <f t="shared" si="19"/>
        <v>1.5073828282230796E+22</v>
      </c>
      <c r="AB40" s="24"/>
    </row>
    <row r="41" spans="2:28" ht="15">
      <c r="F41" s="120" t="s">
        <v>170</v>
      </c>
      <c r="G41" s="120" t="s">
        <v>171</v>
      </c>
      <c r="H41" s="120" t="s">
        <v>172</v>
      </c>
      <c r="I41" s="120" t="s">
        <v>173</v>
      </c>
      <c r="J41" s="120" t="s">
        <v>174</v>
      </c>
      <c r="K41" s="120" t="s">
        <v>175</v>
      </c>
      <c r="L41" s="120" t="s">
        <v>176</v>
      </c>
      <c r="M41" s="120" t="s">
        <v>177</v>
      </c>
      <c r="N41" s="108" t="s">
        <v>153</v>
      </c>
      <c r="Q41" s="107">
        <v>39</v>
      </c>
      <c r="R41" s="27">
        <f t="shared" si="10"/>
        <v>3.25</v>
      </c>
      <c r="S41" s="18">
        <f t="shared" si="11"/>
        <v>102492000</v>
      </c>
      <c r="T41" s="159">
        <f t="shared" si="12"/>
        <v>1.4074667229865353E+19</v>
      </c>
      <c r="U41" s="159">
        <f t="shared" si="13"/>
        <v>2.0175476366213047E+21</v>
      </c>
      <c r="V41" s="159">
        <f t="shared" si="14"/>
        <v>8.2577642163779863E+20</v>
      </c>
      <c r="W41" s="159">
        <f t="shared" si="15"/>
        <v>1.2122184744532797E+20</v>
      </c>
      <c r="X41" s="159">
        <f t="shared" si="16"/>
        <v>5.9812055818238394E+19</v>
      </c>
      <c r="Y41" s="159">
        <f t="shared" si="17"/>
        <v>3.0598287742499062E+19</v>
      </c>
      <c r="Z41" s="159">
        <f t="shared" si="18"/>
        <v>3.8587452002959606E+19</v>
      </c>
      <c r="AA41" s="159">
        <f t="shared" si="19"/>
        <v>1.5030883728591096E+22</v>
      </c>
      <c r="AB41" s="24"/>
    </row>
    <row r="42" spans="2:28" ht="15">
      <c r="C42" s="109" t="s">
        <v>179</v>
      </c>
      <c r="D42" s="109" t="s">
        <v>180</v>
      </c>
      <c r="E42" s="110"/>
      <c r="F42" s="111">
        <f>F29</f>
        <v>-6.3293664152644187</v>
      </c>
      <c r="G42" s="111">
        <f>G30</f>
        <v>-7.6746263231083107</v>
      </c>
      <c r="H42" s="111">
        <f>H31</f>
        <v>-3.0092529569266895</v>
      </c>
      <c r="I42" s="111">
        <f>I32</f>
        <v>-11.523237401921893</v>
      </c>
      <c r="J42" s="111">
        <f>J33</f>
        <v>-2.5875525259194117</v>
      </c>
      <c r="K42" s="111">
        <f>K34</f>
        <v>-6.9476207224624007</v>
      </c>
      <c r="L42" s="111">
        <f>L35</f>
        <v>-8.1470236973063681</v>
      </c>
      <c r="M42" s="111">
        <f>M36</f>
        <v>-1.0856217745220376</v>
      </c>
      <c r="O42" s="111">
        <f t="array" ref="O42:O49">MMULT($F$2:$M$9,O32:O39)</f>
        <v>2.1270988774582018E-21</v>
      </c>
      <c r="Q42" s="107">
        <v>40</v>
      </c>
      <c r="R42" s="27">
        <f t="shared" si="10"/>
        <v>3.3333333333333335</v>
      </c>
      <c r="S42" s="18">
        <f t="shared" si="11"/>
        <v>105120000</v>
      </c>
      <c r="T42" s="159">
        <f t="shared" si="12"/>
        <v>1.402067148119724E+19</v>
      </c>
      <c r="U42" s="159">
        <f t="shared" si="13"/>
        <v>2.0130222871713106E+21</v>
      </c>
      <c r="V42" s="159">
        <f t="shared" si="14"/>
        <v>8.2766715324764075E+20</v>
      </c>
      <c r="W42" s="159">
        <f t="shared" si="15"/>
        <v>1.2098572798899788E+20</v>
      </c>
      <c r="X42" s="159">
        <f t="shared" si="16"/>
        <v>5.9963581670798492E+19</v>
      </c>
      <c r="Y42" s="159">
        <f t="shared" si="17"/>
        <v>3.0528568653111886E+19</v>
      </c>
      <c r="Z42" s="159">
        <f t="shared" si="18"/>
        <v>3.7770061602058101E+19</v>
      </c>
      <c r="AA42" s="159">
        <f t="shared" si="19"/>
        <v>1.4988061521753596E+22</v>
      </c>
      <c r="AB42" s="24"/>
    </row>
    <row r="43" spans="2:28">
      <c r="B43" s="121"/>
      <c r="C43" s="110">
        <f t="array" ref="C43:C51">[2]!MatCharPoly(F29:M36)</f>
        <v>267824.46833787952</v>
      </c>
      <c r="D43" s="122" t="s">
        <v>181</v>
      </c>
      <c r="E43" s="122" t="s">
        <v>120</v>
      </c>
      <c r="H43" s="19"/>
      <c r="I43" s="19"/>
      <c r="J43" s="19"/>
      <c r="K43" s="19"/>
      <c r="L43" s="19"/>
      <c r="M43" s="19"/>
      <c r="O43" s="111">
        <v>3.1954760263375258E-21</v>
      </c>
      <c r="Q43" s="107">
        <v>41</v>
      </c>
      <c r="R43" s="27">
        <f t="shared" si="10"/>
        <v>3.4166666666666665</v>
      </c>
      <c r="S43" s="18">
        <f t="shared" si="11"/>
        <v>107748000</v>
      </c>
      <c r="T43" s="159">
        <f t="shared" si="12"/>
        <v>1.3963792095122317E+19</v>
      </c>
      <c r="U43" s="159">
        <f t="shared" si="13"/>
        <v>2.0084853505106971E+21</v>
      </c>
      <c r="V43" s="159">
        <f t="shared" si="14"/>
        <v>8.2952411479800414E+20</v>
      </c>
      <c r="W43" s="159">
        <f t="shared" si="15"/>
        <v>1.2076431197930367E+20</v>
      </c>
      <c r="X43" s="159">
        <f t="shared" si="16"/>
        <v>6.011300429370386E+19</v>
      </c>
      <c r="Y43" s="159">
        <f t="shared" si="17"/>
        <v>3.0459197169751212E+19</v>
      </c>
      <c r="Z43" s="159">
        <f t="shared" si="18"/>
        <v>3.69699858211381E+19</v>
      </c>
      <c r="AA43" s="159">
        <f t="shared" si="19"/>
        <v>1.4945361313158622E+22</v>
      </c>
      <c r="AB43" s="24"/>
    </row>
    <row r="44" spans="2:28">
      <c r="B44" s="121"/>
      <c r="C44" s="110">
        <v>611084.73892968625</v>
      </c>
      <c r="D44" s="110">
        <f t="array" ref="D44:E51">[2]!Poly_Roots(C43:C51)</f>
        <v>-11.523237345158456</v>
      </c>
      <c r="E44" s="110">
        <v>0</v>
      </c>
      <c r="F44" s="120" t="s">
        <v>182</v>
      </c>
      <c r="I44" s="19"/>
      <c r="J44" s="19"/>
      <c r="K44" s="19"/>
      <c r="L44" s="19"/>
      <c r="M44" s="19"/>
      <c r="O44" s="111">
        <v>-9.6661816636652169E-22</v>
      </c>
      <c r="Q44" s="107">
        <v>42</v>
      </c>
      <c r="R44" s="27">
        <f t="shared" si="10"/>
        <v>3.5</v>
      </c>
      <c r="S44" s="18">
        <f t="shared" si="11"/>
        <v>110376000</v>
      </c>
      <c r="T44" s="159">
        <f t="shared" si="12"/>
        <v>1.390415659146693E+19</v>
      </c>
      <c r="U44" s="159">
        <f t="shared" si="13"/>
        <v>2.0039373350442867E+21</v>
      </c>
      <c r="V44" s="159">
        <f t="shared" si="14"/>
        <v>8.3134752509278251E+20</v>
      </c>
      <c r="W44" s="159">
        <f t="shared" si="15"/>
        <v>1.2055702321635487E+20</v>
      </c>
      <c r="X44" s="159">
        <f t="shared" si="16"/>
        <v>6.0260397419508695E+19</v>
      </c>
      <c r="Y44" s="159">
        <f t="shared" si="17"/>
        <v>3.0390224592814137E+19</v>
      </c>
      <c r="Z44" s="159">
        <f t="shared" si="18"/>
        <v>3.6186857888012456E+19</v>
      </c>
      <c r="AA44" s="159">
        <f t="shared" si="19"/>
        <v>1.4902782755239511E+22</v>
      </c>
      <c r="AB44" s="24"/>
    </row>
    <row r="45" spans="2:28">
      <c r="B45" s="121"/>
      <c r="C45" s="110">
        <v>537316.71940643399</v>
      </c>
      <c r="D45" s="110">
        <v>-8.1437078205125637</v>
      </c>
      <c r="E45" s="110">
        <v>0</v>
      </c>
      <c r="F45" s="111">
        <f t="array" ref="F45:M52">[2]!SYSLINSING(F$29:M$36-F42*[2]!M_ID(),,0.001)</f>
        <v>0</v>
      </c>
      <c r="G45" s="111">
        <v>0</v>
      </c>
      <c r="H45" s="111">
        <v>0</v>
      </c>
      <c r="I45" s="111">
        <v>0</v>
      </c>
      <c r="J45" s="111">
        <v>0</v>
      </c>
      <c r="K45" s="111">
        <v>-2.1514572526088229</v>
      </c>
      <c r="L45" s="111">
        <v>0</v>
      </c>
      <c r="M45" s="111">
        <v>0</v>
      </c>
      <c r="O45" s="111">
        <v>-1.4882953036579761E-20</v>
      </c>
      <c r="Q45" s="107">
        <v>43</v>
      </c>
      <c r="R45" s="27">
        <f t="shared" si="10"/>
        <v>3.5833333333333335</v>
      </c>
      <c r="S45" s="18">
        <f t="shared" si="11"/>
        <v>113004000</v>
      </c>
      <c r="T45" s="159">
        <f t="shared" si="12"/>
        <v>1.3841888692896809E+19</v>
      </c>
      <c r="U45" s="159">
        <f t="shared" si="13"/>
        <v>1.9993787387651194E+21</v>
      </c>
      <c r="V45" s="159">
        <f t="shared" si="14"/>
        <v>8.3313760330850697E+20</v>
      </c>
      <c r="W45" s="159">
        <f t="shared" si="15"/>
        <v>1.203633035830946E+20</v>
      </c>
      <c r="X45" s="159">
        <f t="shared" si="16"/>
        <v>6.0405832074996777E+19</v>
      </c>
      <c r="Y45" s="159">
        <f t="shared" si="17"/>
        <v>3.0321699028643447E+19</v>
      </c>
      <c r="Z45" s="159">
        <f t="shared" si="18"/>
        <v>3.5420318799757042E+19</v>
      </c>
      <c r="AA45" s="159">
        <f t="shared" si="19"/>
        <v>1.4860325501419815E+22</v>
      </c>
      <c r="AB45" s="24"/>
    </row>
    <row r="46" spans="2:28">
      <c r="B46" s="121"/>
      <c r="C46" s="110">
        <v>244785.97369144671</v>
      </c>
      <c r="D46" s="110">
        <v>-7.6790945656458547</v>
      </c>
      <c r="E46" s="110">
        <v>0</v>
      </c>
      <c r="F46" s="111">
        <v>0</v>
      </c>
      <c r="G46" s="111">
        <v>0</v>
      </c>
      <c r="H46" s="111">
        <v>0</v>
      </c>
      <c r="I46" s="111">
        <v>0</v>
      </c>
      <c r="J46" s="111">
        <v>0</v>
      </c>
      <c r="K46" s="111">
        <v>-2.7645365623847336</v>
      </c>
      <c r="L46" s="111">
        <v>0</v>
      </c>
      <c r="M46" s="111">
        <v>0</v>
      </c>
      <c r="O46" s="111">
        <v>2.2938003601636916E-21</v>
      </c>
      <c r="Q46" s="107">
        <v>44</v>
      </c>
      <c r="R46" s="27">
        <f t="shared" si="10"/>
        <v>3.6666666666666665</v>
      </c>
      <c r="S46" s="18">
        <f t="shared" si="11"/>
        <v>115632000</v>
      </c>
      <c r="T46" s="159">
        <f t="shared" si="12"/>
        <v>1.3777108423429964E+19</v>
      </c>
      <c r="U46" s="159">
        <f t="shared" si="13"/>
        <v>1.9948100494478431E+21</v>
      </c>
      <c r="V46" s="159">
        <f t="shared" si="14"/>
        <v>8.3489456894843945E+20</v>
      </c>
      <c r="W46" s="159">
        <f t="shared" si="15"/>
        <v>1.2018261250733274E+20</v>
      </c>
      <c r="X46" s="159">
        <f t="shared" si="16"/>
        <v>6.0549376665543246E+19</v>
      </c>
      <c r="Y46" s="159">
        <f t="shared" si="17"/>
        <v>3.0253665518486462E+19</v>
      </c>
      <c r="Z46" s="159">
        <f t="shared" si="18"/>
        <v>3.4670017158136033E+19</v>
      </c>
      <c r="AA46" s="159">
        <f t="shared" si="19"/>
        <v>1.4817989206110452E+22</v>
      </c>
      <c r="AB46" s="24"/>
    </row>
    <row r="47" spans="2:28">
      <c r="B47" s="121"/>
      <c r="C47" s="110">
        <v>64285.712580745494</v>
      </c>
      <c r="D47" s="110">
        <v>-6.947621210966421</v>
      </c>
      <c r="E47" s="110">
        <v>0</v>
      </c>
      <c r="F47" s="111">
        <v>0</v>
      </c>
      <c r="G47" s="111">
        <v>0</v>
      </c>
      <c r="H47" s="111">
        <v>0</v>
      </c>
      <c r="I47" s="111">
        <v>0</v>
      </c>
      <c r="J47" s="111">
        <v>0</v>
      </c>
      <c r="K47" s="111">
        <v>1.3251639283286381</v>
      </c>
      <c r="L47" s="111">
        <v>0</v>
      </c>
      <c r="M47" s="111">
        <v>0</v>
      </c>
      <c r="O47" s="111">
        <v>4.166228089224859E-21</v>
      </c>
      <c r="Q47" s="107">
        <v>45</v>
      </c>
      <c r="R47" s="27">
        <f t="shared" si="10"/>
        <v>3.75</v>
      </c>
      <c r="S47" s="18">
        <f t="shared" si="11"/>
        <v>118260000</v>
      </c>
      <c r="T47" s="159">
        <f t="shared" si="12"/>
        <v>1.3709932204564787E+19</v>
      </c>
      <c r="U47" s="159">
        <f t="shared" si="13"/>
        <v>1.9902317448386692E+21</v>
      </c>
      <c r="V47" s="159">
        <f t="shared" si="14"/>
        <v>8.3661864179782818E+20</v>
      </c>
      <c r="W47" s="159">
        <f t="shared" si="15"/>
        <v>1.2001442643964145E+20</v>
      </c>
      <c r="X47" s="159">
        <f t="shared" si="16"/>
        <v>6.0691097057009533E+19</v>
      </c>
      <c r="Y47" s="159">
        <f t="shared" si="17"/>
        <v>3.0186166163003269E+19</v>
      </c>
      <c r="Z47" s="159">
        <f t="shared" si="18"/>
        <v>3.393560900851327E+19</v>
      </c>
      <c r="AA47" s="159">
        <f t="shared" si="19"/>
        <v>1.4775773524706908E+22</v>
      </c>
      <c r="AB47" s="24"/>
    </row>
    <row r="48" spans="2:28">
      <c r="B48" s="121"/>
      <c r="C48" s="110">
        <v>10101.398417224189</v>
      </c>
      <c r="D48" s="110">
        <v>-6.3282140241947022</v>
      </c>
      <c r="E48" s="110">
        <v>0</v>
      </c>
      <c r="F48" s="111">
        <v>0</v>
      </c>
      <c r="G48" s="111">
        <v>0</v>
      </c>
      <c r="H48" s="111">
        <v>0</v>
      </c>
      <c r="I48" s="111">
        <v>0</v>
      </c>
      <c r="J48" s="111">
        <v>0</v>
      </c>
      <c r="K48" s="111">
        <v>0.40294236133925521</v>
      </c>
      <c r="L48" s="111">
        <v>0</v>
      </c>
      <c r="M48" s="111">
        <v>0</v>
      </c>
      <c r="O48" s="111">
        <v>-3.1839786044331222E-21</v>
      </c>
      <c r="Q48" s="107">
        <v>46</v>
      </c>
      <c r="R48" s="27">
        <f t="shared" si="10"/>
        <v>3.8333333333333335</v>
      </c>
      <c r="S48" s="18">
        <f t="shared" si="11"/>
        <v>120888000</v>
      </c>
      <c r="T48" s="159">
        <f t="shared" si="12"/>
        <v>1.3640472949078483E+19</v>
      </c>
      <c r="U48" s="159">
        <f t="shared" si="13"/>
        <v>1.9856442928419606E+21</v>
      </c>
      <c r="V48" s="159">
        <f t="shared" si="14"/>
        <v>8.3831004188029839E+20</v>
      </c>
      <c r="W48" s="159">
        <f t="shared" si="15"/>
        <v>1.198582383466437E+20</v>
      </c>
      <c r="X48" s="159">
        <f t="shared" si="16"/>
        <v>6.0831056655242625E+19</v>
      </c>
      <c r="Y48" s="159">
        <f t="shared" si="17"/>
        <v>3.0119240242466505E+19</v>
      </c>
      <c r="Z48" s="159">
        <f t="shared" si="18"/>
        <v>3.3216757682175943E+19</v>
      </c>
      <c r="AA48" s="159">
        <f t="shared" si="19"/>
        <v>1.4733678113586439E+22</v>
      </c>
      <c r="AB48" s="24"/>
    </row>
    <row r="49" spans="2:28">
      <c r="B49" s="121"/>
      <c r="C49" s="110">
        <v>937.18908344872</v>
      </c>
      <c r="D49" s="110">
        <v>-3.009245162795835</v>
      </c>
      <c r="E49" s="110">
        <v>0</v>
      </c>
      <c r="F49" s="111">
        <v>0</v>
      </c>
      <c r="G49" s="111">
        <v>0</v>
      </c>
      <c r="H49" s="111">
        <v>0</v>
      </c>
      <c r="I49" s="111">
        <v>0</v>
      </c>
      <c r="J49" s="111">
        <v>0</v>
      </c>
      <c r="K49" s="111">
        <v>-0.38001565704035173</v>
      </c>
      <c r="L49" s="111">
        <v>0</v>
      </c>
      <c r="M49" s="111">
        <v>0</v>
      </c>
      <c r="O49" s="111">
        <v>-2.5346640970412979E-23</v>
      </c>
      <c r="Q49" s="107">
        <v>47</v>
      </c>
      <c r="R49" s="27">
        <f t="shared" si="10"/>
        <v>3.9166666666666665</v>
      </c>
      <c r="S49" s="18">
        <f t="shared" si="11"/>
        <v>123516000</v>
      </c>
      <c r="T49" s="159">
        <f t="shared" si="12"/>
        <v>1.3568840152550085E+19</v>
      </c>
      <c r="U49" s="159">
        <f t="shared" si="13"/>
        <v>1.9810481517035004E+21</v>
      </c>
      <c r="V49" s="159">
        <f t="shared" si="14"/>
        <v>8.3996898941535951E+20</v>
      </c>
      <c r="W49" s="159">
        <f t="shared" si="15"/>
        <v>1.1971355721924079E+20</v>
      </c>
      <c r="X49" s="159">
        <f t="shared" si="16"/>
        <v>6.0969316483249766E+19</v>
      </c>
      <c r="Y49" s="159">
        <f t="shared" si="17"/>
        <v>3.0052924332792742E+19</v>
      </c>
      <c r="Z49" s="159">
        <f t="shared" si="18"/>
        <v>3.251313364199834E+19</v>
      </c>
      <c r="AA49" s="159">
        <f t="shared" si="19"/>
        <v>1.4691702630105253E+22</v>
      </c>
      <c r="AB49" s="24"/>
    </row>
    <row r="50" spans="2:28">
      <c r="B50" s="123"/>
      <c r="C50" s="110">
        <v>47.304301817431536</v>
      </c>
      <c r="D50" s="110">
        <v>-2.5875611085875283</v>
      </c>
      <c r="E50" s="110">
        <v>0</v>
      </c>
      <c r="F50" s="111">
        <v>0</v>
      </c>
      <c r="G50" s="111">
        <v>0</v>
      </c>
      <c r="H50" s="111">
        <v>0</v>
      </c>
      <c r="I50" s="111">
        <v>0</v>
      </c>
      <c r="J50" s="111">
        <v>0</v>
      </c>
      <c r="K50" s="111">
        <v>1</v>
      </c>
      <c r="L50" s="111">
        <v>0</v>
      </c>
      <c r="M50" s="111">
        <v>0</v>
      </c>
      <c r="Q50" s="107">
        <v>48</v>
      </c>
      <c r="R50" s="27">
        <f t="shared" si="10"/>
        <v>4</v>
      </c>
      <c r="S50" s="18">
        <f t="shared" si="11"/>
        <v>126144000</v>
      </c>
      <c r="T50" s="159">
        <f t="shared" si="12"/>
        <v>1.3495139982661218E+19</v>
      </c>
      <c r="U50" s="159">
        <f t="shared" si="13"/>
        <v>1.9764437701905039E+21</v>
      </c>
      <c r="V50" s="159">
        <f t="shared" si="14"/>
        <v>8.4159570477699983E+20</v>
      </c>
      <c r="W50" s="159">
        <f t="shared" si="15"/>
        <v>1.1957990759533756E+20</v>
      </c>
      <c r="X50" s="159">
        <f t="shared" si="16"/>
        <v>6.1105935256113381E+19</v>
      </c>
      <c r="Y50" s="159">
        <f t="shared" si="17"/>
        <v>2.998725241753763E+19</v>
      </c>
      <c r="Z50" s="159">
        <f t="shared" si="18"/>
        <v>3.1824414331374805E+19</v>
      </c>
      <c r="AA50" s="159">
        <f t="shared" si="19"/>
        <v>1.4649846732595736E+22</v>
      </c>
      <c r="AB50" s="24"/>
    </row>
    <row r="51" spans="2:28">
      <c r="C51" s="110">
        <v>1</v>
      </c>
      <c r="D51" s="110">
        <v>-1.0856205795703424</v>
      </c>
      <c r="E51" s="110">
        <v>0</v>
      </c>
      <c r="F51" s="111">
        <v>0</v>
      </c>
      <c r="G51" s="111">
        <v>0</v>
      </c>
      <c r="H51" s="111">
        <v>0</v>
      </c>
      <c r="I51" s="111">
        <v>0</v>
      </c>
      <c r="J51" s="111">
        <v>0</v>
      </c>
      <c r="K51" s="111">
        <v>0</v>
      </c>
      <c r="L51" s="111">
        <v>0</v>
      </c>
      <c r="M51" s="111">
        <v>0</v>
      </c>
      <c r="Q51" s="107">
        <v>49</v>
      </c>
      <c r="R51" s="27">
        <f t="shared" si="10"/>
        <v>4.083333333333333</v>
      </c>
      <c r="S51" s="18">
        <f t="shared" si="11"/>
        <v>128772000</v>
      </c>
      <c r="T51" s="159">
        <f t="shared" si="12"/>
        <v>1.3419475366326006E+19</v>
      </c>
      <c r="U51" s="159">
        <f t="shared" si="13"/>
        <v>1.9718315877684242E+21</v>
      </c>
      <c r="V51" s="159">
        <f t="shared" si="14"/>
        <v>8.4319040845335482E+20</v>
      </c>
      <c r="W51" s="159">
        <f t="shared" si="15"/>
        <v>1.1945682909663679E+20</v>
      </c>
      <c r="X51" s="159">
        <f t="shared" si="16"/>
        <v>6.1240969453713359E+19</v>
      </c>
      <c r="Y51" s="159">
        <f t="shared" si="17"/>
        <v>2.9922255995987214E+19</v>
      </c>
      <c r="Z51" s="159">
        <f t="shared" si="18"/>
        <v>3.1150284026352775E+19</v>
      </c>
      <c r="AA51" s="159">
        <f t="shared" si="19"/>
        <v>1.4608110080363667E+22</v>
      </c>
      <c r="AB51" s="24"/>
    </row>
    <row r="52" spans="2:28">
      <c r="F52" s="111">
        <v>0</v>
      </c>
      <c r="G52" s="111">
        <v>0</v>
      </c>
      <c r="H52" s="111">
        <v>0</v>
      </c>
      <c r="I52" s="111">
        <v>0</v>
      </c>
      <c r="J52" s="111">
        <v>0</v>
      </c>
      <c r="K52" s="111">
        <v>0</v>
      </c>
      <c r="L52" s="111">
        <v>0</v>
      </c>
      <c r="M52" s="111">
        <v>0</v>
      </c>
      <c r="Q52" s="107">
        <v>50</v>
      </c>
      <c r="R52" s="27">
        <f t="shared" si="10"/>
        <v>4.166666666666667</v>
      </c>
      <c r="S52" s="18">
        <f t="shared" si="11"/>
        <v>131400000</v>
      </c>
      <c r="T52" s="159">
        <f t="shared" si="12"/>
        <v>1.3341946074701005E+19</v>
      </c>
      <c r="U52" s="159">
        <f t="shared" si="13"/>
        <v>1.9672120347746105E+21</v>
      </c>
      <c r="V52" s="159">
        <f t="shared" si="14"/>
        <v>8.447533210074191E+20</v>
      </c>
      <c r="W52" s="159">
        <f t="shared" si="15"/>
        <v>1.1934387597908858E+20</v>
      </c>
      <c r="X52" s="159">
        <f t="shared" si="16"/>
        <v>6.1374473391319024E+19</v>
      </c>
      <c r="Y52" s="159">
        <f t="shared" si="17"/>
        <v>2.9857964187469378E+19</v>
      </c>
      <c r="Z52" s="159">
        <f t="shared" si="18"/>
        <v>3.0490433690898047E+19</v>
      </c>
      <c r="AA52" s="159">
        <f t="shared" si="19"/>
        <v>1.4566492333685451E+22</v>
      </c>
      <c r="AB52" s="24"/>
    </row>
    <row r="53" spans="2:28">
      <c r="Q53" s="107">
        <v>51</v>
      </c>
      <c r="R53" s="27">
        <f t="shared" si="10"/>
        <v>4.25</v>
      </c>
      <c r="S53" s="18">
        <f t="shared" si="11"/>
        <v>134028000</v>
      </c>
      <c r="T53" s="159">
        <f t="shared" si="12"/>
        <v>1.3262648806124438E+19</v>
      </c>
      <c r="U53" s="159">
        <f t="shared" si="13"/>
        <v>1.9625855325888661E+21</v>
      </c>
      <c r="V53" s="159">
        <f t="shared" si="14"/>
        <v>8.4628466303878798E+20</v>
      </c>
      <c r="W53" s="159">
        <f t="shared" si="15"/>
        <v>1.1924061669659034E+20</v>
      </c>
      <c r="X53" s="159">
        <f t="shared" si="16"/>
        <v>6.1506499288112103E+19</v>
      </c>
      <c r="Y53" s="159">
        <f t="shared" si="17"/>
        <v>2.9794403832009032E+19</v>
      </c>
      <c r="Z53" s="159">
        <f t="shared" si="18"/>
        <v>2.9844560835225891E+19</v>
      </c>
      <c r="AA53" s="159">
        <f t="shared" si="19"/>
        <v>1.4524993153805335E+22</v>
      </c>
      <c r="AB53" s="24"/>
    </row>
    <row r="54" spans="2:28">
      <c r="F54" s="120" t="s">
        <v>183</v>
      </c>
      <c r="I54" s="19"/>
      <c r="J54" s="19"/>
      <c r="K54" s="19"/>
      <c r="L54" s="19"/>
      <c r="M54" s="19"/>
      <c r="Q54" s="107">
        <v>52</v>
      </c>
      <c r="R54" s="27">
        <f t="shared" si="10"/>
        <v>4.333333333333333</v>
      </c>
      <c r="S54" s="18">
        <f t="shared" si="11"/>
        <v>136656000</v>
      </c>
      <c r="T54" s="159">
        <f t="shared" si="12"/>
        <v>1.3181677267033182E+19</v>
      </c>
      <c r="U54" s="159">
        <f t="shared" si="13"/>
        <v>1.9579524938009687E+21</v>
      </c>
      <c r="V54" s="159">
        <f t="shared" si="14"/>
        <v>8.4778465514640245E+20</v>
      </c>
      <c r="W54" s="159">
        <f t="shared" si="15"/>
        <v>1.1914663347754736E+20</v>
      </c>
      <c r="X54" s="159">
        <f t="shared" si="16"/>
        <v>6.1637097333701181E+19</v>
      </c>
      <c r="Y54" s="159">
        <f t="shared" si="17"/>
        <v>2.9731599587444216E+19</v>
      </c>
      <c r="Z54" s="159">
        <f t="shared" si="18"/>
        <v>2.9212369377133162E+19</v>
      </c>
      <c r="AA54" s="159">
        <f t="shared" si="19"/>
        <v>1.4483612202932673E+22</v>
      </c>
      <c r="AB54" s="24"/>
    </row>
    <row r="55" spans="2:28">
      <c r="E55" s="24"/>
      <c r="F55" s="111">
        <f t="array" ref="F55:M62">[2]!SYSLINSING(F$29:M$36-G42*[2]!M_ID(),,0.001)</f>
        <v>0</v>
      </c>
      <c r="G55" s="111">
        <v>0</v>
      </c>
      <c r="H55" s="111">
        <v>0</v>
      </c>
      <c r="I55" s="111">
        <v>0</v>
      </c>
      <c r="J55" s="111">
        <v>0</v>
      </c>
      <c r="K55" s="111">
        <v>0</v>
      </c>
      <c r="L55" s="111">
        <v>0</v>
      </c>
      <c r="M55" s="111">
        <v>0</v>
      </c>
      <c r="Q55" s="107">
        <v>53</v>
      </c>
      <c r="R55" s="27">
        <f t="shared" si="10"/>
        <v>4.416666666666667</v>
      </c>
      <c r="S55" s="18">
        <f t="shared" si="11"/>
        <v>139284000</v>
      </c>
      <c r="T55" s="159">
        <f t="shared" si="12"/>
        <v>1.3099122250904539E+19</v>
      </c>
      <c r="U55" s="159">
        <f t="shared" si="13"/>
        <v>1.953313322375192E+21</v>
      </c>
      <c r="V55" s="159">
        <f t="shared" si="14"/>
        <v>8.4925351789228196E+20</v>
      </c>
      <c r="W55" s="159">
        <f t="shared" si="15"/>
        <v>1.1906152191391354E+20</v>
      </c>
      <c r="X55" s="159">
        <f t="shared" si="16"/>
        <v>6.1766315752685601E+19</v>
      </c>
      <c r="Y55" s="159">
        <f t="shared" si="17"/>
        <v>2.9669574023118959E+19</v>
      </c>
      <c r="Z55" s="159">
        <f t="shared" si="18"/>
        <v>2.8593569506267722E+19</v>
      </c>
      <c r="AA55" s="159">
        <f t="shared" si="19"/>
        <v>1.4442349144239172E+22</v>
      </c>
      <c r="AB55" s="24"/>
    </row>
    <row r="56" spans="2:28">
      <c r="F56" s="111">
        <v>0</v>
      </c>
      <c r="G56" s="111">
        <v>0</v>
      </c>
      <c r="H56" s="111">
        <v>0</v>
      </c>
      <c r="I56" s="111">
        <v>0</v>
      </c>
      <c r="J56" s="111">
        <v>0</v>
      </c>
      <c r="K56" s="111">
        <v>3.384848947040207</v>
      </c>
      <c r="L56" s="111">
        <v>0</v>
      </c>
      <c r="M56" s="111">
        <v>0</v>
      </c>
      <c r="Q56" s="107">
        <v>54</v>
      </c>
      <c r="R56" s="27">
        <f t="shared" si="10"/>
        <v>4.5</v>
      </c>
      <c r="S56" s="18">
        <f t="shared" si="11"/>
        <v>141912000</v>
      </c>
      <c r="T56" s="159">
        <f t="shared" si="12"/>
        <v>1.3015071715269087E+19</v>
      </c>
      <c r="U56" s="159">
        <f t="shared" si="13"/>
        <v>1.9486684138118911E+21</v>
      </c>
      <c r="V56" s="159">
        <f t="shared" si="14"/>
        <v>8.506914717662169E+20</v>
      </c>
      <c r="W56" s="159">
        <f t="shared" si="15"/>
        <v>1.1898489056234448E+20</v>
      </c>
      <c r="X56" s="159">
        <f t="shared" si="16"/>
        <v>6.1894200867322692E+19</v>
      </c>
      <c r="Y56" s="159">
        <f t="shared" si="17"/>
        <v>2.9608347710262706E+19</v>
      </c>
      <c r="Z56" s="159">
        <f t="shared" si="18"/>
        <v>2.7987877551273116E+19</v>
      </c>
      <c r="AA56" s="159">
        <f t="shared" si="19"/>
        <v>1.4401203641856129E+22</v>
      </c>
      <c r="AB56" s="24"/>
    </row>
    <row r="57" spans="2:28">
      <c r="F57" s="111">
        <v>0</v>
      </c>
      <c r="G57" s="111">
        <v>0</v>
      </c>
      <c r="H57" s="111">
        <v>0</v>
      </c>
      <c r="I57" s="111">
        <v>0</v>
      </c>
      <c r="J57" s="111">
        <v>0</v>
      </c>
      <c r="K57" s="111">
        <v>-1.1546572305844216</v>
      </c>
      <c r="L57" s="111">
        <v>0</v>
      </c>
      <c r="M57" s="111">
        <v>0</v>
      </c>
      <c r="Q57" s="107">
        <v>55</v>
      </c>
      <c r="R57" s="27">
        <f t="shared" si="10"/>
        <v>4.583333333333333</v>
      </c>
      <c r="S57" s="18">
        <f t="shared" si="11"/>
        <v>144540000</v>
      </c>
      <c r="T57" s="159">
        <f t="shared" si="12"/>
        <v>1.2929610856839643E+19</v>
      </c>
      <c r="U57" s="159">
        <f t="shared" si="13"/>
        <v>1.9440181553061956E+21</v>
      </c>
      <c r="V57" s="159">
        <f t="shared" si="14"/>
        <v>8.5209873715141332E+20</v>
      </c>
      <c r="W57" s="159">
        <f t="shared" si="15"/>
        <v>1.1891636055710592E+20</v>
      </c>
      <c r="X57" s="159">
        <f t="shared" si="16"/>
        <v>6.202079715835809E+19</v>
      </c>
      <c r="Y57" s="159">
        <f t="shared" si="17"/>
        <v>2.9547939309164913E+19</v>
      </c>
      <c r="Z57" s="159">
        <f t="shared" si="18"/>
        <v>2.7395015849747378E+19</v>
      </c>
      <c r="AA57" s="159">
        <f t="shared" si="19"/>
        <v>1.4360175360871728E+22</v>
      </c>
      <c r="AB57" s="24"/>
    </row>
    <row r="58" spans="2:28">
      <c r="F58" s="111">
        <v>0</v>
      </c>
      <c r="G58" s="111">
        <v>0</v>
      </c>
      <c r="H58" s="111">
        <v>0</v>
      </c>
      <c r="I58" s="111">
        <v>0</v>
      </c>
      <c r="J58" s="111">
        <v>0</v>
      </c>
      <c r="K58" s="111">
        <v>-0.4738201578550727</v>
      </c>
      <c r="L58" s="111">
        <v>0</v>
      </c>
      <c r="M58" s="111">
        <v>0</v>
      </c>
      <c r="Q58" s="107">
        <v>56</v>
      </c>
      <c r="R58" s="27">
        <f t="shared" si="10"/>
        <v>4.666666666666667</v>
      </c>
      <c r="S58" s="18">
        <f t="shared" si="11"/>
        <v>147168000</v>
      </c>
      <c r="T58" s="159">
        <f t="shared" si="12"/>
        <v>1.2842822184800502E+19</v>
      </c>
      <c r="U58" s="159">
        <f t="shared" si="13"/>
        <v>1.9393629259038615E+21</v>
      </c>
      <c r="V58" s="159">
        <f t="shared" si="14"/>
        <v>8.5347553429105659E+20</v>
      </c>
      <c r="W58" s="159">
        <f t="shared" si="15"/>
        <v>1.188555652343893E+20</v>
      </c>
      <c r="X58" s="159">
        <f t="shared" si="16"/>
        <v>6.2146147324065317E+19</v>
      </c>
      <c r="Y58" s="159">
        <f t="shared" si="17"/>
        <v>2.9488365653248762E+19</v>
      </c>
      <c r="Z58" s="159">
        <f t="shared" si="18"/>
        <v>2.681471262095657E+19</v>
      </c>
      <c r="AA58" s="159">
        <f t="shared" si="19"/>
        <v>1.4319263967328294E+22</v>
      </c>
      <c r="AB58" s="24"/>
    </row>
    <row r="59" spans="2:28">
      <c r="F59" s="111">
        <v>0</v>
      </c>
      <c r="G59" s="111">
        <v>0</v>
      </c>
      <c r="H59" s="111">
        <v>0</v>
      </c>
      <c r="I59" s="111">
        <v>0</v>
      </c>
      <c r="J59" s="111">
        <v>0</v>
      </c>
      <c r="K59" s="111">
        <v>-1.151930146645622E-2</v>
      </c>
      <c r="L59" s="111">
        <v>0</v>
      </c>
      <c r="M59" s="111">
        <v>0</v>
      </c>
      <c r="Q59" s="107">
        <v>57</v>
      </c>
      <c r="R59" s="27">
        <f t="shared" si="10"/>
        <v>4.75</v>
      </c>
      <c r="S59" s="18">
        <f t="shared" si="11"/>
        <v>149796000</v>
      </c>
      <c r="T59" s="159">
        <f t="shared" si="12"/>
        <v>1.2754785592299831E+19</v>
      </c>
      <c r="U59" s="159">
        <f t="shared" si="13"/>
        <v>1.9347030966543298E+21</v>
      </c>
      <c r="V59" s="159">
        <f t="shared" si="14"/>
        <v>8.5482208325578811E+20</v>
      </c>
      <c r="W59" s="159">
        <f t="shared" si="15"/>
        <v>1.1880214976769994E+20</v>
      </c>
      <c r="X59" s="159">
        <f t="shared" si="16"/>
        <v>6.2270292337553637E+19</v>
      </c>
      <c r="Y59" s="159">
        <f t="shared" si="17"/>
        <v>2.9429641830144369E+19</v>
      </c>
      <c r="Z59" s="159">
        <f t="shared" si="18"/>
        <v>2.6246701841244516E+19</v>
      </c>
      <c r="AA59" s="159">
        <f t="shared" si="19"/>
        <v>1.4278469128219582E+22</v>
      </c>
      <c r="AB59" s="24"/>
    </row>
    <row r="60" spans="2:28">
      <c r="F60" s="111">
        <v>0</v>
      </c>
      <c r="G60" s="111">
        <v>0</v>
      </c>
      <c r="H60" s="111">
        <v>0</v>
      </c>
      <c r="I60" s="111">
        <v>0</v>
      </c>
      <c r="J60" s="111">
        <v>0</v>
      </c>
      <c r="K60" s="111">
        <v>1</v>
      </c>
      <c r="L60" s="111">
        <v>0</v>
      </c>
      <c r="M60" s="111">
        <v>0</v>
      </c>
      <c r="Q60" s="107">
        <v>58</v>
      </c>
      <c r="R60" s="27">
        <f t="shared" si="10"/>
        <v>4.833333333333333</v>
      </c>
      <c r="S60" s="18">
        <f t="shared" si="11"/>
        <v>152424000</v>
      </c>
      <c r="T60" s="159">
        <f t="shared" si="12"/>
        <v>1.2665578426187432E+19</v>
      </c>
      <c r="U60" s="159">
        <f t="shared" si="13"/>
        <v>1.9300390307610406E+21</v>
      </c>
      <c r="V60" s="159">
        <f t="shared" si="14"/>
        <v>8.5613860391206401E+20</v>
      </c>
      <c r="W60" s="159">
        <f t="shared" si="15"/>
        <v>1.1875577081398911E+20</v>
      </c>
      <c r="X60" s="159">
        <f t="shared" si="16"/>
        <v>6.2393271502388298E+19</v>
      </c>
      <c r="Y60" s="159">
        <f t="shared" si="17"/>
        <v>2.9371781259860771E+19</v>
      </c>
      <c r="Z60" s="159">
        <f t="shared" si="18"/>
        <v>2.5690723122081833E+19</v>
      </c>
      <c r="AA60" s="159">
        <f t="shared" si="19"/>
        <v>1.4237790511488058E+22</v>
      </c>
      <c r="AB60" s="24"/>
    </row>
    <row r="61" spans="2:28">
      <c r="F61" s="111">
        <v>0</v>
      </c>
      <c r="G61" s="111">
        <v>0</v>
      </c>
      <c r="H61" s="111">
        <v>0</v>
      </c>
      <c r="I61" s="111">
        <v>0</v>
      </c>
      <c r="J61" s="111">
        <v>0</v>
      </c>
      <c r="K61" s="111">
        <v>0</v>
      </c>
      <c r="L61" s="111">
        <v>0</v>
      </c>
      <c r="M61" s="111">
        <v>0</v>
      </c>
      <c r="Q61" s="107">
        <v>59</v>
      </c>
      <c r="R61" s="27">
        <f t="shared" si="10"/>
        <v>4.916666666666667</v>
      </c>
      <c r="S61" s="18">
        <f t="shared" si="11"/>
        <v>155052000</v>
      </c>
      <c r="T61" s="159">
        <f t="shared" si="12"/>
        <v>1.2575275555039142E+19</v>
      </c>
      <c r="U61" s="159">
        <f t="shared" si="13"/>
        <v>1.9253710837290492E+21</v>
      </c>
      <c r="V61" s="159">
        <f t="shared" si="14"/>
        <v>8.5742531589138874E+20</v>
      </c>
      <c r="W61" s="159">
        <f t="shared" si="15"/>
        <v>1.1871609617021479E+20</v>
      </c>
      <c r="X61" s="159">
        <f t="shared" si="16"/>
        <v>6.2515122506572857E+19</v>
      </c>
      <c r="Y61" s="159">
        <f t="shared" si="17"/>
        <v>2.9314795770150035E+19</v>
      </c>
      <c r="Z61" s="159">
        <f t="shared" si="18"/>
        <v>2.5146521590698074E+19</v>
      </c>
      <c r="AA61" s="159">
        <f t="shared" si="19"/>
        <v>1.4197227786022211E+22</v>
      </c>
      <c r="AB61" s="24"/>
    </row>
    <row r="62" spans="2:28">
      <c r="F62" s="111">
        <v>0</v>
      </c>
      <c r="G62" s="111">
        <v>0</v>
      </c>
      <c r="H62" s="111">
        <v>0</v>
      </c>
      <c r="I62" s="111">
        <v>0</v>
      </c>
      <c r="J62" s="111">
        <v>0</v>
      </c>
      <c r="K62" s="111">
        <v>0</v>
      </c>
      <c r="L62" s="111">
        <v>0</v>
      </c>
      <c r="M62" s="111">
        <v>0</v>
      </c>
      <c r="Q62" s="107">
        <v>60</v>
      </c>
      <c r="R62" s="27">
        <f t="shared" si="10"/>
        <v>5</v>
      </c>
      <c r="S62" s="18">
        <f t="shared" si="11"/>
        <v>157680000</v>
      </c>
      <c r="T62" s="159">
        <f t="shared" si="12"/>
        <v>1.2483949435507675E+19</v>
      </c>
      <c r="U62" s="159">
        <f t="shared" si="13"/>
        <v>1.9206996035099896E+21</v>
      </c>
      <c r="V62" s="159">
        <f t="shared" si="14"/>
        <v>8.5868243856039752E+20</v>
      </c>
      <c r="W62" s="159">
        <f t="shared" si="15"/>
        <v>1.1868280444002273E+20</v>
      </c>
      <c r="X62" s="159">
        <f t="shared" si="16"/>
        <v>6.2635881474945417E+19</v>
      </c>
      <c r="Y62" s="159">
        <f t="shared" si="17"/>
        <v>2.9258695669155955E+19</v>
      </c>
      <c r="Z62" s="159">
        <f t="shared" si="18"/>
        <v>2.4613847773242532E+19</v>
      </c>
      <c r="AA62" s="159">
        <f t="shared" si="19"/>
        <v>1.4156780621653845E+22</v>
      </c>
      <c r="AB62" s="24"/>
    </row>
    <row r="63" spans="2:28">
      <c r="Q63" s="107">
        <v>61</v>
      </c>
      <c r="R63" s="27">
        <f t="shared" si="10"/>
        <v>5.083333333333333</v>
      </c>
      <c r="S63" s="18">
        <f t="shared" si="11"/>
        <v>160308000</v>
      </c>
      <c r="T63" s="159">
        <f t="shared" si="12"/>
        <v>1.2391670177039671E+19</v>
      </c>
      <c r="U63" s="159">
        <f t="shared" si="13"/>
        <v>1.9160249306444338E+21</v>
      </c>
      <c r="V63" s="159">
        <f t="shared" si="14"/>
        <v>8.5991019099177379E+20</v>
      </c>
      <c r="W63" s="159">
        <f t="shared" si="15"/>
        <v>1.1865558471024946E+20</v>
      </c>
      <c r="X63" s="159">
        <f t="shared" si="16"/>
        <v>6.2755583020027838E+19</v>
      </c>
      <c r="Y63" s="159">
        <f t="shared" si="17"/>
        <v>2.9203489815436616E+19</v>
      </c>
      <c r="Z63" s="159">
        <f t="shared" si="18"/>
        <v>2.4092457480419983E+19</v>
      </c>
      <c r="AA63" s="159">
        <f t="shared" si="19"/>
        <v>1.4116448689155398E+22</v>
      </c>
      <c r="AB63" s="24"/>
    </row>
    <row r="64" spans="2:28">
      <c r="F64" s="120" t="s">
        <v>184</v>
      </c>
      <c r="I64" s="19"/>
      <c r="J64" s="19"/>
      <c r="K64" s="19"/>
      <c r="L64" s="19"/>
      <c r="M64" s="19"/>
      <c r="Q64" s="107">
        <v>62</v>
      </c>
      <c r="R64" s="27">
        <f t="shared" si="10"/>
        <v>5.166666666666667</v>
      </c>
      <c r="S64" s="18">
        <f t="shared" si="11"/>
        <v>162936000</v>
      </c>
      <c r="T64" s="159">
        <f t="shared" si="12"/>
        <v>1.2298505604996911E+19</v>
      </c>
      <c r="U64" s="159">
        <f t="shared" si="13"/>
        <v>1.9113473984016878E+21</v>
      </c>
      <c r="V64" s="159">
        <f t="shared" si="14"/>
        <v>8.6110879193598381E+20</v>
      </c>
      <c r="W64" s="159">
        <f t="shared" si="15"/>
        <v>1.1863413623695776E+20</v>
      </c>
      <c r="X64" s="159">
        <f t="shared" si="16"/>
        <v>6.2874260291376677E+19</v>
      </c>
      <c r="Y64" s="159">
        <f t="shared" si="17"/>
        <v>2.9149185685446435E+19</v>
      </c>
      <c r="Z64" s="159">
        <f t="shared" si="18"/>
        <v>2.3582111695548965E+19</v>
      </c>
      <c r="AA64" s="159">
        <f t="shared" si="19"/>
        <v>1.407623166023726E+22</v>
      </c>
      <c r="AB64" s="24"/>
    </row>
    <row r="65" spans="1:28">
      <c r="F65" s="111">
        <f t="array" ref="F65:M72">[2]!SYSLINSING(F$29:M$36-H42*[2]!M_ID(),,0.0001)</f>
        <v>0</v>
      </c>
      <c r="G65" s="111">
        <v>0</v>
      </c>
      <c r="H65" s="111">
        <v>0</v>
      </c>
      <c r="I65" s="111">
        <v>0</v>
      </c>
      <c r="J65" s="111">
        <v>0</v>
      </c>
      <c r="K65" s="111">
        <v>0</v>
      </c>
      <c r="L65" s="111">
        <v>0</v>
      </c>
      <c r="M65" s="111">
        <v>0</v>
      </c>
      <c r="Q65" s="107">
        <v>63</v>
      </c>
      <c r="R65" s="27">
        <f t="shared" si="10"/>
        <v>5.25</v>
      </c>
      <c r="S65" s="18">
        <f t="shared" si="11"/>
        <v>165564000</v>
      </c>
      <c r="T65" s="159">
        <f t="shared" si="12"/>
        <v>1.2204521322219454E+19</v>
      </c>
      <c r="U65" s="159">
        <f t="shared" si="13"/>
        <v>1.9066673329170709E+21</v>
      </c>
      <c r="V65" s="159">
        <f t="shared" si="14"/>
        <v>8.6227845979380947E+20</v>
      </c>
      <c r="W65" s="159">
        <f t="shared" si="15"/>
        <v>1.1861816814072344E+20</v>
      </c>
      <c r="X65" s="159">
        <f t="shared" si="16"/>
        <v>6.2991945023478071E+19</v>
      </c>
      <c r="Y65" s="159">
        <f t="shared" si="17"/>
        <v>2.9095789438561493E+19</v>
      </c>
      <c r="Z65" s="159">
        <f t="shared" si="18"/>
        <v>2.3082576464991371E+19</v>
      </c>
      <c r="AA65" s="159">
        <f t="shared" si="19"/>
        <v>1.4036129207545097E+22</v>
      </c>
      <c r="AB65" s="24"/>
    </row>
    <row r="66" spans="1:28">
      <c r="F66" s="111">
        <v>0</v>
      </c>
      <c r="G66" s="111">
        <v>0</v>
      </c>
      <c r="H66" s="111">
        <v>0</v>
      </c>
      <c r="I66" s="111">
        <v>0</v>
      </c>
      <c r="J66" s="111">
        <v>0</v>
      </c>
      <c r="K66" s="111">
        <v>0</v>
      </c>
      <c r="L66" s="111">
        <v>0</v>
      </c>
      <c r="M66" s="111">
        <v>0</v>
      </c>
      <c r="Q66" s="107">
        <v>64</v>
      </c>
      <c r="R66" s="27">
        <f t="shared" ref="R66:R97" si="20">S66/(3600*365*24)</f>
        <v>5.333333333333333</v>
      </c>
      <c r="S66" s="18">
        <f t="shared" ref="S66:S97" si="21">Q66*D$5</f>
        <v>168192000</v>
      </c>
      <c r="T66" s="159">
        <f t="shared" ref="T66:T97" si="22">$F$148*EXP($F$24*$S66)+$G$148*EXP($G$24*$S66)+$H$148*EXP($H$24*$S66)+$I$148*EXP($I$24*$S66)+$J$148*EXP($J$24*$S66)+$K$148*EXP($K$24*$S66)+$L$148*EXP($L$24*$S66)+$M$148*EXP($M$24*$S66)</f>
        <v>1.2109780769067327E+19</v>
      </c>
      <c r="U66" s="159">
        <f t="shared" ref="U66:U97" si="23">$F$149*EXP($F$24*$S66)+$G$149*EXP($G$24*$S66)+$H$149*EXP($H$24*$S66)+$I$149*EXP($I$24*$S66)+$J$149*EXP($J$24*$S66)+$K$149*EXP($K$24*$S66)+$L$149*EXP($L$24*$S66)+$M$149*EXP($M$24*$S66)</f>
        <v>1.9019850533267204E+21</v>
      </c>
      <c r="V66" s="159">
        <f t="shared" ref="V66:V97" si="24">$F$150*EXP($F$24*$S66)+$G$150*EXP($G$24*$S66)+$H$150*EXP($H$24*$S66)+$I$150*EXP($I$24*$S66)+$J$150*EXP($J$24*$S66)+$K$150*EXP($K$24*$S66)+$L$150*EXP($L$24*$S66)+$M$150*EXP($M$24*$S66)</f>
        <v>8.6341941258966702E+20</v>
      </c>
      <c r="W66" s="159">
        <f t="shared" ref="W66:W97" si="25">$F$151*EXP($F$24*$S66)+$G$151*EXP($G$24*$S66)+$H$151*EXP($H$24*$S66)+$I$151*EXP($I$24*$S66)+$J$151*EXP($J$24*$S66)+$K$151*EXP($K$24*$S66)+$L$151*EXP($L$24*$S66)+$M$151*EXP($M$24*$S66)</f>
        <v>1.1860739911090088E+20</v>
      </c>
      <c r="X66" s="159">
        <f t="shared" ref="X66:X97" si="26">$F$152*EXP($F$24*$S66)+$G$152*EXP($G$24*$S66)+$H$152*EXP($H$24*$S66)+$I$152*EXP($I$24*$S66)+$J$152*EXP($J$24*$S66)+$K$152*EXP($K$24*$S66)+$L$152*EXP($L$24*$S66)+$M$152*EXP($M$24*$S66)</f>
        <v>6.31086675822283E+19</v>
      </c>
      <c r="Y66" s="159">
        <f t="shared" ref="Y66:Y97" si="27">$F$153*EXP($F$24*$S66)+$G$153*EXP($G$24*$S66)+$H$153*EXP($H$24*$S66)+$I$153*EXP($I$24*$S66)+$J$153*EXP($J$24*$S66)+$K$153*EXP($K$24*$S66)+$L$153*EXP($L$24*$S66)+$M$153*EXP($M$24*$S66)</f>
        <v>2.9043305979728634E+19</v>
      </c>
      <c r="Z66" s="159">
        <f t="shared" ref="Z66:Z97" si="28">$F$154*EXP($F$24*$S66)+$G$154*EXP($G$24*$S66)+$H$154*EXP($H$24*$S66)+$I$154*EXP($I$24*$S66)+$J$154*EXP($J$24*$S66)+$K$154*EXP($K$24*$S66)+$L$154*EXP($L$24*$S66)+$M$154*EXP($M$24*$S66)</f>
        <v>2.2593622790902915E+19</v>
      </c>
      <c r="AA66" s="159">
        <f t="shared" ref="AA66:AA97" si="29">$F$155*EXP($F$24*$S66)+$G$155*EXP($G$24*$S66)+$H$155*EXP($H$24*$S66)+$I$155*EXP($I$24*$S66)+$J$155*EXP($J$24*$S66)+$K$155*EXP($K$24*$S66)+$L$155*EXP($L$24*$S66)+$M$155*EXP($M$24*$S66)</f>
        <v>1.3996141004657198E+22</v>
      </c>
      <c r="AB66" s="24"/>
    </row>
    <row r="67" spans="1:28">
      <c r="F67" s="111">
        <v>0</v>
      </c>
      <c r="G67" s="111">
        <v>0</v>
      </c>
      <c r="H67" s="111">
        <v>0</v>
      </c>
      <c r="I67" s="111">
        <v>0</v>
      </c>
      <c r="J67" s="111">
        <v>0</v>
      </c>
      <c r="K67" s="111">
        <v>13.837588702244036</v>
      </c>
      <c r="L67" s="111">
        <v>0</v>
      </c>
      <c r="M67" s="111">
        <v>0</v>
      </c>
      <c r="Q67" s="107">
        <v>65</v>
      </c>
      <c r="R67" s="27">
        <f t="shared" si="20"/>
        <v>5.416666666666667</v>
      </c>
      <c r="S67" s="18">
        <f t="shared" si="21"/>
        <v>170820000</v>
      </c>
      <c r="T67" s="159">
        <f t="shared" si="22"/>
        <v>1.2014345281976381E+19</v>
      </c>
      <c r="U67" s="159">
        <f t="shared" si="23"/>
        <v>1.8973008718999671E+21</v>
      </c>
      <c r="V67" s="159">
        <f t="shared" si="24"/>
        <v>8.6453186794568889E+20</v>
      </c>
      <c r="W67" s="159">
        <f t="shared" si="25"/>
        <v>1.1860155711860258E+20</v>
      </c>
      <c r="X67" s="159">
        <f t="shared" si="26"/>
        <v>6.3224457010041094E+19</v>
      </c>
      <c r="Y67" s="159">
        <f t="shared" si="27"/>
        <v>2.8991739019817591E+19</v>
      </c>
      <c r="Z67" s="159">
        <f t="shared" si="28"/>
        <v>2.2115026526255616E+19</v>
      </c>
      <c r="AA67" s="159">
        <f t="shared" si="29"/>
        <v>1.3956266726081801E+22</v>
      </c>
      <c r="AB67" s="24"/>
    </row>
    <row r="68" spans="1:28">
      <c r="F68" s="111">
        <v>0</v>
      </c>
      <c r="G68" s="111">
        <v>0</v>
      </c>
      <c r="H68" s="111">
        <v>0</v>
      </c>
      <c r="I68" s="111">
        <v>0</v>
      </c>
      <c r="J68" s="111">
        <v>0</v>
      </c>
      <c r="K68" s="111">
        <v>2.5668000833824922</v>
      </c>
      <c r="L68" s="111">
        <v>0</v>
      </c>
      <c r="M68" s="111">
        <v>0</v>
      </c>
      <c r="Q68" s="107">
        <v>66</v>
      </c>
      <c r="R68" s="27">
        <f t="shared" si="20"/>
        <v>5.5</v>
      </c>
      <c r="S68" s="18">
        <f t="shared" si="21"/>
        <v>173448000</v>
      </c>
      <c r="T68" s="159">
        <f t="shared" si="22"/>
        <v>1.1918274150563705E+19</v>
      </c>
      <c r="U68" s="159">
        <f t="shared" si="23"/>
        <v>1.8926150941693198E+21</v>
      </c>
      <c r="V68" s="159">
        <f t="shared" si="24"/>
        <v>8.6561604305655955E+20</v>
      </c>
      <c r="W68" s="159">
        <f t="shared" si="25"/>
        <v>1.1860037913813595E+20</v>
      </c>
      <c r="X68" s="159">
        <f t="shared" si="26"/>
        <v>6.3339341069620576E+19</v>
      </c>
      <c r="Y68" s="159">
        <f t="shared" si="27"/>
        <v>2.8941091133750616E+19</v>
      </c>
      <c r="Z68" s="159">
        <f t="shared" si="28"/>
        <v>2.1646568272083845E+19</v>
      </c>
      <c r="AA68" s="159">
        <f t="shared" si="29"/>
        <v>1.3916506047254465E+22</v>
      </c>
      <c r="AB68" s="24"/>
    </row>
    <row r="69" spans="1:28">
      <c r="F69" s="111">
        <v>0</v>
      </c>
      <c r="G69" s="111">
        <v>0</v>
      </c>
      <c r="H69" s="111">
        <v>0</v>
      </c>
      <c r="I69" s="111">
        <v>0</v>
      </c>
      <c r="J69" s="111">
        <v>0</v>
      </c>
      <c r="K69" s="111">
        <v>-11.350957575661909</v>
      </c>
      <c r="L69" s="111">
        <v>0</v>
      </c>
      <c r="M69" s="111">
        <v>0</v>
      </c>
      <c r="Q69" s="107">
        <v>67</v>
      </c>
      <c r="R69" s="27">
        <f t="shared" si="20"/>
        <v>5.583333333333333</v>
      </c>
      <c r="S69" s="18">
        <f t="shared" si="21"/>
        <v>176076000</v>
      </c>
      <c r="T69" s="159">
        <f t="shared" si="22"/>
        <v>1.1821624673316327E+19</v>
      </c>
      <c r="U69" s="159">
        <f t="shared" si="23"/>
        <v>1.8879280190580997E+21</v>
      </c>
      <c r="V69" s="159">
        <f t="shared" si="24"/>
        <v>8.666721546650836E+20</v>
      </c>
      <c r="W69" s="159">
        <f t="shared" si="25"/>
        <v>1.1860361087664765E+20</v>
      </c>
      <c r="X69" s="159">
        <f t="shared" si="26"/>
        <v>6.3453346286439268E+19</v>
      </c>
      <c r="Y69" s="159">
        <f t="shared" si="27"/>
        <v>2.889136381648461E+19</v>
      </c>
      <c r="Z69" s="159">
        <f t="shared" si="28"/>
        <v>2.118803327690709E+19</v>
      </c>
      <c r="AA69" s="159">
        <f t="shared" si="29"/>
        <v>1.3876858644535404E+22</v>
      </c>
      <c r="AB69" s="24"/>
    </row>
    <row r="70" spans="1:28">
      <c r="F70" s="111">
        <v>0</v>
      </c>
      <c r="G70" s="111">
        <v>0</v>
      </c>
      <c r="H70" s="111">
        <v>0</v>
      </c>
      <c r="I70" s="111">
        <v>0</v>
      </c>
      <c r="J70" s="111">
        <v>0</v>
      </c>
      <c r="K70" s="111">
        <v>1</v>
      </c>
      <c r="L70" s="111">
        <v>0</v>
      </c>
      <c r="M70" s="111">
        <v>0</v>
      </c>
      <c r="Q70" s="107">
        <v>68</v>
      </c>
      <c r="R70" s="27">
        <f t="shared" si="20"/>
        <v>5.666666666666667</v>
      </c>
      <c r="S70" s="18">
        <f t="shared" si="21"/>
        <v>178704000</v>
      </c>
      <c r="T70" s="159">
        <f t="shared" si="22"/>
        <v>1.1724452211896988E+19</v>
      </c>
      <c r="U70" s="159">
        <f t="shared" si="23"/>
        <v>1.8832399390057733E+21</v>
      </c>
      <c r="V70" s="159">
        <f t="shared" si="24"/>
        <v>8.6770041903847453E+20</v>
      </c>
      <c r="W70" s="159">
        <f t="shared" si="25"/>
        <v>1.1861100651173439E+20</v>
      </c>
      <c r="X70" s="159">
        <f t="shared" si="26"/>
        <v>6.3566497989957255E+19</v>
      </c>
      <c r="Y70" s="159">
        <f t="shared" si="27"/>
        <v>2.8842557536915423E+19</v>
      </c>
      <c r="Z70" s="159">
        <f t="shared" si="28"/>
        <v>2.073921133828318E+19</v>
      </c>
      <c r="AA70" s="159">
        <f t="shared" si="29"/>
        <v>1.3837324195206875E+22</v>
      </c>
      <c r="AB70" s="24"/>
    </row>
    <row r="71" spans="1:28">
      <c r="F71" s="111">
        <v>0</v>
      </c>
      <c r="G71" s="111">
        <v>0</v>
      </c>
      <c r="H71" s="111">
        <v>0</v>
      </c>
      <c r="I71" s="111">
        <v>0</v>
      </c>
      <c r="J71" s="111">
        <v>0</v>
      </c>
      <c r="K71" s="111">
        <v>0</v>
      </c>
      <c r="L71" s="111">
        <v>0</v>
      </c>
      <c r="M71" s="111">
        <v>0</v>
      </c>
      <c r="Q71" s="107">
        <v>69</v>
      </c>
      <c r="R71" s="27">
        <f t="shared" si="20"/>
        <v>5.75</v>
      </c>
      <c r="S71" s="18">
        <f t="shared" si="21"/>
        <v>181332000</v>
      </c>
      <c r="T71" s="159">
        <f t="shared" si="22"/>
        <v>1.1626810244099473E+19</v>
      </c>
      <c r="U71" s="159">
        <f t="shared" si="23"/>
        <v>1.8785511400910102E+21</v>
      </c>
      <c r="V71" s="159">
        <f t="shared" si="24"/>
        <v>8.6870105194534771E+20</v>
      </c>
      <c r="W71" s="159">
        <f t="shared" si="25"/>
        <v>1.1862232843678505E+20</v>
      </c>
      <c r="X71" s="159">
        <f t="shared" si="26"/>
        <v>6.3678820353619722E+19</v>
      </c>
      <c r="Y71" s="159">
        <f t="shared" si="27"/>
        <v>2.8794671789774832E+19</v>
      </c>
      <c r="Z71" s="159">
        <f t="shared" si="28"/>
        <v>2.0299896706446901E+19</v>
      </c>
      <c r="AA71" s="159">
        <f t="shared" si="29"/>
        <v>1.3797902377470535E+22</v>
      </c>
      <c r="AB71" s="24"/>
    </row>
    <row r="72" spans="1:28">
      <c r="F72" s="111">
        <v>0</v>
      </c>
      <c r="G72" s="111">
        <v>0</v>
      </c>
      <c r="H72" s="111">
        <v>0</v>
      </c>
      <c r="I72" s="111">
        <v>0</v>
      </c>
      <c r="J72" s="111">
        <v>0</v>
      </c>
      <c r="K72" s="111">
        <v>0</v>
      </c>
      <c r="L72" s="111">
        <v>0</v>
      </c>
      <c r="M72" s="111">
        <v>0</v>
      </c>
      <c r="Q72" s="107">
        <v>70</v>
      </c>
      <c r="R72" s="27">
        <f t="shared" si="20"/>
        <v>5.833333333333333</v>
      </c>
      <c r="S72" s="18">
        <f t="shared" si="21"/>
        <v>183960000</v>
      </c>
      <c r="T72" s="159">
        <f t="shared" si="22"/>
        <v>1.1528750415485407E+19</v>
      </c>
      <c r="U72" s="159">
        <f t="shared" si="23"/>
        <v>1.8738619021525191E+21</v>
      </c>
      <c r="V72" s="159">
        <f t="shared" si="24"/>
        <v>8.6967426863340139E+20</v>
      </c>
      <c r="W72" s="159">
        <f t="shared" si="25"/>
        <v>1.186373470138262E+20</v>
      </c>
      <c r="X72" s="159">
        <f t="shared" si="26"/>
        <v>6.3790336433669243E+19</v>
      </c>
      <c r="Y72" s="159">
        <f t="shared" si="27"/>
        <v>2.874770514558532E+19</v>
      </c>
      <c r="Z72" s="159">
        <f t="shared" si="28"/>
        <v>1.9869887989989822E+19</v>
      </c>
      <c r="AA72" s="159">
        <f t="shared" si="29"/>
        <v>1.3758592870444826E+22</v>
      </c>
      <c r="AB72" s="24"/>
    </row>
    <row r="73" spans="1:28">
      <c r="D73" s="24"/>
      <c r="F73" s="110"/>
      <c r="P73" s="24"/>
      <c r="Q73" s="107">
        <v>71</v>
      </c>
      <c r="R73" s="27">
        <f t="shared" si="20"/>
        <v>5.916666666666667</v>
      </c>
      <c r="S73" s="18">
        <f t="shared" si="21"/>
        <v>186588000</v>
      </c>
      <c r="T73" s="159">
        <f t="shared" si="22"/>
        <v>1.1430322589733753E+19</v>
      </c>
      <c r="U73" s="159">
        <f t="shared" si="23"/>
        <v>1.8691724989076917E+21</v>
      </c>
      <c r="V73" s="159">
        <f t="shared" si="24"/>
        <v>8.7062028380777467E+20</v>
      </c>
      <c r="W73" s="159">
        <f t="shared" si="25"/>
        <v>1.186558403336504E+20</v>
      </c>
      <c r="X73" s="159">
        <f t="shared" si="26"/>
        <v>6.3901068206801617E+19</v>
      </c>
      <c r="Y73" s="159">
        <f t="shared" si="27"/>
        <v>2.8701655298738782E+19</v>
      </c>
      <c r="Z73" s="159">
        <f t="shared" si="28"/>
        <v>1.9448988063538082E+19</v>
      </c>
      <c r="AA73" s="159">
        <f t="shared" si="29"/>
        <v>1.3719395354162374E+22</v>
      </c>
      <c r="AB73" s="24"/>
    </row>
    <row r="74" spans="1:28">
      <c r="F74" s="120" t="s">
        <v>185</v>
      </c>
      <c r="I74" s="19"/>
      <c r="J74" s="19"/>
      <c r="K74" s="19"/>
      <c r="L74" s="19"/>
      <c r="M74" s="19"/>
      <c r="Q74" s="107">
        <v>72</v>
      </c>
      <c r="R74" s="27">
        <f t="shared" si="20"/>
        <v>6</v>
      </c>
      <c r="S74" s="18">
        <f t="shared" si="21"/>
        <v>189216000</v>
      </c>
      <c r="T74" s="159">
        <f t="shared" si="22"/>
        <v>1.1331574897733448E+19</v>
      </c>
      <c r="U74" s="159">
        <f t="shared" si="23"/>
        <v>1.8644831980690926E+21</v>
      </c>
      <c r="V74" s="159">
        <f t="shared" si="24"/>
        <v>8.7153931161006152E+20</v>
      </c>
      <c r="W74" s="159">
        <f t="shared" si="25"/>
        <v>1.1867759398301221E+20</v>
      </c>
      <c r="X74" s="159">
        <f t="shared" si="26"/>
        <v>6.401103660670727E+19</v>
      </c>
      <c r="Y74" s="159">
        <f t="shared" si="27"/>
        <v>2.8656519113760899E+19</v>
      </c>
      <c r="Z74" s="159">
        <f t="shared" si="28"/>
        <v>1.9037003977385812E+19</v>
      </c>
      <c r="AA74" s="159">
        <f t="shared" si="29"/>
        <v>1.3680309509567365E+22</v>
      </c>
      <c r="AB74" s="24"/>
    </row>
    <row r="75" spans="1:28">
      <c r="F75" s="111">
        <f t="array" ref="F75:M82">[2]!SYSLINSING(F$29:M$36-I42*[2]!M_ID(),,0.0001)</f>
        <v>0</v>
      </c>
      <c r="G75" s="111">
        <v>0</v>
      </c>
      <c r="H75" s="111">
        <v>0</v>
      </c>
      <c r="I75" s="111">
        <v>0</v>
      </c>
      <c r="J75" s="111">
        <v>0</v>
      </c>
      <c r="K75" s="111">
        <v>0</v>
      </c>
      <c r="L75" s="111">
        <v>0</v>
      </c>
      <c r="M75" s="111">
        <v>0</v>
      </c>
      <c r="Q75" s="107">
        <v>73</v>
      </c>
      <c r="R75" s="27">
        <f t="shared" si="20"/>
        <v>6.083333333333333</v>
      </c>
      <c r="S75" s="18">
        <f t="shared" si="21"/>
        <v>191844000</v>
      </c>
      <c r="T75" s="159">
        <f t="shared" si="22"/>
        <v>1.1232553785448899E+19</v>
      </c>
      <c r="U75" s="159">
        <f t="shared" si="23"/>
        <v>1.8597942614588405E+21</v>
      </c>
      <c r="V75" s="159">
        <f t="shared" si="24"/>
        <v>8.7243156559797761E+20</v>
      </c>
      <c r="W75" s="159">
        <f t="shared" si="25"/>
        <v>1.1870240081868459E+20</v>
      </c>
      <c r="X75" s="159">
        <f t="shared" si="26"/>
        <v>6.4120261559521116E+19</v>
      </c>
      <c r="Y75" s="159">
        <f t="shared" si="27"/>
        <v>2.8612292669822075E+19</v>
      </c>
      <c r="Z75" s="159">
        <f t="shared" si="28"/>
        <v>1.8633746869042786E+19</v>
      </c>
      <c r="AA75" s="159">
        <f t="shared" si="29"/>
        <v>1.3641335018512965E+22</v>
      </c>
      <c r="AB75" s="24"/>
    </row>
    <row r="76" spans="1:28">
      <c r="F76" s="111">
        <v>0</v>
      </c>
      <c r="G76" s="111">
        <v>0</v>
      </c>
      <c r="H76" s="111">
        <v>0</v>
      </c>
      <c r="I76" s="111">
        <v>0</v>
      </c>
      <c r="J76" s="111">
        <v>0</v>
      </c>
      <c r="K76" s="111">
        <v>0</v>
      </c>
      <c r="L76" s="111">
        <v>0</v>
      </c>
      <c r="M76" s="111">
        <v>0</v>
      </c>
      <c r="Q76" s="107">
        <v>74</v>
      </c>
      <c r="R76" s="27">
        <f t="shared" si="20"/>
        <v>6.166666666666667</v>
      </c>
      <c r="S76" s="18">
        <f t="shared" si="21"/>
        <v>194472000</v>
      </c>
      <c r="T76" s="159">
        <f t="shared" si="22"/>
        <v>1.1133304060587461E+19</v>
      </c>
      <c r="U76" s="159">
        <f t="shared" si="23"/>
        <v>1.8551059451209056E+21</v>
      </c>
      <c r="V76" s="159">
        <f t="shared" si="24"/>
        <v>8.7329725872565112E+20</v>
      </c>
      <c r="W76" s="159">
        <f t="shared" si="25"/>
        <v>1.1873006074817259E+20</v>
      </c>
      <c r="X76" s="159">
        <f t="shared" si="26"/>
        <v>6.4228762018219983E+19</v>
      </c>
      <c r="Y76" s="159">
        <f t="shared" si="27"/>
        <v>2.8568971303553679E+19</v>
      </c>
      <c r="Z76" s="159">
        <f t="shared" si="28"/>
        <v>1.8239031876655733E+19</v>
      </c>
      <c r="AA76" s="159">
        <f t="shared" si="29"/>
        <v>1.3602471563758727E+22</v>
      </c>
      <c r="AB76" s="24"/>
    </row>
    <row r="77" spans="1:28">
      <c r="F77" s="111">
        <v>0</v>
      </c>
      <c r="G77" s="111">
        <v>0</v>
      </c>
      <c r="H77" s="111">
        <v>0</v>
      </c>
      <c r="I77" s="111">
        <v>0</v>
      </c>
      <c r="J77" s="111">
        <v>0</v>
      </c>
      <c r="K77" s="111">
        <v>0</v>
      </c>
      <c r="L77" s="111">
        <v>0</v>
      </c>
      <c r="M77" s="111">
        <v>0</v>
      </c>
      <c r="Q77" s="107">
        <v>75</v>
      </c>
      <c r="R77" s="27">
        <f t="shared" si="20"/>
        <v>6.25</v>
      </c>
      <c r="S77" s="18">
        <f t="shared" si="21"/>
        <v>197100000</v>
      </c>
      <c r="T77" s="159">
        <f t="shared" si="22"/>
        <v>1.1033868938097353E+19</v>
      </c>
      <c r="U77" s="159">
        <f t="shared" si="23"/>
        <v>1.8504184994313722E+21</v>
      </c>
      <c r="V77" s="159">
        <f t="shared" si="24"/>
        <v>8.7413660332453986E+20</v>
      </c>
      <c r="W77" s="159">
        <f t="shared" si="25"/>
        <v>1.1876038051688931E+20</v>
      </c>
      <c r="X77" s="159">
        <f t="shared" si="26"/>
        <v>6.4336555995992261E+19</v>
      </c>
      <c r="Y77" s="159">
        <f t="shared" si="27"/>
        <v>2.8526549650226364E+19</v>
      </c>
      <c r="Z77" s="159">
        <f t="shared" si="28"/>
        <v>1.785267805426364E+19</v>
      </c>
      <c r="AA77" s="159">
        <f t="shared" si="29"/>
        <v>1.356371882896799E+22</v>
      </c>
      <c r="AB77" s="24"/>
    </row>
    <row r="78" spans="1:28">
      <c r="A78" s="4"/>
      <c r="B78" s="4"/>
      <c r="D78" s="4"/>
      <c r="F78" s="111">
        <v>0</v>
      </c>
      <c r="G78" s="111">
        <v>0</v>
      </c>
      <c r="H78" s="111">
        <v>0</v>
      </c>
      <c r="I78" s="111">
        <v>0</v>
      </c>
      <c r="J78" s="111">
        <v>0</v>
      </c>
      <c r="K78" s="111">
        <v>-2.9821220296234552</v>
      </c>
      <c r="L78" s="111">
        <v>0</v>
      </c>
      <c r="M78" s="111">
        <v>0</v>
      </c>
      <c r="Q78" s="107">
        <v>76</v>
      </c>
      <c r="R78" s="27">
        <f t="shared" si="20"/>
        <v>6.333333333333333</v>
      </c>
      <c r="S78" s="18">
        <f t="shared" si="21"/>
        <v>199728000</v>
      </c>
      <c r="T78" s="159">
        <f t="shared" si="22"/>
        <v>1.0934290084523665E+19</v>
      </c>
      <c r="U78" s="159">
        <f t="shared" si="23"/>
        <v>1.8457321692066905E+21</v>
      </c>
      <c r="V78" s="159">
        <f t="shared" si="24"/>
        <v>8.7494981108494919E+20</v>
      </c>
      <c r="W78" s="159">
        <f t="shared" si="25"/>
        <v>1.1879317350160332E+20</v>
      </c>
      <c r="X78" s="159">
        <f t="shared" si="26"/>
        <v>6.4443660598611837E+19</v>
      </c>
      <c r="Y78" s="159">
        <f t="shared" si="27"/>
        <v>2.8485021683345863E+19</v>
      </c>
      <c r="Z78" s="159">
        <f t="shared" si="28"/>
        <v>1.7474508288848167E+19</v>
      </c>
      <c r="AA78" s="159">
        <f t="shared" si="29"/>
        <v>1.352507649870534E+22</v>
      </c>
      <c r="AB78" s="24"/>
    </row>
    <row r="79" spans="1:28">
      <c r="A79" s="4"/>
      <c r="B79" s="4"/>
      <c r="D79" s="4"/>
      <c r="F79" s="111">
        <v>0</v>
      </c>
      <c r="G79" s="111">
        <v>0</v>
      </c>
      <c r="H79" s="111">
        <v>0</v>
      </c>
      <c r="I79" s="111">
        <v>0</v>
      </c>
      <c r="J79" s="111">
        <v>0</v>
      </c>
      <c r="K79" s="111">
        <v>0.42993460219968771</v>
      </c>
      <c r="L79" s="111">
        <v>0</v>
      </c>
      <c r="M79" s="111">
        <v>0</v>
      </c>
      <c r="Q79" s="107">
        <v>77</v>
      </c>
      <c r="R79" s="27">
        <f t="shared" si="20"/>
        <v>6.416666666666667</v>
      </c>
      <c r="S79" s="18">
        <f t="shared" si="21"/>
        <v>202356000</v>
      </c>
      <c r="T79" s="159">
        <f t="shared" si="22"/>
        <v>1.0834607661249677E+19</v>
      </c>
      <c r="U79" s="159">
        <f t="shared" si="23"/>
        <v>1.8410471938099614E+21</v>
      </c>
      <c r="V79" s="159">
        <f t="shared" si="24"/>
        <v>8.7573709303814475E+20</v>
      </c>
      <c r="W79" s="159">
        <f t="shared" si="25"/>
        <v>1.1882825950997286E+20</v>
      </c>
      <c r="X79" s="159">
        <f t="shared" si="26"/>
        <v>6.4550092055847502E+19</v>
      </c>
      <c r="Y79" s="159">
        <f t="shared" si="27"/>
        <v>2.8444380752718889E+19</v>
      </c>
      <c r="Z79" s="159">
        <f t="shared" si="28"/>
        <v>1.7104349219141188E+19</v>
      </c>
      <c r="AA79" s="159">
        <f t="shared" si="29"/>
        <v>1.3486544258434008E+22</v>
      </c>
      <c r="AB79" s="24"/>
    </row>
    <row r="80" spans="1:28">
      <c r="A80" s="4"/>
      <c r="B80" s="4"/>
      <c r="D80" s="4"/>
      <c r="F80" s="111">
        <v>0</v>
      </c>
      <c r="G80" s="111">
        <v>0</v>
      </c>
      <c r="H80" s="111">
        <v>0</v>
      </c>
      <c r="I80" s="111">
        <v>0</v>
      </c>
      <c r="J80" s="111">
        <v>0</v>
      </c>
      <c r="K80" s="111">
        <v>1</v>
      </c>
      <c r="L80" s="111">
        <v>0</v>
      </c>
      <c r="M80" s="111">
        <v>0</v>
      </c>
      <c r="Q80" s="107">
        <v>78</v>
      </c>
      <c r="R80" s="27">
        <f t="shared" si="20"/>
        <v>6.5</v>
      </c>
      <c r="S80" s="18">
        <f t="shared" si="21"/>
        <v>204984000</v>
      </c>
      <c r="T80" s="159">
        <f t="shared" si="22"/>
        <v>1.0734860366649954E+19</v>
      </c>
      <c r="U80" s="159">
        <f t="shared" si="23"/>
        <v>1.8363638072552818E+21</v>
      </c>
      <c r="V80" s="159">
        <f t="shared" si="24"/>
        <v>8.7649865953904309E+20</v>
      </c>
      <c r="W80" s="159">
        <f t="shared" si="25"/>
        <v>1.1886546458598811E+20</v>
      </c>
      <c r="X80" s="159">
        <f t="shared" si="26"/>
        <v>6.4655865751927521E+19</v>
      </c>
      <c r="Y80" s="159">
        <f t="shared" si="27"/>
        <v>2.8404619621041807E+19</v>
      </c>
      <c r="Z80" s="159">
        <f t="shared" si="28"/>
        <v>1.6742031156152195E+19</v>
      </c>
      <c r="AA80" s="159">
        <f t="shared" si="29"/>
        <v>1.3448121794513326E+22</v>
      </c>
      <c r="AB80" s="24"/>
    </row>
    <row r="81" spans="1:28">
      <c r="A81" s="4"/>
      <c r="B81" s="4"/>
      <c r="D81" s="4"/>
      <c r="F81" s="111">
        <v>0</v>
      </c>
      <c r="G81" s="111">
        <v>0</v>
      </c>
      <c r="H81" s="111">
        <v>0</v>
      </c>
      <c r="I81" s="111">
        <v>0</v>
      </c>
      <c r="J81" s="111">
        <v>0</v>
      </c>
      <c r="K81" s="111">
        <v>0</v>
      </c>
      <c r="L81" s="111">
        <v>0</v>
      </c>
      <c r="M81" s="111">
        <v>0</v>
      </c>
      <c r="Q81" s="107">
        <v>79</v>
      </c>
      <c r="R81" s="27">
        <f t="shared" si="20"/>
        <v>6.583333333333333</v>
      </c>
      <c r="S81" s="18">
        <f t="shared" si="21"/>
        <v>207612000</v>
      </c>
      <c r="T81" s="159">
        <f t="shared" si="22"/>
        <v>1.0635085477181104E+19</v>
      </c>
      <c r="U81" s="159">
        <f t="shared" si="23"/>
        <v>1.8316822383101902E+21</v>
      </c>
      <c r="V81" s="159">
        <f t="shared" si="24"/>
        <v>8.772347202494717E+20</v>
      </c>
      <c r="W81" s="159">
        <f t="shared" si="25"/>
        <v>1.1890462082114712E+20</v>
      </c>
      <c r="X81" s="159">
        <f t="shared" si="26"/>
        <v>6.4760996255098995E+19</v>
      </c>
      <c r="Y81" s="159">
        <f t="shared" si="27"/>
        <v>2.8365730499060859E+19</v>
      </c>
      <c r="Z81" s="159">
        <f t="shared" si="28"/>
        <v>1.6387388005379164E+19</v>
      </c>
      <c r="AA81" s="159">
        <f t="shared" si="29"/>
        <v>1.340980879419618E+22</v>
      </c>
      <c r="AB81" s="24"/>
    </row>
    <row r="82" spans="1:28">
      <c r="A82" s="4"/>
      <c r="B82" s="4"/>
      <c r="D82" s="4"/>
      <c r="F82" s="111">
        <v>0</v>
      </c>
      <c r="G82" s="111">
        <v>0</v>
      </c>
      <c r="H82" s="111">
        <v>0</v>
      </c>
      <c r="I82" s="111">
        <v>0</v>
      </c>
      <c r="J82" s="111">
        <v>0</v>
      </c>
      <c r="K82" s="111">
        <v>0</v>
      </c>
      <c r="L82" s="111">
        <v>0</v>
      </c>
      <c r="M82" s="111">
        <v>0</v>
      </c>
      <c r="Q82" s="107">
        <v>80</v>
      </c>
      <c r="R82" s="27">
        <f t="shared" si="20"/>
        <v>6.666666666666667</v>
      </c>
      <c r="S82" s="18">
        <f t="shared" si="21"/>
        <v>210240000</v>
      </c>
      <c r="T82" s="159">
        <f t="shared" si="22"/>
        <v>1.0535318887435528E+19</v>
      </c>
      <c r="U82" s="159">
        <f t="shared" si="23"/>
        <v>1.8270027105962411E+21</v>
      </c>
      <c r="V82" s="159">
        <f t="shared" si="24"/>
        <v>8.7794548412198014E+20</v>
      </c>
      <c r="W82" s="159">
        <f t="shared" si="25"/>
        <v>1.189455661711971E+20</v>
      </c>
      <c r="X82" s="159">
        <f t="shared" si="26"/>
        <v>6.4865497346293498E+19</v>
      </c>
      <c r="Y82" s="159">
        <f t="shared" si="27"/>
        <v>2.8327705079353524E+19</v>
      </c>
      <c r="Z82" s="159">
        <f t="shared" si="28"/>
        <v>1.6040257190667223E+19</v>
      </c>
      <c r="AA82" s="159">
        <f t="shared" si="29"/>
        <v>1.3371604945626445E+22</v>
      </c>
      <c r="AB82" s="24"/>
    </row>
    <row r="83" spans="1:28">
      <c r="A83" s="4"/>
      <c r="B83" s="4"/>
      <c r="D83" s="4"/>
      <c r="Q83" s="107">
        <v>81</v>
      </c>
      <c r="R83" s="27">
        <f t="shared" si="20"/>
        <v>6.75</v>
      </c>
      <c r="S83" s="18">
        <f t="shared" si="21"/>
        <v>212868000</v>
      </c>
      <c r="T83" s="159">
        <f t="shared" si="22"/>
        <v>1.0435595149182833E+19</v>
      </c>
      <c r="U83" s="159">
        <f t="shared" si="23"/>
        <v>1.8223254426877467E+21</v>
      </c>
      <c r="V83" s="159">
        <f t="shared" si="24"/>
        <v>8.7863115938419809E+20</v>
      </c>
      <c r="W83" s="159">
        <f t="shared" si="25"/>
        <v>1.1898814427827687E+20</v>
      </c>
      <c r="X83" s="159">
        <f t="shared" si="26"/>
        <v>6.4969382046938694E+19</v>
      </c>
      <c r="Y83" s="159">
        <f t="shared" si="27"/>
        <v>2.8290534568776901E+19</v>
      </c>
      <c r="Z83" s="159">
        <f t="shared" si="28"/>
        <v>1.570047957968018E+19</v>
      </c>
      <c r="AA83" s="159">
        <f t="shared" si="29"/>
        <v>1.333350993783647E+22</v>
      </c>
      <c r="AB83" s="24"/>
    </row>
    <row r="84" spans="1:28">
      <c r="A84" s="4"/>
      <c r="B84" s="4"/>
      <c r="D84" s="4"/>
      <c r="F84" s="120" t="s">
        <v>186</v>
      </c>
      <c r="I84" s="19"/>
      <c r="J84" s="19"/>
      <c r="K84" s="19"/>
      <c r="L84" s="19"/>
      <c r="M84" s="19"/>
      <c r="Q84" s="107">
        <v>82</v>
      </c>
      <c r="R84" s="27">
        <f t="shared" si="20"/>
        <v>6.833333333333333</v>
      </c>
      <c r="S84" s="18">
        <f t="shared" si="21"/>
        <v>215496000</v>
      </c>
      <c r="T84" s="159">
        <f t="shared" si="22"/>
        <v>1.0335947509423067E+19</v>
      </c>
      <c r="U84" s="159">
        <f t="shared" si="23"/>
        <v>1.8176506482087079E+21</v>
      </c>
      <c r="V84" s="159">
        <f t="shared" si="24"/>
        <v>8.7929195352372072E+20</v>
      </c>
      <c r="W84" s="159">
        <f t="shared" si="25"/>
        <v>1.190322042983019E+20</v>
      </c>
      <c r="X84" s="159">
        <f t="shared" si="26"/>
        <v>6.5072662645929247E+19</v>
      </c>
      <c r="Y84" s="159">
        <f t="shared" si="27"/>
        <v>2.8254209719629087E+19</v>
      </c>
      <c r="Z84" s="159">
        <f t="shared" si="28"/>
        <v>1.5367899410950814E+19</v>
      </c>
      <c r="AA84" s="159">
        <f t="shared" si="29"/>
        <v>1.3295523460744521E+22</v>
      </c>
      <c r="AB84" s="24"/>
    </row>
    <row r="85" spans="1:28">
      <c r="A85" s="4"/>
      <c r="B85" s="4"/>
      <c r="D85" s="4"/>
      <c r="F85" s="111">
        <f t="array" ref="F85:M92">[2]!SYSLINSING(F$29:M$36-J42*[2]!M_ID(),,0.0001)</f>
        <v>0</v>
      </c>
      <c r="G85" s="111">
        <v>0</v>
      </c>
      <c r="H85" s="111">
        <v>0</v>
      </c>
      <c r="I85" s="111">
        <v>0</v>
      </c>
      <c r="J85" s="111">
        <v>0</v>
      </c>
      <c r="K85" s="111">
        <v>0</v>
      </c>
      <c r="L85" s="111">
        <v>0</v>
      </c>
      <c r="M85" s="111">
        <v>0</v>
      </c>
      <c r="Q85" s="107">
        <v>83</v>
      </c>
      <c r="R85" s="27">
        <f t="shared" si="20"/>
        <v>6.916666666666667</v>
      </c>
      <c r="S85" s="18">
        <f t="shared" si="21"/>
        <v>218124000</v>
      </c>
      <c r="T85" s="159">
        <f t="shared" si="22"/>
        <v>1.0236407947475427E+19</v>
      </c>
      <c r="U85" s="159">
        <f t="shared" si="23"/>
        <v>1.8129785359279805E+21</v>
      </c>
      <c r="V85" s="159">
        <f t="shared" si="24"/>
        <v>8.7992807327351518E+20</v>
      </c>
      <c r="W85" s="159">
        <f t="shared" si="25"/>
        <v>1.1907760073343774E+20</v>
      </c>
      <c r="X85" s="159">
        <f t="shared" si="26"/>
        <v>6.5175350725789811E+19</v>
      </c>
      <c r="Y85" s="159">
        <f t="shared" si="27"/>
        <v>2.8218720859567358E+19</v>
      </c>
      <c r="Z85" s="159">
        <f t="shared" si="28"/>
        <v>1.5042364222476397E+19</v>
      </c>
      <c r="AA85" s="159">
        <f t="shared" si="29"/>
        <v>1.3257645205152281E+22</v>
      </c>
      <c r="AB85" s="24"/>
    </row>
    <row r="86" spans="1:28">
      <c r="A86" s="4"/>
      <c r="B86" s="4"/>
      <c r="D86" s="4"/>
      <c r="F86" s="111">
        <v>0</v>
      </c>
      <c r="G86" s="111">
        <v>0</v>
      </c>
      <c r="H86" s="111">
        <v>0</v>
      </c>
      <c r="I86" s="111">
        <v>0</v>
      </c>
      <c r="J86" s="111">
        <v>0</v>
      </c>
      <c r="K86" s="111">
        <v>0</v>
      </c>
      <c r="L86" s="111">
        <v>0</v>
      </c>
      <c r="M86" s="111">
        <v>0</v>
      </c>
      <c r="Q86" s="107">
        <v>84</v>
      </c>
      <c r="R86" s="27">
        <f t="shared" si="20"/>
        <v>7</v>
      </c>
      <c r="S86" s="18">
        <f t="shared" si="21"/>
        <v>220752000</v>
      </c>
      <c r="T86" s="159">
        <f t="shared" si="22"/>
        <v>1.0137007211125389E+19</v>
      </c>
      <c r="U86" s="159">
        <f t="shared" si="23"/>
        <v>1.8083093098526923E+21</v>
      </c>
      <c r="V86" s="159">
        <f t="shared" si="24"/>
        <v>8.8053972459783455E+20</v>
      </c>
      <c r="W86" s="159">
        <f t="shared" si="25"/>
        <v>1.191241932695118E+20</v>
      </c>
      <c r="X86" s="159">
        <f t="shared" si="26"/>
        <v>6.5277457188045652E+19</v>
      </c>
      <c r="Y86" s="159">
        <f t="shared" si="27"/>
        <v>2.8184057920325493E+19</v>
      </c>
      <c r="Z86" s="159">
        <f t="shared" si="28"/>
        <v>1.4723724781826793E+19</v>
      </c>
      <c r="AA86" s="159">
        <f t="shared" si="29"/>
        <v>1.321987486274232E+22</v>
      </c>
      <c r="AB86" s="24"/>
    </row>
    <row r="87" spans="1:28">
      <c r="A87" s="4"/>
      <c r="B87" s="4"/>
      <c r="D87" s="4"/>
      <c r="F87" s="111">
        <v>0</v>
      </c>
      <c r="G87" s="111">
        <v>0</v>
      </c>
      <c r="H87" s="111">
        <v>0</v>
      </c>
      <c r="I87" s="111">
        <v>0</v>
      </c>
      <c r="J87" s="111">
        <v>0</v>
      </c>
      <c r="K87" s="111">
        <v>0</v>
      </c>
      <c r="L87" s="111">
        <v>0</v>
      </c>
      <c r="M87" s="111">
        <v>0</v>
      </c>
      <c r="Q87" s="107">
        <v>85</v>
      </c>
      <c r="R87" s="27">
        <f t="shared" si="20"/>
        <v>7.083333333333333</v>
      </c>
      <c r="S87" s="18">
        <f t="shared" si="21"/>
        <v>223380000</v>
      </c>
      <c r="T87" s="159">
        <f t="shared" si="22"/>
        <v>1.0037774851852859E+19</v>
      </c>
      <c r="U87" s="159">
        <f t="shared" si="23"/>
        <v>1.8036431693199568E+21</v>
      </c>
      <c r="V87" s="159">
        <f t="shared" si="24"/>
        <v>8.8112711267862761E+20</v>
      </c>
      <c r="W87" s="159">
        <f t="shared" si="25"/>
        <v>1.1917184661821848E+20</v>
      </c>
      <c r="X87" s="159">
        <f t="shared" si="26"/>
        <v>6.5378992277832892E+19</v>
      </c>
      <c r="Y87" s="159">
        <f t="shared" si="27"/>
        <v>2.8150210465271538E+19</v>
      </c>
      <c r="Z87" s="159">
        <f t="shared" si="28"/>
        <v>1.4411835017733075E+19</v>
      </c>
      <c r="AA87" s="159">
        <f t="shared" si="29"/>
        <v>1.318221212607559E+22</v>
      </c>
      <c r="AB87" s="24"/>
    </row>
    <row r="88" spans="1:28">
      <c r="A88" s="4"/>
      <c r="B88" s="4"/>
      <c r="D88" s="4"/>
      <c r="F88" s="111">
        <v>0</v>
      </c>
      <c r="G88" s="111">
        <v>0</v>
      </c>
      <c r="H88" s="111">
        <v>0</v>
      </c>
      <c r="I88" s="111">
        <v>0</v>
      </c>
      <c r="J88" s="111">
        <v>0</v>
      </c>
      <c r="K88" s="111">
        <v>0</v>
      </c>
      <c r="L88" s="111">
        <v>0</v>
      </c>
      <c r="M88" s="111">
        <v>0</v>
      </c>
      <c r="Q88" s="107">
        <v>86</v>
      </c>
      <c r="R88" s="27">
        <f t="shared" si="20"/>
        <v>7.166666666666667</v>
      </c>
      <c r="S88" s="18">
        <f t="shared" si="21"/>
        <v>226008000</v>
      </c>
      <c r="T88" s="159">
        <f t="shared" si="22"/>
        <v>9.9387392591632712E+18</v>
      </c>
      <c r="U88" s="159">
        <f t="shared" si="23"/>
        <v>1.7989803090868998E+21</v>
      </c>
      <c r="V88" s="159">
        <f t="shared" si="24"/>
        <v>8.8169044190243363E+20</v>
      </c>
      <c r="W88" s="159">
        <f t="shared" si="25"/>
        <v>1.1922043036397658E+20</v>
      </c>
      <c r="X88" s="159">
        <f t="shared" si="26"/>
        <v>6.5479965607758135E+19</v>
      </c>
      <c r="Y88" s="159">
        <f t="shared" si="27"/>
        <v>2.8117167715845951E+19</v>
      </c>
      <c r="Z88" s="159">
        <f t="shared" si="28"/>
        <v>1.4106551953125243E+19</v>
      </c>
      <c r="AA88" s="159">
        <f t="shared" si="29"/>
        <v>1.3144656688588916E+22</v>
      </c>
      <c r="AB88" s="24"/>
    </row>
    <row r="89" spans="1:28">
      <c r="A89" s="4"/>
      <c r="B89" s="4"/>
      <c r="D89" s="4"/>
      <c r="F89" s="111">
        <v>0</v>
      </c>
      <c r="G89" s="111">
        <v>0</v>
      </c>
      <c r="H89" s="111">
        <v>0</v>
      </c>
      <c r="I89" s="111">
        <v>0</v>
      </c>
      <c r="J89" s="111">
        <v>1</v>
      </c>
      <c r="K89" s="111">
        <v>0</v>
      </c>
      <c r="L89" s="111">
        <v>0</v>
      </c>
      <c r="M89" s="111">
        <v>0</v>
      </c>
      <c r="Q89" s="107">
        <v>87</v>
      </c>
      <c r="R89" s="27">
        <f t="shared" si="20"/>
        <v>7.25</v>
      </c>
      <c r="S89" s="18">
        <f t="shared" si="21"/>
        <v>228636000</v>
      </c>
      <c r="T89" s="159">
        <f t="shared" si="22"/>
        <v>9.8399276940431892E+18</v>
      </c>
      <c r="U89" s="159">
        <f t="shared" si="23"/>
        <v>1.7943209194190398E+21</v>
      </c>
      <c r="V89" s="159">
        <f t="shared" si="24"/>
        <v>8.8222991584775569E+20</v>
      </c>
      <c r="W89" s="159">
        <f t="shared" si="25"/>
        <v>1.1926981881530237E+20</v>
      </c>
      <c r="X89" s="159">
        <f t="shared" si="26"/>
        <v>6.5580386181043454E+19</v>
      </c>
      <c r="Y89" s="159">
        <f t="shared" si="27"/>
        <v>2.8084918576918413E+19</v>
      </c>
      <c r="Z89" s="159">
        <f t="shared" si="28"/>
        <v>1.3807735639588434E+19</v>
      </c>
      <c r="AA89" s="159">
        <f t="shared" si="29"/>
        <v>1.3107208244592506E+22</v>
      </c>
      <c r="AB89" s="24"/>
    </row>
    <row r="90" spans="1:28">
      <c r="A90" s="4"/>
      <c r="B90" s="4"/>
      <c r="D90" s="4"/>
      <c r="F90" s="111">
        <v>0</v>
      </c>
      <c r="G90" s="111">
        <v>0</v>
      </c>
      <c r="H90" s="111">
        <v>0</v>
      </c>
      <c r="I90" s="111">
        <v>0</v>
      </c>
      <c r="J90" s="111">
        <v>0</v>
      </c>
      <c r="K90" s="111">
        <v>0</v>
      </c>
      <c r="L90" s="111">
        <v>0</v>
      </c>
      <c r="M90" s="111">
        <v>0</v>
      </c>
      <c r="Q90" s="107">
        <v>88</v>
      </c>
      <c r="R90" s="27">
        <f t="shared" si="20"/>
        <v>7.333333333333333</v>
      </c>
      <c r="S90" s="18">
        <f t="shared" si="21"/>
        <v>231264000</v>
      </c>
      <c r="T90" s="159">
        <f t="shared" si="22"/>
        <v>9.7413663215613501E+18</v>
      </c>
      <c r="U90" s="159">
        <f t="shared" si="23"/>
        <v>1.7896651861770416E+21</v>
      </c>
      <c r="V90" s="159">
        <f t="shared" si="24"/>
        <v>8.8274573727289403E+20</v>
      </c>
      <c r="W90" s="159">
        <f t="shared" si="25"/>
        <v>1.1931989086056546E+20</v>
      </c>
      <c r="X90" s="159">
        <f t="shared" si="26"/>
        <v>6.5680262413963166E+19</v>
      </c>
      <c r="Y90" s="159">
        <f t="shared" si="27"/>
        <v>2.8053451661101142E+19</v>
      </c>
      <c r="Z90" s="159">
        <f t="shared" si="28"/>
        <v>1.3515249093207515E+19</v>
      </c>
      <c r="AA90" s="159">
        <f t="shared" si="29"/>
        <v>1.3069866489267473E+22</v>
      </c>
      <c r="AB90" s="24"/>
    </row>
    <row r="91" spans="1:28">
      <c r="A91" s="4"/>
      <c r="B91" s="4"/>
      <c r="D91" s="4"/>
      <c r="F91" s="111">
        <v>0</v>
      </c>
      <c r="G91" s="111">
        <v>0</v>
      </c>
      <c r="H91" s="111">
        <v>0</v>
      </c>
      <c r="I91" s="111">
        <v>0</v>
      </c>
      <c r="J91" s="111">
        <v>0</v>
      </c>
      <c r="K91" s="111">
        <v>0</v>
      </c>
      <c r="L91" s="111">
        <v>0</v>
      </c>
      <c r="M91" s="111">
        <v>0</v>
      </c>
      <c r="Q91" s="107">
        <v>89</v>
      </c>
      <c r="R91" s="27">
        <f t="shared" si="20"/>
        <v>7.416666666666667</v>
      </c>
      <c r="S91" s="18">
        <f t="shared" si="21"/>
        <v>233892000</v>
      </c>
      <c r="T91" s="159">
        <f t="shared" si="22"/>
        <v>9.6430802426356982E+18</v>
      </c>
      <c r="U91" s="159">
        <f t="shared" si="23"/>
        <v>1.7850132909018817E+21</v>
      </c>
      <c r="V91" s="159">
        <f t="shared" si="24"/>
        <v>8.8323810810423306E+20</v>
      </c>
      <c r="W91" s="159">
        <f t="shared" si="25"/>
        <v>1.1937052982799806E+20</v>
      </c>
      <c r="X91" s="159">
        <f t="shared" si="26"/>
        <v>6.5779602157604831E+19</v>
      </c>
      <c r="Y91" s="159">
        <f t="shared" si="27"/>
        <v>2.8022755312054051E+19</v>
      </c>
      <c r="Z91" s="159">
        <f t="shared" si="28"/>
        <v>1.3228958231770661E+19</v>
      </c>
      <c r="AA91" s="159">
        <f t="shared" si="29"/>
        <v>1.303263111866333E+22</v>
      </c>
      <c r="AB91" s="24"/>
    </row>
    <row r="92" spans="1:28">
      <c r="A92" s="4"/>
      <c r="B92" s="4"/>
      <c r="D92" s="4"/>
      <c r="F92" s="111">
        <v>0</v>
      </c>
      <c r="G92" s="111">
        <v>0</v>
      </c>
      <c r="H92" s="111">
        <v>0</v>
      </c>
      <c r="I92" s="111">
        <v>0</v>
      </c>
      <c r="J92" s="111">
        <v>0</v>
      </c>
      <c r="K92" s="111">
        <v>0</v>
      </c>
      <c r="L92" s="111">
        <v>0</v>
      </c>
      <c r="M92" s="111">
        <v>0</v>
      </c>
      <c r="Q92" s="107">
        <v>90</v>
      </c>
      <c r="R92" s="27">
        <f t="shared" si="20"/>
        <v>7.5</v>
      </c>
      <c r="S92" s="18">
        <f t="shared" si="21"/>
        <v>236520000</v>
      </c>
      <c r="T92" s="159">
        <f t="shared" si="22"/>
        <v>9.5450935249864233E+18</v>
      </c>
      <c r="U92" s="159">
        <f t="shared" si="23"/>
        <v>1.780365410898444E+21</v>
      </c>
      <c r="V92" s="159">
        <f t="shared" si="24"/>
        <v>8.8370722942497744E+20</v>
      </c>
      <c r="W92" s="159">
        <f t="shared" si="25"/>
        <v>1.1942162334983358E+20</v>
      </c>
      <c r="X92" s="159">
        <f t="shared" si="26"/>
        <v>6.5878412718964441E+19</v>
      </c>
      <c r="Y92" s="159">
        <f t="shared" si="27"/>
        <v>2.7992817626817683E+19</v>
      </c>
      <c r="Z92" s="159">
        <f t="shared" si="28"/>
        <v>1.2948731813303153E+19</v>
      </c>
      <c r="AA92" s="159">
        <f t="shared" si="29"/>
        <v>1.2995501829695532E+22</v>
      </c>
      <c r="AB92" s="24"/>
    </row>
    <row r="93" spans="1:28">
      <c r="A93" s="4"/>
      <c r="B93" s="4"/>
      <c r="D93" s="4"/>
      <c r="Q93" s="107">
        <v>91</v>
      </c>
      <c r="R93" s="27">
        <f t="shared" si="20"/>
        <v>7.583333333333333</v>
      </c>
      <c r="S93" s="18">
        <f t="shared" si="21"/>
        <v>239148000</v>
      </c>
      <c r="T93" s="159">
        <f t="shared" si="22"/>
        <v>9.4474292332945367E+18</v>
      </c>
      <c r="U93" s="159">
        <f t="shared" si="23"/>
        <v>1.7757217193175802E+21</v>
      </c>
      <c r="V93" s="159">
        <f t="shared" si="24"/>
        <v>8.8415330146431599E+20</v>
      </c>
      <c r="W93" s="159">
        <f t="shared" si="25"/>
        <v>1.1947306323045278E+20</v>
      </c>
      <c r="X93" s="159">
        <f t="shared" si="26"/>
        <v>6.59767008814022E+19</v>
      </c>
      <c r="Y93" s="159">
        <f t="shared" si="27"/>
        <v>2.7963626477207003E+19</v>
      </c>
      <c r="Z93" s="159">
        <f t="shared" si="28"/>
        <v>1.2674441375903187E+19</v>
      </c>
      <c r="AA93" s="159">
        <f t="shared" si="29"/>
        <v>1.2958478320143012E+22</v>
      </c>
      <c r="AB93" s="24"/>
    </row>
    <row r="94" spans="1:28">
      <c r="A94" s="4"/>
      <c r="B94" s="4"/>
      <c r="D94" s="4"/>
      <c r="F94" s="120" t="s">
        <v>187</v>
      </c>
      <c r="I94" s="19"/>
      <c r="J94" s="19"/>
      <c r="K94" s="19"/>
      <c r="L94" s="19"/>
      <c r="M94" s="19"/>
      <c r="Q94" s="107">
        <v>92</v>
      </c>
      <c r="R94" s="27">
        <f t="shared" si="20"/>
        <v>7.666666666666667</v>
      </c>
      <c r="S94" s="18">
        <f t="shared" si="21"/>
        <v>241776000</v>
      </c>
      <c r="T94" s="159">
        <f t="shared" si="22"/>
        <v>9.350109458585172E+18</v>
      </c>
      <c r="U94" s="159">
        <f t="shared" si="23"/>
        <v>1.7710823852366595E+21</v>
      </c>
      <c r="V94" s="159">
        <f t="shared" si="24"/>
        <v>8.8457652358701371E+20</v>
      </c>
      <c r="W94" s="159">
        <f t="shared" si="25"/>
        <v>1.1952474531841909E+20</v>
      </c>
      <c r="X94" s="159">
        <f t="shared" si="26"/>
        <v>6.607447292447241E+19</v>
      </c>
      <c r="Y94" s="159">
        <f t="shared" si="27"/>
        <v>2.7935169530299236E+19</v>
      </c>
      <c r="Z94" s="159">
        <f t="shared" si="28"/>
        <v>1.2405961178852149E+19</v>
      </c>
      <c r="AA94" s="159">
        <f t="shared" si="29"/>
        <v>1.2921560288645712E+22</v>
      </c>
      <c r="AB94" s="24"/>
    </row>
    <row r="95" spans="1:28" s="4" customFormat="1">
      <c r="C95" s="2"/>
      <c r="E95" s="19"/>
      <c r="F95" s="111">
        <f t="array" ref="F95:M102">[2]!SYSLINSING(F$29:M$36-K42*[2]!M_ID(),,0.001)</f>
        <v>0</v>
      </c>
      <c r="G95" s="111">
        <v>0</v>
      </c>
      <c r="H95" s="111">
        <v>0</v>
      </c>
      <c r="I95" s="111">
        <v>0</v>
      </c>
      <c r="J95" s="111">
        <v>0</v>
      </c>
      <c r="K95" s="111">
        <v>0</v>
      </c>
      <c r="L95" s="111">
        <v>0</v>
      </c>
      <c r="M95" s="111">
        <v>0</v>
      </c>
      <c r="Q95" s="107">
        <v>93</v>
      </c>
      <c r="R95" s="27">
        <f t="shared" si="20"/>
        <v>7.75</v>
      </c>
      <c r="S95" s="18">
        <f t="shared" si="21"/>
        <v>244404000</v>
      </c>
      <c r="T95" s="159">
        <f t="shared" si="22"/>
        <v>9.2531553468542771E+18</v>
      </c>
      <c r="U95" s="159">
        <f t="shared" si="23"/>
        <v>1.7664475737386325E+21</v>
      </c>
      <c r="V95" s="159">
        <f t="shared" si="24"/>
        <v>8.8497709428341434E+20</v>
      </c>
      <c r="W95" s="159">
        <f t="shared" si="25"/>
        <v>1.1957656938228944E+20</v>
      </c>
      <c r="X95" s="159">
        <f t="shared" si="26"/>
        <v>6.6171734643147309E+19</v>
      </c>
      <c r="Y95" s="159">
        <f t="shared" si="27"/>
        <v>2.7907434268047266E+19</v>
      </c>
      <c r="Z95" s="159">
        <f t="shared" si="28"/>
        <v>1.2143168144972313E+19</v>
      </c>
      <c r="AA95" s="159">
        <f t="shared" si="29"/>
        <v>1.2884747434702129E+22</v>
      </c>
      <c r="AB95" s="24"/>
    </row>
    <row r="96" spans="1:28" s="4" customFormat="1">
      <c r="C96" s="2"/>
      <c r="E96" s="19"/>
      <c r="F96" s="111">
        <v>0</v>
      </c>
      <c r="G96" s="111">
        <v>0</v>
      </c>
      <c r="H96" s="111">
        <v>0</v>
      </c>
      <c r="I96" s="111">
        <v>0</v>
      </c>
      <c r="J96" s="111">
        <v>0</v>
      </c>
      <c r="K96" s="111">
        <v>0</v>
      </c>
      <c r="L96" s="111">
        <v>0</v>
      </c>
      <c r="M96" s="111">
        <v>0</v>
      </c>
      <c r="Q96" s="107">
        <v>94</v>
      </c>
      <c r="R96" s="27">
        <f t="shared" si="20"/>
        <v>7.833333333333333</v>
      </c>
      <c r="S96" s="18">
        <f t="shared" si="21"/>
        <v>247032000</v>
      </c>
      <c r="T96" s="159">
        <f t="shared" si="22"/>
        <v>9.1565871269568635E+18</v>
      </c>
      <c r="U96" s="159">
        <f t="shared" si="23"/>
        <v>1.7618174459896424E+21</v>
      </c>
      <c r="V96" s="159">
        <f t="shared" si="24"/>
        <v>8.8535521115985281E+20</v>
      </c>
      <c r="W96" s="159">
        <f t="shared" si="25"/>
        <v>1.1962843899009004E+20</v>
      </c>
      <c r="X96" s="159">
        <f t="shared" si="26"/>
        <v>6.6268491366454624E+19</v>
      </c>
      <c r="Y96" s="159">
        <f t="shared" si="27"/>
        <v>2.7880408006049378E+19</v>
      </c>
      <c r="Z96" s="159">
        <f t="shared" si="28"/>
        <v>1.1885941804205576E+19</v>
      </c>
      <c r="AA96" s="159">
        <f t="shared" si="29"/>
        <v>1.2848039458666883E+22</v>
      </c>
      <c r="AB96" s="24"/>
    </row>
    <row r="97" spans="3:28" s="4" customFormat="1">
      <c r="C97" s="2"/>
      <c r="E97" s="19"/>
      <c r="F97" s="111">
        <v>0</v>
      </c>
      <c r="G97" s="111">
        <v>0</v>
      </c>
      <c r="H97" s="111">
        <v>0</v>
      </c>
      <c r="I97" s="111">
        <v>0</v>
      </c>
      <c r="J97" s="111">
        <v>0</v>
      </c>
      <c r="K97" s="111">
        <v>0</v>
      </c>
      <c r="L97" s="111">
        <v>0</v>
      </c>
      <c r="M97" s="111">
        <v>0</v>
      </c>
      <c r="Q97" s="107">
        <v>95</v>
      </c>
      <c r="R97" s="27">
        <f t="shared" si="20"/>
        <v>7.916666666666667</v>
      </c>
      <c r="S97" s="18">
        <f t="shared" si="21"/>
        <v>249660000</v>
      </c>
      <c r="T97" s="159">
        <f t="shared" si="22"/>
        <v>9.0604241377746821E+18</v>
      </c>
      <c r="U97" s="159">
        <f t="shared" si="23"/>
        <v>1.7571921593151974E+21</v>
      </c>
      <c r="V97" s="159">
        <f t="shared" si="24"/>
        <v>8.8571107092945961E+20</v>
      </c>
      <c r="W97" s="159">
        <f t="shared" si="25"/>
        <v>1.1968026139234807E+20</v>
      </c>
      <c r="X97" s="159">
        <f t="shared" si="26"/>
        <v>6.6364747975539556E+19</v>
      </c>
      <c r="Y97" s="159">
        <f t="shared" si="27"/>
        <v>2.7854077911504904E+19</v>
      </c>
      <c r="Z97" s="159">
        <f t="shared" si="28"/>
        <v>1.1634164238387382E+19</v>
      </c>
      <c r="AA97" s="159">
        <f t="shared" si="29"/>
        <v>1.2811436061748252E+22</v>
      </c>
      <c r="AB97" s="24"/>
    </row>
    <row r="98" spans="3:28" s="4" customFormat="1">
      <c r="C98" s="2"/>
      <c r="E98" s="19"/>
      <c r="F98" s="111">
        <v>0</v>
      </c>
      <c r="G98" s="111">
        <v>0</v>
      </c>
      <c r="H98" s="111">
        <v>0</v>
      </c>
      <c r="I98" s="111">
        <v>0</v>
      </c>
      <c r="J98" s="111">
        <v>0</v>
      </c>
      <c r="K98" s="111">
        <v>0</v>
      </c>
      <c r="L98" s="111">
        <v>0</v>
      </c>
      <c r="M98" s="111">
        <v>0</v>
      </c>
      <c r="Q98" s="107">
        <v>96</v>
      </c>
      <c r="R98" s="27">
        <f t="shared" ref="R98:R129" si="30">S98/(3600*365*24)</f>
        <v>8</v>
      </c>
      <c r="S98" s="18">
        <f t="shared" ref="S98:S129" si="31">Q98*D$5</f>
        <v>252288000</v>
      </c>
      <c r="T98" s="159">
        <f t="shared" ref="T98:T129" si="32">$F$148*EXP($F$24*$S98)+$G$148*EXP($G$24*$S98)+$H$148*EXP($H$24*$S98)+$I$148*EXP($I$24*$S98)+$J$148*EXP($J$24*$S98)+$K$148*EXP($K$24*$S98)+$L$148*EXP($L$24*$S98)+$M$148*EXP($M$24*$S98)</f>
        <v>8.9646848546807706E+18</v>
      </c>
      <c r="U98" s="159">
        <f t="shared" ref="U98:U129" si="33">$F$149*EXP($F$24*$S98)+$G$149*EXP($G$24*$S98)+$H$149*EXP($H$24*$S98)+$I$149*EXP($I$24*$S98)+$J$149*EXP($J$24*$S98)+$K$149*EXP($K$24*$S98)+$L$149*EXP($L$24*$S98)+$M$149*EXP($M$24*$S98)</f>
        <v>1.7525718672749463E+21</v>
      </c>
      <c r="V98" s="159">
        <f t="shared" ref="V98:V129" si="34">$F$150*EXP($F$24*$S98)+$G$150*EXP($G$24*$S98)+$H$150*EXP($H$24*$S98)+$I$150*EXP($I$24*$S98)+$J$150*EXP($J$24*$S98)+$K$150*EXP($K$24*$S98)+$L$150*EXP($L$24*$S98)+$M$150*EXP($M$24*$S98)</f>
        <v>8.8604486940335355E+20</v>
      </c>
      <c r="W98" s="159">
        <f t="shared" ref="W98:W129" si="35">$F$151*EXP($F$24*$S98)+$G$151*EXP($G$24*$S98)+$H$151*EXP($H$24*$S98)+$I$151*EXP($I$24*$S98)+$J$151*EXP($J$24*$S98)+$K$151*EXP($K$24*$S98)+$L$151*EXP($L$24*$S98)+$M$151*EXP($M$24*$S98)</f>
        <v>1.1973194740857641E+20</v>
      </c>
      <c r="X98" s="159">
        <f t="shared" ref="X98:X129" si="36">$F$152*EXP($F$24*$S98)+$G$152*EXP($G$24*$S98)+$H$152*EXP($H$24*$S98)+$I$152*EXP($I$24*$S98)+$J$152*EXP($J$24*$S98)+$K$152*EXP($K$24*$S98)+$L$152*EXP($L$24*$S98)+$M$152*EXP($M$24*$S98)</f>
        <v>6.6460508921175769E+19</v>
      </c>
      <c r="Y98" s="159">
        <f t="shared" ref="Y98:Y129" si="37">$F$153*EXP($F$24*$S98)+$G$153*EXP($G$24*$S98)+$H$153*EXP($H$24*$S98)+$I$153*EXP($I$24*$S98)+$J$153*EXP($J$24*$S98)+$K$153*EXP($K$24*$S98)+$L$153*EXP($L$24*$S98)+$M$153*EXP($M$24*$S98)</f>
        <v>2.7828431020384694E+19</v>
      </c>
      <c r="Z98" s="159">
        <f t="shared" ref="Z98:Z129" si="38">$F$154*EXP($F$24*$S98)+$G$154*EXP($G$24*$S98)+$H$154*EXP($H$24*$S98)+$I$154*EXP($I$24*$S98)+$J$154*EXP($J$24*$S98)+$K$154*EXP($K$24*$S98)+$L$154*EXP($L$24*$S98)+$M$154*EXP($M$24*$S98)</f>
        <v>1.1387720027190438E+19</v>
      </c>
      <c r="AA98" s="159">
        <f t="shared" ref="AA98:AA129" si="39">$F$155*EXP($F$24*$S98)+$G$155*EXP($G$24*$S98)+$H$155*EXP($H$24*$S98)+$I$155*EXP($I$24*$S98)+$J$155*EXP($J$24*$S98)+$K$155*EXP($K$24*$S98)+$L$155*EXP($L$24*$S98)+$M$155*EXP($M$24*$S98)</f>
        <v>1.2774936946005777E+22</v>
      </c>
      <c r="AB98" s="24"/>
    </row>
    <row r="99" spans="3:28" s="4" customFormat="1">
      <c r="C99" s="2"/>
      <c r="E99" s="19"/>
      <c r="F99" s="111">
        <v>0</v>
      </c>
      <c r="G99" s="111">
        <v>0</v>
      </c>
      <c r="H99" s="111">
        <v>0</v>
      </c>
      <c r="I99" s="111">
        <v>0</v>
      </c>
      <c r="J99" s="111">
        <v>0</v>
      </c>
      <c r="K99" s="111">
        <v>-0.18242386315631542</v>
      </c>
      <c r="L99" s="111">
        <v>0</v>
      </c>
      <c r="M99" s="111">
        <v>0</v>
      </c>
      <c r="Q99" s="107">
        <v>97</v>
      </c>
      <c r="R99" s="27">
        <f t="shared" si="30"/>
        <v>8.0833333333333339</v>
      </c>
      <c r="S99" s="18">
        <f t="shared" si="31"/>
        <v>254916000</v>
      </c>
      <c r="T99" s="159">
        <f t="shared" si="32"/>
        <v>8.8693869153178419E+18</v>
      </c>
      <c r="U99" s="159">
        <f t="shared" si="33"/>
        <v>1.7479567197360617E+21</v>
      </c>
      <c r="V99" s="159">
        <f t="shared" si="34"/>
        <v>8.8635680148221329E+20</v>
      </c>
      <c r="W99" s="159">
        <f t="shared" si="35"/>
        <v>1.197834113171087E+20</v>
      </c>
      <c r="X99" s="159">
        <f t="shared" si="36"/>
        <v>6.6555778240733872E+19</v>
      </c>
      <c r="Y99" s="159">
        <f t="shared" si="37"/>
        <v>2.7803454253844066E+19</v>
      </c>
      <c r="Z99" s="159">
        <f t="shared" si="38"/>
        <v>1.1146496195213521E+19</v>
      </c>
      <c r="AA99" s="159">
        <f t="shared" si="39"/>
        <v>1.2738541814347798E+22</v>
      </c>
      <c r="AB99" s="24"/>
    </row>
    <row r="100" spans="3:28" s="4" customFormat="1">
      <c r="C100" s="2"/>
      <c r="E100" s="19"/>
      <c r="F100" s="111">
        <v>0</v>
      </c>
      <c r="G100" s="111">
        <v>0</v>
      </c>
      <c r="H100" s="111">
        <v>0</v>
      </c>
      <c r="I100" s="111">
        <v>0</v>
      </c>
      <c r="J100" s="111">
        <v>0</v>
      </c>
      <c r="K100" s="111">
        <v>1</v>
      </c>
      <c r="L100" s="111">
        <v>0</v>
      </c>
      <c r="M100" s="111">
        <v>0</v>
      </c>
      <c r="Q100" s="107">
        <v>98</v>
      </c>
      <c r="R100" s="27">
        <f t="shared" si="30"/>
        <v>8.1666666666666661</v>
      </c>
      <c r="S100" s="18">
        <f t="shared" si="31"/>
        <v>257544000</v>
      </c>
      <c r="T100" s="159">
        <f t="shared" si="32"/>
        <v>8.7745471447070269E+18</v>
      </c>
      <c r="U100" s="159">
        <f t="shared" si="33"/>
        <v>1.7433468629452768E+21</v>
      </c>
      <c r="V100" s="159">
        <f t="shared" si="34"/>
        <v>8.8664706114821476E+20</v>
      </c>
      <c r="W100" s="159">
        <f t="shared" si="35"/>
        <v>1.1983457074818694E+20</v>
      </c>
      <c r="X100" s="159">
        <f t="shared" si="36"/>
        <v>6.6650559574629319E+19</v>
      </c>
      <c r="Y100" s="159">
        <f t="shared" si="37"/>
        <v>2.7779134433905164E+19</v>
      </c>
      <c r="Z100" s="159">
        <f t="shared" si="38"/>
        <v>1.0910382160191103E+19</v>
      </c>
      <c r="AA100" s="159">
        <f t="shared" si="39"/>
        <v>1.2702250370529061E+22</v>
      </c>
      <c r="AB100" s="24"/>
    </row>
    <row r="101" spans="3:28" s="4" customFormat="1">
      <c r="C101" s="2"/>
      <c r="E101" s="19"/>
      <c r="F101" s="111">
        <v>0</v>
      </c>
      <c r="G101" s="111">
        <v>0</v>
      </c>
      <c r="H101" s="111">
        <v>0</v>
      </c>
      <c r="I101" s="111">
        <v>0</v>
      </c>
      <c r="J101" s="111">
        <v>0</v>
      </c>
      <c r="K101" s="111">
        <v>0</v>
      </c>
      <c r="L101" s="111">
        <v>0</v>
      </c>
      <c r="M101" s="111">
        <v>0</v>
      </c>
      <c r="Q101" s="107">
        <v>99</v>
      </c>
      <c r="R101" s="27">
        <f t="shared" si="30"/>
        <v>8.25</v>
      </c>
      <c r="S101" s="18">
        <f t="shared" si="31"/>
        <v>260172000</v>
      </c>
      <c r="T101" s="159">
        <f t="shared" si="32"/>
        <v>8.6801815797033759E+18</v>
      </c>
      <c r="U101" s="159">
        <f t="shared" si="33"/>
        <v>1.7387424395995833E+21</v>
      </c>
      <c r="V101" s="159">
        <f t="shared" si="34"/>
        <v>8.8691584145733491E+20</v>
      </c>
      <c r="W101" s="159">
        <f t="shared" si="35"/>
        <v>1.1988534658020621E+20</v>
      </c>
      <c r="X101" s="159">
        <f t="shared" si="36"/>
        <v>6.6744856182258336E+19</v>
      </c>
      <c r="Y101" s="159">
        <f t="shared" si="37"/>
        <v>2.7755458298434707E+19</v>
      </c>
      <c r="Z101" s="159">
        <f t="shared" si="38"/>
        <v>1.0679269682300021E+19</v>
      </c>
      <c r="AA101" s="159">
        <f t="shared" si="39"/>
        <v>1.2666062319148302E+22</v>
      </c>
      <c r="AB101" s="24"/>
    </row>
    <row r="102" spans="3:28" s="4" customFormat="1">
      <c r="C102" s="2"/>
      <c r="E102" s="19"/>
      <c r="F102" s="111">
        <v>0</v>
      </c>
      <c r="G102" s="111">
        <v>0</v>
      </c>
      <c r="H102" s="111">
        <v>0</v>
      </c>
      <c r="I102" s="111">
        <v>0</v>
      </c>
      <c r="J102" s="111">
        <v>0</v>
      </c>
      <c r="K102" s="111">
        <v>0</v>
      </c>
      <c r="L102" s="111">
        <v>0</v>
      </c>
      <c r="M102" s="111">
        <v>0</v>
      </c>
      <c r="Q102" s="107">
        <v>100</v>
      </c>
      <c r="R102" s="27">
        <f t="shared" si="30"/>
        <v>8.3333333333333339</v>
      </c>
      <c r="S102" s="18">
        <f t="shared" si="31"/>
        <v>262800000</v>
      </c>
      <c r="T102" s="159">
        <f t="shared" si="32"/>
        <v>8.5863054928138015E+18</v>
      </c>
      <c r="U102" s="159">
        <f t="shared" si="33"/>
        <v>1.7341435889156235E+21</v>
      </c>
      <c r="V102" s="159">
        <f t="shared" si="34"/>
        <v>8.8716333453200314E+20</v>
      </c>
      <c r="W102" s="159">
        <f t="shared" si="35"/>
        <v>1.1993566283902329E+20</v>
      </c>
      <c r="X102" s="159">
        <f t="shared" si="36"/>
        <v>6.6838670957444071E+19</v>
      </c>
      <c r="Y102" s="159">
        <f t="shared" si="37"/>
        <v>2.7732412515442426E+19</v>
      </c>
      <c r="Z102" s="159">
        <f t="shared" si="38"/>
        <v>1.0453052814539979E+19</v>
      </c>
      <c r="AA102" s="159">
        <f t="shared" si="39"/>
        <v>1.2629977365645835E+22</v>
      </c>
      <c r="AB102" s="24"/>
    </row>
    <row r="103" spans="3:28" s="4" customFormat="1">
      <c r="C103" s="2"/>
      <c r="E103" s="19"/>
      <c r="F103" s="19"/>
      <c r="G103" s="110"/>
      <c r="H103" s="110"/>
      <c r="I103" s="110"/>
      <c r="J103" s="110"/>
      <c r="K103" s="110"/>
      <c r="L103" s="110"/>
      <c r="M103" s="110"/>
      <c r="N103" s="110"/>
      <c r="O103" s="110"/>
      <c r="P103" s="19"/>
      <c r="Q103" s="107">
        <v>101</v>
      </c>
      <c r="R103" s="27">
        <f t="shared" si="30"/>
        <v>8.4166666666666661</v>
      </c>
      <c r="S103" s="18">
        <f t="shared" si="31"/>
        <v>265428000</v>
      </c>
      <c r="T103" s="159">
        <f t="shared" si="32"/>
        <v>8.492933415393022E+18</v>
      </c>
      <c r="U103" s="159">
        <f t="shared" si="33"/>
        <v>1.7295504466977937E+21</v>
      </c>
      <c r="V103" s="159">
        <f t="shared" si="34"/>
        <v>8.8738973155409841E+20</v>
      </c>
      <c r="W103" s="159">
        <f t="shared" si="35"/>
        <v>1.1998544660023974E+20</v>
      </c>
      <c r="X103" s="159">
        <f t="shared" si="36"/>
        <v>6.6932006443399676E+19</v>
      </c>
      <c r="Y103" s="159">
        <f t="shared" si="37"/>
        <v>2.7709983696724394E+19</v>
      </c>
      <c r="Z103" s="159">
        <f t="shared" si="38"/>
        <v>1.0231627854165137E+19</v>
      </c>
      <c r="AA103" s="159">
        <f t="shared" si="39"/>
        <v>1.2593995216301161E+22</v>
      </c>
      <c r="AB103" s="24"/>
    </row>
    <row r="104" spans="3:28" s="4" customFormat="1">
      <c r="C104" s="2"/>
      <c r="E104" s="19"/>
      <c r="F104" s="120" t="s">
        <v>188</v>
      </c>
      <c r="G104" s="110"/>
      <c r="H104" s="110"/>
      <c r="I104" s="19"/>
      <c r="J104" s="19"/>
      <c r="K104" s="19"/>
      <c r="L104" s="19"/>
      <c r="M104" s="19"/>
      <c r="N104" s="110"/>
      <c r="O104" s="110"/>
      <c r="P104" s="19"/>
      <c r="Q104" s="107">
        <v>102</v>
      </c>
      <c r="R104" s="27">
        <f t="shared" si="30"/>
        <v>8.5</v>
      </c>
      <c r="S104" s="18">
        <f t="shared" si="31"/>
        <v>268056000</v>
      </c>
      <c r="T104" s="159">
        <f t="shared" si="32"/>
        <v>8.4000791602326098E+18</v>
      </c>
      <c r="U104" s="159">
        <f t="shared" si="33"/>
        <v>1.7249631454050892E+21</v>
      </c>
      <c r="V104" s="159">
        <f t="shared" si="34"/>
        <v>8.8759522275828328E+20</v>
      </c>
      <c r="W104" s="159">
        <f t="shared" si="35"/>
        <v>1.2003462789437132E+20</v>
      </c>
      <c r="X104" s="159">
        <f t="shared" si="36"/>
        <v>6.7024864847227978E+19</v>
      </c>
      <c r="Y104" s="159">
        <f t="shared" si="37"/>
        <v>2.7688158410874962E+19</v>
      </c>
      <c r="Z104" s="159">
        <f t="shared" si="38"/>
        <v>1.0014893295144511E+19</v>
      </c>
      <c r="AA104" s="159">
        <f t="shared" si="39"/>
        <v>1.2558115578230574E+22</v>
      </c>
      <c r="AB104" s="24"/>
    </row>
    <row r="105" spans="3:28" s="4" customFormat="1">
      <c r="C105" s="2"/>
      <c r="E105" s="19"/>
      <c r="F105" s="111">
        <f t="array" ref="F105:M112">[2]!SYSLINSING(F$29:M$36-L42*[2]!M_ID(),,0.001)</f>
        <v>0</v>
      </c>
      <c r="G105" s="111">
        <v>0</v>
      </c>
      <c r="H105" s="111">
        <v>0</v>
      </c>
      <c r="I105" s="111">
        <v>0</v>
      </c>
      <c r="J105" s="111">
        <v>0</v>
      </c>
      <c r="K105" s="111">
        <v>0</v>
      </c>
      <c r="L105" s="111">
        <v>-0.9852266581949094</v>
      </c>
      <c r="M105" s="111">
        <v>0</v>
      </c>
      <c r="P105" s="19"/>
      <c r="Q105" s="107">
        <v>103</v>
      </c>
      <c r="R105" s="27">
        <f t="shared" si="30"/>
        <v>8.5833333333333339</v>
      </c>
      <c r="S105" s="18">
        <f t="shared" si="31"/>
        <v>270684000</v>
      </c>
      <c r="T105" s="159">
        <f t="shared" si="32"/>
        <v>8.3077558435578593E+18</v>
      </c>
      <c r="U105" s="159">
        <f t="shared" si="33"/>
        <v>1.7203818142167057E+21</v>
      </c>
      <c r="V105" s="159">
        <f t="shared" si="34"/>
        <v>8.8777999742566649E+20</v>
      </c>
      <c r="W105" s="159">
        <f t="shared" si="35"/>
        <v>1.2008313961482045E+20</v>
      </c>
      <c r="X105" s="159">
        <f t="shared" si="36"/>
        <v>6.7117248053967585E+19</v>
      </c>
      <c r="Y105" s="159">
        <f t="shared" si="37"/>
        <v>2.7666923195689878E+19</v>
      </c>
      <c r="Z105" s="159">
        <f t="shared" si="38"/>
        <v>9.8027497816293908E+18</v>
      </c>
      <c r="AA105" s="159">
        <f t="shared" si="39"/>
        <v>1.2522338159384783E+22</v>
      </c>
      <c r="AB105" s="24"/>
    </row>
    <row r="106" spans="3:28" s="4" customFormat="1">
      <c r="C106" s="2"/>
      <c r="E106" s="19"/>
      <c r="F106" s="111">
        <v>0</v>
      </c>
      <c r="G106" s="111">
        <v>0</v>
      </c>
      <c r="H106" s="111">
        <v>0</v>
      </c>
      <c r="I106" s="111">
        <v>0</v>
      </c>
      <c r="J106" s="111">
        <v>0</v>
      </c>
      <c r="K106" s="111">
        <v>0</v>
      </c>
      <c r="L106" s="111">
        <v>3.605159597885232</v>
      </c>
      <c r="M106" s="111">
        <v>0</v>
      </c>
      <c r="P106" s="19"/>
      <c r="Q106" s="107">
        <v>104</v>
      </c>
      <c r="R106" s="27">
        <f t="shared" si="30"/>
        <v>8.6666666666666661</v>
      </c>
      <c r="S106" s="18">
        <f t="shared" si="31"/>
        <v>273312000</v>
      </c>
      <c r="T106" s="159">
        <f t="shared" si="32"/>
        <v>8.2159759064469463E+18</v>
      </c>
      <c r="U106" s="159">
        <f t="shared" si="33"/>
        <v>1.7158065790964256E+21</v>
      </c>
      <c r="V106" s="159">
        <f t="shared" si="34"/>
        <v>8.8794424387778458E+20</v>
      </c>
      <c r="W106" s="159">
        <f t="shared" si="35"/>
        <v>1.2013091742856779E+20</v>
      </c>
      <c r="X106" s="159">
        <f t="shared" si="36"/>
        <v>6.7209157640200421E+19</v>
      </c>
      <c r="Y106" s="159">
        <f t="shared" si="37"/>
        <v>2.7646264569982939E+19</v>
      </c>
      <c r="Z106" s="159">
        <f t="shared" si="38"/>
        <v>9.5951000624064573E+18</v>
      </c>
      <c r="AA106" s="159">
        <f t="shared" si="39"/>
        <v>1.2486662668546524E+22</v>
      </c>
      <c r="AB106" s="24"/>
    </row>
    <row r="107" spans="3:28" s="4" customFormat="1">
      <c r="C107" s="2"/>
      <c r="E107" s="19"/>
      <c r="F107" s="111">
        <v>0</v>
      </c>
      <c r="G107" s="111">
        <v>0</v>
      </c>
      <c r="H107" s="111">
        <v>0</v>
      </c>
      <c r="I107" s="111">
        <v>0</v>
      </c>
      <c r="J107" s="111">
        <v>0</v>
      </c>
      <c r="K107" s="111">
        <v>0</v>
      </c>
      <c r="L107" s="111">
        <v>-1.1167345866218747</v>
      </c>
      <c r="M107" s="111">
        <v>0</v>
      </c>
      <c r="P107" s="19"/>
      <c r="Q107" s="107">
        <v>105</v>
      </c>
      <c r="R107" s="27">
        <f t="shared" si="30"/>
        <v>8.75</v>
      </c>
      <c r="S107" s="18">
        <f t="shared" si="31"/>
        <v>275940000</v>
      </c>
      <c r="T107" s="159">
        <f t="shared" si="32"/>
        <v>8.1247511356864614E+18</v>
      </c>
      <c r="U107" s="159">
        <f t="shared" si="33"/>
        <v>1.7112375628558049E+21</v>
      </c>
      <c r="V107" s="159">
        <f t="shared" si="34"/>
        <v>8.8808814947089803E+20</v>
      </c>
      <c r="W107" s="159">
        <f t="shared" si="35"/>
        <v>1.20177899689504E+20</v>
      </c>
      <c r="X107" s="159">
        <f t="shared" si="36"/>
        <v>6.730059488723275E+19</v>
      </c>
      <c r="Y107" s="159">
        <f t="shared" si="37"/>
        <v>2.7626169044837147E+19</v>
      </c>
      <c r="Z107" s="159">
        <f t="shared" si="38"/>
        <v>9.39184894631569E+18</v>
      </c>
      <c r="AA107" s="159">
        <f t="shared" si="39"/>
        <v>1.2451088815328204E+22</v>
      </c>
      <c r="AB107" s="24"/>
    </row>
    <row r="108" spans="3:28" s="4" customFormat="1">
      <c r="C108" s="2"/>
      <c r="E108" s="19"/>
      <c r="F108" s="111">
        <v>0</v>
      </c>
      <c r="G108" s="111">
        <v>0</v>
      </c>
      <c r="H108" s="111">
        <v>0</v>
      </c>
      <c r="I108" s="111">
        <v>0</v>
      </c>
      <c r="J108" s="111">
        <v>0</v>
      </c>
      <c r="K108" s="111">
        <v>0</v>
      </c>
      <c r="L108" s="111">
        <v>-0.52237756644070721</v>
      </c>
      <c r="M108" s="111">
        <v>0</v>
      </c>
      <c r="P108" s="19"/>
      <c r="Q108" s="107">
        <v>106</v>
      </c>
      <c r="R108" s="27">
        <f t="shared" si="30"/>
        <v>8.8333333333333339</v>
      </c>
      <c r="S108" s="18">
        <f t="shared" si="31"/>
        <v>278568000</v>
      </c>
      <c r="T108" s="159">
        <f t="shared" si="32"/>
        <v>8.0340926840770028E+18</v>
      </c>
      <c r="U108" s="159">
        <f t="shared" si="33"/>
        <v>1.706674885216188E+21</v>
      </c>
      <c r="V108" s="159">
        <f t="shared" si="34"/>
        <v>8.8821190059059302E+20</v>
      </c>
      <c r="W108" s="159">
        <f t="shared" si="35"/>
        <v>1.2022402735432429E+20</v>
      </c>
      <c r="X108" s="159">
        <f t="shared" si="36"/>
        <v>6.7391560793861423E+19</v>
      </c>
      <c r="Y108" s="159">
        <f t="shared" si="37"/>
        <v>2.7606623134311199E+19</v>
      </c>
      <c r="Z108" s="159">
        <f t="shared" si="38"/>
        <v>9.1929032586126889E+18</v>
      </c>
      <c r="AA108" s="159">
        <f t="shared" si="39"/>
        <v>1.2415616310169521E+22</v>
      </c>
      <c r="AB108" s="24"/>
    </row>
    <row r="109" spans="3:28" s="4" customFormat="1">
      <c r="C109" s="2"/>
      <c r="E109" s="19"/>
      <c r="F109" s="111">
        <v>0</v>
      </c>
      <c r="G109" s="111">
        <v>0</v>
      </c>
      <c r="H109" s="111">
        <v>0</v>
      </c>
      <c r="I109" s="111">
        <v>0</v>
      </c>
      <c r="J109" s="111">
        <v>0</v>
      </c>
      <c r="K109" s="111">
        <v>0</v>
      </c>
      <c r="L109" s="111">
        <v>5.0502654629887747E-2</v>
      </c>
      <c r="M109" s="111">
        <v>0</v>
      </c>
      <c r="P109" s="19"/>
      <c r="Q109" s="107">
        <v>107</v>
      </c>
      <c r="R109" s="27">
        <f t="shared" si="30"/>
        <v>8.9166666666666661</v>
      </c>
      <c r="S109" s="18">
        <f t="shared" si="31"/>
        <v>281196000</v>
      </c>
      <c r="T109" s="159">
        <f t="shared" si="32"/>
        <v>7.9440110902023526E+18</v>
      </c>
      <c r="U109" s="159">
        <f t="shared" si="33"/>
        <v>1.7021186628695679E+21</v>
      </c>
      <c r="V109" s="159">
        <f t="shared" si="34"/>
        <v>8.883156826466804E+20</v>
      </c>
      <c r="W109" s="159">
        <f t="shared" si="35"/>
        <v>1.2026924390090988E+20</v>
      </c>
      <c r="X109" s="159">
        <f t="shared" si="36"/>
        <v>6.7482056088739217E+19</v>
      </c>
      <c r="Y109" s="159">
        <f t="shared" si="37"/>
        <v>2.7587613365621391E+19</v>
      </c>
      <c r="Z109" s="159">
        <f t="shared" si="38"/>
        <v>8.9981717982553221E+18</v>
      </c>
      <c r="AA109" s="159">
        <f t="shared" si="39"/>
        <v>1.2380244864335115E+22</v>
      </c>
      <c r="AB109" s="24"/>
    </row>
    <row r="110" spans="3:28" s="4" customFormat="1">
      <c r="C110" s="2"/>
      <c r="E110" s="19"/>
      <c r="F110" s="111">
        <v>0</v>
      </c>
      <c r="G110" s="111">
        <v>0</v>
      </c>
      <c r="H110" s="111">
        <v>0</v>
      </c>
      <c r="I110" s="111">
        <v>0</v>
      </c>
      <c r="J110" s="111">
        <v>0</v>
      </c>
      <c r="K110" s="111">
        <v>0</v>
      </c>
      <c r="L110" s="111">
        <v>0.6682571584151511</v>
      </c>
      <c r="M110" s="111">
        <v>0</v>
      </c>
      <c r="P110" s="19"/>
      <c r="Q110" s="107">
        <v>108</v>
      </c>
      <c r="R110" s="27">
        <f t="shared" si="30"/>
        <v>9</v>
      </c>
      <c r="S110" s="18">
        <f t="shared" si="31"/>
        <v>283824000</v>
      </c>
      <c r="T110" s="159">
        <f t="shared" si="32"/>
        <v>7.8545162976752906E+18</v>
      </c>
      <c r="U110" s="159">
        <f t="shared" si="33"/>
        <v>1.6975690095383137E+21</v>
      </c>
      <c r="V110" s="159">
        <f t="shared" si="34"/>
        <v>8.8839968006838918E+20</v>
      </c>
      <c r="W110" s="159">
        <f t="shared" si="35"/>
        <v>1.2031349524912466E+20</v>
      </c>
      <c r="X110" s="159">
        <f t="shared" si="36"/>
        <v>6.7572081242347733E+19</v>
      </c>
      <c r="Y110" s="159">
        <f t="shared" si="37"/>
        <v>2.7569126288817783E+19</v>
      </c>
      <c r="Z110" s="159">
        <f t="shared" si="38"/>
        <v>8.8075652960951798E+18</v>
      </c>
      <c r="AA110" s="159">
        <f t="shared" si="39"/>
        <v>1.2344974189912226E+22</v>
      </c>
      <c r="AB110" s="24"/>
    </row>
    <row r="111" spans="3:28" s="4" customFormat="1">
      <c r="C111" s="2"/>
      <c r="E111" s="19"/>
      <c r="F111" s="111">
        <v>0</v>
      </c>
      <c r="G111" s="111">
        <v>0</v>
      </c>
      <c r="H111" s="111">
        <v>0</v>
      </c>
      <c r="I111" s="111">
        <v>0</v>
      </c>
      <c r="J111" s="111">
        <v>0</v>
      </c>
      <c r="K111" s="111">
        <v>0</v>
      </c>
      <c r="L111" s="111">
        <v>1</v>
      </c>
      <c r="M111" s="111">
        <v>0</v>
      </c>
      <c r="P111" s="19"/>
      <c r="Q111" s="107">
        <v>109</v>
      </c>
      <c r="R111" s="27">
        <f t="shared" si="30"/>
        <v>9.0833333333333339</v>
      </c>
      <c r="S111" s="18">
        <f t="shared" si="31"/>
        <v>286452000</v>
      </c>
      <c r="T111" s="159">
        <f t="shared" si="32"/>
        <v>7.7656176738728622E+18</v>
      </c>
      <c r="U111" s="159">
        <f t="shared" si="33"/>
        <v>1.6930260360337841E+21</v>
      </c>
      <c r="V111" s="159">
        <f t="shared" si="34"/>
        <v>8.8846407629983895E+20</v>
      </c>
      <c r="W111" s="159">
        <f t="shared" si="35"/>
        <v>1.2035672968395402E+20</v>
      </c>
      <c r="X111" s="159">
        <f t="shared" si="36"/>
        <v>6.7661636478593335E+19</v>
      </c>
      <c r="Y111" s="159">
        <f t="shared" si="37"/>
        <v>2.7551148485973688E+19</v>
      </c>
      <c r="Z111" s="159">
        <f t="shared" si="38"/>
        <v>8.6209963739546542E+18</v>
      </c>
      <c r="AA111" s="159">
        <f t="shared" si="39"/>
        <v>1.2309803999808339E+22</v>
      </c>
      <c r="AB111" s="24"/>
    </row>
    <row r="112" spans="3:28" s="4" customFormat="1">
      <c r="C112" s="2"/>
      <c r="E112" s="19"/>
      <c r="F112" s="111">
        <v>0</v>
      </c>
      <c r="G112" s="111">
        <v>0</v>
      </c>
      <c r="H112" s="111">
        <v>0</v>
      </c>
      <c r="I112" s="111">
        <v>0</v>
      </c>
      <c r="J112" s="111">
        <v>0</v>
      </c>
      <c r="K112" s="111">
        <v>0</v>
      </c>
      <c r="L112" s="111">
        <v>0</v>
      </c>
      <c r="M112" s="111">
        <v>0</v>
      </c>
      <c r="P112" s="19"/>
      <c r="Q112" s="107">
        <v>110</v>
      </c>
      <c r="R112" s="27">
        <f t="shared" si="30"/>
        <v>9.1666666666666661</v>
      </c>
      <c r="S112" s="18">
        <f t="shared" si="31"/>
        <v>289080000</v>
      </c>
      <c r="T112" s="159">
        <f t="shared" si="32"/>
        <v>7.6773240281736581E+18</v>
      </c>
      <c r="U112" s="159">
        <f t="shared" si="33"/>
        <v>1.6884898503138489E+21</v>
      </c>
      <c r="V112" s="159">
        <f t="shared" si="34"/>
        <v>8.8850905379579599E+20</v>
      </c>
      <c r="W112" s="159">
        <f t="shared" si="35"/>
        <v>1.2039889778091986E+20</v>
      </c>
      <c r="X112" s="159">
        <f t="shared" si="36"/>
        <v>6.7750721786031768E+19</v>
      </c>
      <c r="Y112" s="159">
        <f t="shared" si="37"/>
        <v>2.7533666579906404E+19</v>
      </c>
      <c r="Z112" s="159">
        <f t="shared" si="38"/>
        <v>8.438379504570879E+18</v>
      </c>
      <c r="AA112" s="159">
        <f t="shared" si="39"/>
        <v>1.2274734007748846E+22</v>
      </c>
      <c r="AB112" s="24"/>
    </row>
    <row r="113" spans="1:28" s="4" customFormat="1">
      <c r="C113" s="2"/>
      <c r="E113" s="19"/>
      <c r="F113" s="19"/>
      <c r="G113" s="110"/>
      <c r="H113" s="110"/>
      <c r="I113" s="110"/>
      <c r="J113" s="110"/>
      <c r="K113" s="110"/>
      <c r="L113" s="110"/>
      <c r="M113" s="110"/>
      <c r="N113" s="110"/>
      <c r="O113" s="110"/>
      <c r="P113" s="19"/>
      <c r="Q113" s="107">
        <v>111</v>
      </c>
      <c r="R113" s="27">
        <f t="shared" si="30"/>
        <v>9.25</v>
      </c>
      <c r="S113" s="18">
        <f t="shared" si="31"/>
        <v>291708000</v>
      </c>
      <c r="T113" s="159">
        <f t="shared" si="32"/>
        <v>7.5896436297092618E+18</v>
      </c>
      <c r="U113" s="159">
        <f t="shared" si="33"/>
        <v>1.6839605575393395E+21</v>
      </c>
      <c r="V113" s="159">
        <f t="shared" si="34"/>
        <v>8.8853479401769547E+20</v>
      </c>
      <c r="W113" s="159">
        <f t="shared" si="35"/>
        <v>1.2043995233370256E+20</v>
      </c>
      <c r="X113" s="159">
        <f t="shared" si="36"/>
        <v>6.7839336928738509E+19</v>
      </c>
      <c r="Y113" s="159">
        <f t="shared" si="37"/>
        <v>2.7516667242446529E+19</v>
      </c>
      <c r="Z113" s="159">
        <f t="shared" si="38"/>
        <v>8.2596309723881574E+18</v>
      </c>
      <c r="AA113" s="159">
        <f t="shared" si="39"/>
        <v>1.2239763928274726E+22</v>
      </c>
      <c r="AB113" s="24"/>
    </row>
    <row r="114" spans="1:28" s="4" customFormat="1">
      <c r="C114" s="2"/>
      <c r="E114" s="19"/>
      <c r="F114" s="120" t="s">
        <v>189</v>
      </c>
      <c r="G114" s="110"/>
      <c r="H114" s="110"/>
      <c r="I114" s="19"/>
      <c r="J114" s="19"/>
      <c r="K114" s="19"/>
      <c r="L114" s="19"/>
      <c r="M114" s="19"/>
      <c r="N114" s="110"/>
      <c r="O114" s="110"/>
      <c r="P114" s="19"/>
      <c r="Q114" s="107">
        <v>112</v>
      </c>
      <c r="R114" s="27">
        <f t="shared" si="30"/>
        <v>9.3333333333333339</v>
      </c>
      <c r="S114" s="18">
        <f t="shared" si="31"/>
        <v>294336000</v>
      </c>
      <c r="T114" s="159">
        <f t="shared" si="32"/>
        <v>7.5025842246418391E+18</v>
      </c>
      <c r="U114" s="159">
        <f t="shared" si="33"/>
        <v>1.6794382601294402E+21</v>
      </c>
      <c r="V114" s="159">
        <f t="shared" si="34"/>
        <v>8.8854147742993102E+20</v>
      </c>
      <c r="W114" s="159">
        <f t="shared" si="35"/>
        <v>1.204798482839069E+20</v>
      </c>
      <c r="X114" s="159">
        <f t="shared" si="36"/>
        <v>6.7927481456829891E+19</v>
      </c>
      <c r="Y114" s="159">
        <f t="shared" si="37"/>
        <v>2.7500137202272711E+19</v>
      </c>
      <c r="Z114" s="159">
        <f t="shared" si="38"/>
        <v>8.0846688351809382E+18</v>
      </c>
      <c r="AA114" s="159">
        <f t="shared" si="39"/>
        <v>1.2204893476740215E+22</v>
      </c>
      <c r="AB114" s="24"/>
    </row>
    <row r="115" spans="1:28" s="4" customFormat="1">
      <c r="C115" s="2"/>
      <c r="E115" s="19"/>
      <c r="F115" s="111">
        <f t="array" ref="F115:M122">[2]!SYSLINSING(F$29:M$36-M42*[2]!M_ID(),,0.0001)</f>
        <v>0</v>
      </c>
      <c r="G115" s="111">
        <v>0</v>
      </c>
      <c r="H115" s="111">
        <v>0</v>
      </c>
      <c r="I115" s="111">
        <v>0</v>
      </c>
      <c r="J115" s="111">
        <v>0</v>
      </c>
      <c r="K115" s="111">
        <v>0</v>
      </c>
      <c r="L115" s="111">
        <v>0</v>
      </c>
      <c r="M115" s="111">
        <v>0</v>
      </c>
      <c r="O115" s="110"/>
      <c r="P115" s="19"/>
      <c r="Q115" s="107">
        <v>113</v>
      </c>
      <c r="R115" s="27">
        <f t="shared" si="30"/>
        <v>9.4166666666666661</v>
      </c>
      <c r="S115" s="18">
        <f t="shared" si="31"/>
        <v>296964000</v>
      </c>
      <c r="T115" s="159">
        <f t="shared" si="32"/>
        <v>7.4161530529795123E+18</v>
      </c>
      <c r="U115" s="159">
        <f t="shared" si="33"/>
        <v>1.6749230578160511E+21</v>
      </c>
      <c r="V115" s="159">
        <f t="shared" si="34"/>
        <v>8.8852928349639882E+20</v>
      </c>
      <c r="W115" s="159">
        <f t="shared" si="35"/>
        <v>1.2051854265290763E+20</v>
      </c>
      <c r="X115" s="159">
        <f t="shared" si="36"/>
        <v>6.80151547166469E+19</v>
      </c>
      <c r="Y115" s="159">
        <f t="shared" si="37"/>
        <v>2.7484063252328317E+19</v>
      </c>
      <c r="Z115" s="159">
        <f t="shared" si="38"/>
        <v>7.9134128864897004E+18</v>
      </c>
      <c r="AA115" s="159">
        <f t="shared" si="39"/>
        <v>1.2170122369310485E+22</v>
      </c>
      <c r="AB115" s="24"/>
    </row>
    <row r="116" spans="1:28" s="4" customFormat="1">
      <c r="A116" s="2"/>
      <c r="B116" s="2"/>
      <c r="C116" s="2"/>
      <c r="D116" s="2"/>
      <c r="E116" s="19"/>
      <c r="F116" s="111">
        <v>0</v>
      </c>
      <c r="G116" s="111">
        <v>0</v>
      </c>
      <c r="H116" s="111">
        <v>0</v>
      </c>
      <c r="I116" s="111">
        <v>0</v>
      </c>
      <c r="J116" s="111">
        <v>0</v>
      </c>
      <c r="K116" s="111">
        <v>0</v>
      </c>
      <c r="L116" s="111">
        <v>0</v>
      </c>
      <c r="M116" s="111">
        <v>0.13873273062001373</v>
      </c>
      <c r="O116" s="110"/>
      <c r="P116" s="19"/>
      <c r="Q116" s="107">
        <v>114</v>
      </c>
      <c r="R116" s="27">
        <f t="shared" si="30"/>
        <v>9.5</v>
      </c>
      <c r="S116" s="18">
        <f t="shared" si="31"/>
        <v>299592000</v>
      </c>
      <c r="T116" s="159">
        <f t="shared" si="32"/>
        <v>7.3303568649408573E+18</v>
      </c>
      <c r="U116" s="159">
        <f t="shared" si="33"/>
        <v>1.6704150476971282E+21</v>
      </c>
      <c r="V116" s="159">
        <f t="shared" si="34"/>
        <v>8.8849839067729848E+20</v>
      </c>
      <c r="W116" s="159">
        <f t="shared" si="35"/>
        <v>1.2055599447571553E+20</v>
      </c>
      <c r="X116" s="159">
        <f t="shared" si="36"/>
        <v>6.810235586061176E+19</v>
      </c>
      <c r="Y116" s="159">
        <f t="shared" si="37"/>
        <v>2.7468432256835736E+19</v>
      </c>
      <c r="Z116" s="159">
        <f t="shared" si="38"/>
        <v>7.7457846188525732E+18</v>
      </c>
      <c r="AA116" s="159">
        <f t="shared" si="39"/>
        <v>1.2135450322959348E+22</v>
      </c>
      <c r="AB116" s="24"/>
    </row>
    <row r="117" spans="1:28" s="4" customFormat="1">
      <c r="A117" s="2"/>
      <c r="B117" s="2"/>
      <c r="C117" s="2"/>
      <c r="D117" s="2"/>
      <c r="E117" s="19"/>
      <c r="F117" s="111">
        <v>0</v>
      </c>
      <c r="G117" s="111">
        <v>0</v>
      </c>
      <c r="H117" s="111">
        <v>0</v>
      </c>
      <c r="I117" s="111">
        <v>0</v>
      </c>
      <c r="J117" s="111">
        <v>0</v>
      </c>
      <c r="K117" s="111">
        <v>0</v>
      </c>
      <c r="L117" s="111">
        <v>0</v>
      </c>
      <c r="M117" s="111">
        <v>0.11477764736752416</v>
      </c>
      <c r="O117" s="110"/>
      <c r="P117" s="19"/>
      <c r="Q117" s="107">
        <v>115</v>
      </c>
      <c r="R117" s="27">
        <f t="shared" si="30"/>
        <v>9.5833333333333339</v>
      </c>
      <c r="S117" s="18">
        <f t="shared" si="31"/>
        <v>302220000</v>
      </c>
      <c r="T117" s="159">
        <f t="shared" si="32"/>
        <v>7.2452019368797338E+18</v>
      </c>
      <c r="U117" s="159">
        <f t="shared" si="33"/>
        <v>1.665914324289032E+21</v>
      </c>
      <c r="V117" s="159">
        <f t="shared" si="34"/>
        <v>8.8844897642617281E+20</v>
      </c>
      <c r="W117" s="159">
        <f t="shared" si="35"/>
        <v>1.2059216473680221E+20</v>
      </c>
      <c r="X117" s="159">
        <f t="shared" si="36"/>
        <v>6.81890838567685E+19</v>
      </c>
      <c r="Y117" s="159">
        <f t="shared" si="37"/>
        <v>2.7453231157923131E+19</v>
      </c>
      <c r="Z117" s="159">
        <f t="shared" si="38"/>
        <v>7.5817071878157957E+18</v>
      </c>
      <c r="AA117" s="159">
        <f t="shared" si="39"/>
        <v>1.2100877055466934E+22</v>
      </c>
      <c r="AB117" s="24"/>
    </row>
    <row r="118" spans="1:28" s="4" customFormat="1">
      <c r="A118" s="2"/>
      <c r="B118" s="2"/>
      <c r="C118" s="2"/>
      <c r="D118" s="2"/>
      <c r="E118" s="19"/>
      <c r="F118" s="111">
        <v>0</v>
      </c>
      <c r="G118" s="111">
        <v>0</v>
      </c>
      <c r="H118" s="111">
        <v>0</v>
      </c>
      <c r="I118" s="111">
        <v>0</v>
      </c>
      <c r="J118" s="111">
        <v>0</v>
      </c>
      <c r="K118" s="111">
        <v>0</v>
      </c>
      <c r="L118" s="111">
        <v>0</v>
      </c>
      <c r="M118" s="111">
        <v>1.7366827809280037E-2</v>
      </c>
      <c r="O118" s="110"/>
      <c r="P118" s="19"/>
      <c r="Q118" s="107">
        <v>116</v>
      </c>
      <c r="R118" s="27">
        <f t="shared" si="30"/>
        <v>9.6666666666666661</v>
      </c>
      <c r="S118" s="18">
        <f t="shared" si="31"/>
        <v>304848000</v>
      </c>
      <c r="T118" s="159">
        <f t="shared" si="32"/>
        <v>7.1606940867811932E+18</v>
      </c>
      <c r="U118" s="159">
        <f t="shared" si="33"/>
        <v>1.6614209795778903E+21</v>
      </c>
      <c r="V118" s="159">
        <f t="shared" si="34"/>
        <v>8.8838121718719159E+20</v>
      </c>
      <c r="W118" s="159">
        <f t="shared" si="35"/>
        <v>1.2062701630782888E+20</v>
      </c>
      <c r="X118" s="159">
        <f t="shared" si="36"/>
        <v>6.8275337498011599E+19</v>
      </c>
      <c r="Y118" s="159">
        <f t="shared" si="37"/>
        <v>2.7438446981879136E+19</v>
      </c>
      <c r="Z118" s="159">
        <f t="shared" si="38"/>
        <v>7.4211053767065457E+18</v>
      </c>
      <c r="AA118" s="159">
        <f t="shared" si="39"/>
        <v>1.2066402285417409E+22</v>
      </c>
      <c r="AB118" s="24"/>
    </row>
    <row r="119" spans="1:28" s="4" customFormat="1">
      <c r="A119" s="2"/>
      <c r="B119" s="2"/>
      <c r="C119" s="2"/>
      <c r="D119" s="2"/>
      <c r="E119" s="19"/>
      <c r="F119" s="111">
        <v>0</v>
      </c>
      <c r="G119" s="111">
        <v>0</v>
      </c>
      <c r="H119" s="111">
        <v>0</v>
      </c>
      <c r="I119" s="111">
        <v>0</v>
      </c>
      <c r="J119" s="111">
        <v>0</v>
      </c>
      <c r="K119" s="111">
        <v>0</v>
      </c>
      <c r="L119" s="111">
        <v>0</v>
      </c>
      <c r="M119" s="111">
        <v>2.0387503855714521E-2</v>
      </c>
      <c r="O119" s="110"/>
      <c r="P119" s="19"/>
      <c r="Q119" s="107">
        <v>117</v>
      </c>
      <c r="R119" s="27">
        <f t="shared" si="30"/>
        <v>9.75</v>
      </c>
      <c r="S119" s="18">
        <f t="shared" si="31"/>
        <v>307476000</v>
      </c>
      <c r="T119" s="159">
        <f t="shared" si="32"/>
        <v>7.0768386893391012E+18</v>
      </c>
      <c r="U119" s="159">
        <f t="shared" si="33"/>
        <v>1.6569351030700025E+21</v>
      </c>
      <c r="V119" s="159">
        <f t="shared" si="34"/>
        <v>8.8829528839266815E+20</v>
      </c>
      <c r="W119" s="159">
        <f t="shared" si="35"/>
        <v>1.2066051388722124E+20</v>
      </c>
      <c r="X119" s="159">
        <f t="shared" si="36"/>
        <v>6.8361115411016876E+19</v>
      </c>
      <c r="Y119" s="159">
        <f t="shared" si="37"/>
        <v>2.7424066845048938E+19</v>
      </c>
      <c r="Z119" s="159">
        <f t="shared" si="38"/>
        <v>7.263905562151979E+18</v>
      </c>
      <c r="AA119" s="159">
        <f t="shared" si="39"/>
        <v>1.2032025732196673E+22</v>
      </c>
      <c r="AB119" s="24"/>
    </row>
    <row r="120" spans="1:28" s="4" customFormat="1">
      <c r="A120" s="2"/>
      <c r="B120" s="2"/>
      <c r="C120" s="2"/>
      <c r="D120" s="2"/>
      <c r="E120" s="19"/>
      <c r="F120" s="111">
        <v>0</v>
      </c>
      <c r="G120" s="111">
        <v>0</v>
      </c>
      <c r="H120" s="111">
        <v>0</v>
      </c>
      <c r="I120" s="111">
        <v>0</v>
      </c>
      <c r="J120" s="111">
        <v>0</v>
      </c>
      <c r="K120" s="111">
        <v>0</v>
      </c>
      <c r="L120" s="111">
        <v>0</v>
      </c>
      <c r="M120" s="111">
        <v>4.5456813185449311E-3</v>
      </c>
      <c r="O120" s="110"/>
      <c r="P120" s="19"/>
      <c r="Q120" s="107">
        <v>118</v>
      </c>
      <c r="R120" s="27">
        <f t="shared" si="30"/>
        <v>9.8333333333333339</v>
      </c>
      <c r="S120" s="18">
        <f t="shared" si="31"/>
        <v>310104000</v>
      </c>
      <c r="T120" s="159">
        <f t="shared" si="32"/>
        <v>6.9936406906258309E+18</v>
      </c>
      <c r="U120" s="159">
        <f t="shared" si="33"/>
        <v>1.6524567818412978E+21</v>
      </c>
      <c r="V120" s="159">
        <f t="shared" si="34"/>
        <v>8.8819136446080116E+20</v>
      </c>
      <c r="W120" s="159">
        <f t="shared" si="35"/>
        <v>1.2069262394153712E+20</v>
      </c>
      <c r="X120" s="159">
        <f t="shared" si="36"/>
        <v>6.8446416064881656E+19</v>
      </c>
      <c r="Y120" s="159">
        <f t="shared" si="37"/>
        <v>2.7410077959386149E+19</v>
      </c>
      <c r="Z120" s="159">
        <f t="shared" si="38"/>
        <v>7.1100356803286692E+18</v>
      </c>
      <c r="AA120" s="159">
        <f t="shared" si="39"/>
        <v>1.1997747115990085E+22</v>
      </c>
      <c r="AB120" s="24"/>
    </row>
    <row r="121" spans="1:28" s="4" customFormat="1">
      <c r="A121" s="2"/>
      <c r="B121" s="2"/>
      <c r="C121" s="2"/>
      <c r="D121" s="2"/>
      <c r="E121" s="19"/>
      <c r="F121" s="111">
        <v>0</v>
      </c>
      <c r="G121" s="111">
        <v>0</v>
      </c>
      <c r="H121" s="111">
        <v>0</v>
      </c>
      <c r="I121" s="111">
        <v>0</v>
      </c>
      <c r="J121" s="111">
        <v>0</v>
      </c>
      <c r="K121" s="111">
        <v>0</v>
      </c>
      <c r="L121" s="111">
        <v>0</v>
      </c>
      <c r="M121" s="111">
        <v>0</v>
      </c>
      <c r="O121" s="110"/>
      <c r="P121" s="19"/>
      <c r="Q121" s="107">
        <v>119</v>
      </c>
      <c r="R121" s="27">
        <f t="shared" si="30"/>
        <v>9.9166666666666661</v>
      </c>
      <c r="S121" s="18">
        <f t="shared" si="31"/>
        <v>312732000</v>
      </c>
      <c r="T121" s="159">
        <f t="shared" si="32"/>
        <v>6.9111046223641426E+18</v>
      </c>
      <c r="U121" s="159">
        <f t="shared" si="33"/>
        <v>1.6479861005858644E+21</v>
      </c>
      <c r="V121" s="159">
        <f t="shared" si="34"/>
        <v>8.880696187936401E+20</v>
      </c>
      <c r="W121" s="159">
        <f t="shared" si="35"/>
        <v>1.2072331464857502E+20</v>
      </c>
      <c r="X121" s="159">
        <f t="shared" si="36"/>
        <v>6.8531237779480871E+19</v>
      </c>
      <c r="Y121" s="159">
        <f t="shared" si="37"/>
        <v>2.7396467637673103E+19</v>
      </c>
      <c r="Z121" s="159">
        <f t="shared" si="38"/>
        <v>6.9594251939269734E+18</v>
      </c>
      <c r="AA121" s="159">
        <f t="shared" si="39"/>
        <v>1.196356615778018E+22</v>
      </c>
      <c r="AB121" s="24"/>
    </row>
    <row r="122" spans="1:28" s="4" customFormat="1">
      <c r="A122" s="2"/>
      <c r="B122" s="2"/>
      <c r="C122" s="2"/>
      <c r="D122" s="2"/>
      <c r="E122" s="19"/>
      <c r="F122" s="111">
        <v>0</v>
      </c>
      <c r="G122" s="111">
        <v>0</v>
      </c>
      <c r="H122" s="111">
        <v>0</v>
      </c>
      <c r="I122" s="111">
        <v>0</v>
      </c>
      <c r="J122" s="111">
        <v>0</v>
      </c>
      <c r="K122" s="111">
        <v>0</v>
      </c>
      <c r="L122" s="111">
        <v>0</v>
      </c>
      <c r="M122" s="111">
        <v>1</v>
      </c>
      <c r="O122" s="110"/>
      <c r="P122" s="19"/>
      <c r="Q122" s="107">
        <v>120</v>
      </c>
      <c r="R122" s="27">
        <f t="shared" si="30"/>
        <v>10</v>
      </c>
      <c r="S122" s="18">
        <f t="shared" si="31"/>
        <v>315360000</v>
      </c>
      <c r="T122" s="159">
        <f t="shared" si="32"/>
        <v>6.8292346158110372E+18</v>
      </c>
      <c r="U122" s="159">
        <f t="shared" si="33"/>
        <v>1.6435231416635695E+21</v>
      </c>
      <c r="V122" s="159">
        <f t="shared" si="34"/>
        <v>8.8793022377526795E+20</v>
      </c>
      <c r="W122" s="159">
        <f t="shared" si="35"/>
        <v>1.2075255584217059E+20</v>
      </c>
      <c r="X122" s="159">
        <f t="shared" si="36"/>
        <v>6.8615578733550305E+19</v>
      </c>
      <c r="Y122" s="159">
        <f t="shared" si="37"/>
        <v>2.7383223298423202E+19</v>
      </c>
      <c r="Z122" s="159">
        <f t="shared" si="38"/>
        <v>6.8120050598151987E+18</v>
      </c>
      <c r="AA122" s="159">
        <f t="shared" si="39"/>
        <v>1.1929482579344399E+22</v>
      </c>
      <c r="AB122" s="24"/>
    </row>
    <row r="123" spans="1:28" s="4" customFormat="1">
      <c r="A123" s="2"/>
      <c r="B123" s="2"/>
      <c r="C123" s="2"/>
      <c r="D123" s="2"/>
      <c r="E123" s="19"/>
      <c r="F123" s="19"/>
      <c r="G123" s="110"/>
      <c r="H123" s="110"/>
      <c r="I123" s="110"/>
      <c r="J123" s="110"/>
      <c r="K123" s="110"/>
      <c r="L123" s="110"/>
      <c r="M123" s="110"/>
      <c r="N123" s="110"/>
      <c r="O123" s="110"/>
      <c r="P123" s="19"/>
      <c r="Q123" s="107">
        <v>121</v>
      </c>
      <c r="R123" s="27">
        <f t="shared" si="30"/>
        <v>10.083333333333334</v>
      </c>
      <c r="S123" s="18">
        <f t="shared" si="31"/>
        <v>317988000</v>
      </c>
      <c r="T123" s="159">
        <f t="shared" si="32"/>
        <v>6.7480344152633344E+18</v>
      </c>
      <c r="U123" s="159">
        <f t="shared" si="33"/>
        <v>1.6390679851467837E+21</v>
      </c>
      <c r="V123" s="159">
        <f t="shared" si="34"/>
        <v>8.8777335077019084E+20</v>
      </c>
      <c r="W123" s="159">
        <f t="shared" si="35"/>
        <v>1.2078031895863412E+20</v>
      </c>
      <c r="X123" s="159">
        <f t="shared" si="36"/>
        <v>6.8699436972502614E+19</v>
      </c>
      <c r="Y123" s="159">
        <f t="shared" si="37"/>
        <v>2.7370332470476947E+19</v>
      </c>
      <c r="Z123" s="159">
        <f t="shared" si="38"/>
        <v>6.6677076973887191E+18</v>
      </c>
      <c r="AA123" s="159">
        <f t="shared" si="39"/>
        <v>1.1895496103252822E+22</v>
      </c>
      <c r="AB123" s="24"/>
    </row>
    <row r="124" spans="1:28" s="4" customFormat="1">
      <c r="A124" s="2"/>
      <c r="B124" s="2"/>
      <c r="C124" s="2"/>
      <c r="D124" s="2"/>
      <c r="E124" s="19"/>
      <c r="F124" s="19"/>
      <c r="G124" s="110"/>
      <c r="H124" s="110"/>
      <c r="I124" s="110"/>
      <c r="J124" s="110"/>
      <c r="K124" s="110"/>
      <c r="L124" s="110"/>
      <c r="M124" s="110"/>
      <c r="N124" s="110"/>
      <c r="O124" s="110"/>
      <c r="P124" s="19"/>
      <c r="Q124" s="107">
        <v>122</v>
      </c>
      <c r="R124" s="27">
        <f t="shared" si="30"/>
        <v>10.166666666666666</v>
      </c>
      <c r="S124" s="18">
        <f t="shared" si="31"/>
        <v>320616000</v>
      </c>
      <c r="T124" s="159">
        <f t="shared" si="32"/>
        <v>6.6675073911942339E+18</v>
      </c>
      <c r="U124" s="159">
        <f t="shared" si="33"/>
        <v>1.6346207088662269E+21</v>
      </c>
      <c r="V124" s="159">
        <f t="shared" si="34"/>
        <v>8.8759917012193955E+20</v>
      </c>
      <c r="W124" s="159">
        <f t="shared" si="35"/>
        <v>1.2080657698477851E+20</v>
      </c>
      <c r="X124" s="159">
        <f t="shared" si="36"/>
        <v>6.8782810415985099E+19</v>
      </c>
      <c r="Y124" s="159">
        <f t="shared" si="37"/>
        <v>2.7357782797304185E+19</v>
      </c>
      <c r="Z124" s="159">
        <f t="shared" si="38"/>
        <v>6.5264669575895603E+18</v>
      </c>
      <c r="AA124" s="159">
        <f t="shared" si="39"/>
        <v>1.186160645286592E+22</v>
      </c>
      <c r="AB124" s="24"/>
    </row>
    <row r="125" spans="1:28" s="4" customFormat="1" ht="15">
      <c r="A125" s="2"/>
      <c r="B125" s="2"/>
      <c r="C125" s="2"/>
      <c r="D125" s="2"/>
      <c r="E125" s="109" t="s">
        <v>190</v>
      </c>
      <c r="F125" s="109" t="s">
        <v>182</v>
      </c>
      <c r="G125" s="109" t="s">
        <v>183</v>
      </c>
      <c r="H125" s="109" t="s">
        <v>184</v>
      </c>
      <c r="I125" s="109" t="s">
        <v>185</v>
      </c>
      <c r="J125" s="109" t="s">
        <v>186</v>
      </c>
      <c r="K125" s="109" t="s">
        <v>187</v>
      </c>
      <c r="L125" s="109" t="s">
        <v>188</v>
      </c>
      <c r="M125" s="109" t="s">
        <v>189</v>
      </c>
      <c r="N125" s="110"/>
      <c r="O125" s="110"/>
      <c r="P125" s="19"/>
      <c r="Q125" s="107">
        <v>123</v>
      </c>
      <c r="R125" s="27">
        <f t="shared" si="30"/>
        <v>10.25</v>
      </c>
      <c r="S125" s="18">
        <f t="shared" si="31"/>
        <v>323244000</v>
      </c>
      <c r="T125" s="159">
        <f t="shared" si="32"/>
        <v>6.5876565530302188E+18</v>
      </c>
      <c r="U125" s="159">
        <f t="shared" si="33"/>
        <v>1.630181388455952E+21</v>
      </c>
      <c r="V125" s="159">
        <f t="shared" si="34"/>
        <v>8.8740785115186358E+20</v>
      </c>
      <c r="W125" s="159">
        <f t="shared" si="35"/>
        <v>1.2083130440749282E+20</v>
      </c>
      <c r="X125" s="159">
        <f t="shared" si="36"/>
        <v>6.8865696865186316E+19</v>
      </c>
      <c r="Y125" s="159">
        <f t="shared" si="37"/>
        <v>2.734556204102393E+19</v>
      </c>
      <c r="Z125" s="159">
        <f t="shared" si="38"/>
        <v>6.3882180925822147E+18</v>
      </c>
      <c r="AA125" s="159">
        <f t="shared" si="39"/>
        <v>1.1827813352332287E+22</v>
      </c>
      <c r="AB125" s="24"/>
    </row>
    <row r="126" spans="1:28" s="4" customFormat="1">
      <c r="A126" s="2"/>
      <c r="B126" s="2"/>
      <c r="C126" s="2"/>
      <c r="D126" s="2"/>
      <c r="E126" s="19"/>
      <c r="F126" s="111">
        <f>SUM(F45:M45)/SUM(F45:M52)</f>
        <v>0.83782646767333058</v>
      </c>
      <c r="G126" s="111">
        <f>SUM(F55:M55)/SUM(F55:M62)</f>
        <v>0</v>
      </c>
      <c r="H126" s="111">
        <f>SUM(F65:M65)/SUM(F65:M72)</f>
        <v>0</v>
      </c>
      <c r="I126" s="111">
        <f>SUM(F75:M75)/SUM(F75:M82)</f>
        <v>0</v>
      </c>
      <c r="J126" s="111">
        <f>SUM(F85:M85)/SUM(F85:M92)</f>
        <v>0</v>
      </c>
      <c r="K126" s="111">
        <f>SUM(F95:M95)/SUM(F95:M102)</f>
        <v>0</v>
      </c>
      <c r="L126" s="111">
        <f>SUM(F105:M105)/SUM(F105:M112)</f>
        <v>-0.36495545208553154</v>
      </c>
      <c r="M126" s="111">
        <f>SUM(F115:M115)/SUM(F115:M122)</f>
        <v>0</v>
      </c>
      <c r="N126" s="110"/>
      <c r="O126" s="110"/>
      <c r="P126" s="19"/>
      <c r="Q126" s="107">
        <v>124</v>
      </c>
      <c r="R126" s="27">
        <f t="shared" si="30"/>
        <v>10.333333333333334</v>
      </c>
      <c r="S126" s="18">
        <f t="shared" si="31"/>
        <v>325872000</v>
      </c>
      <c r="T126" s="159">
        <f t="shared" si="32"/>
        <v>6.5084845615770634E+18</v>
      </c>
      <c r="U126" s="159">
        <f t="shared" si="33"/>
        <v>1.6257500973974809E+21</v>
      </c>
      <c r="V126" s="159">
        <f t="shared" si="34"/>
        <v>8.8719956215812692E+20</v>
      </c>
      <c r="W126" s="159">
        <f t="shared" si="35"/>
        <v>1.208544771648153E+20</v>
      </c>
      <c r="X126" s="159">
        <f t="shared" si="36"/>
        <v>6.8948094009898893E+19</v>
      </c>
      <c r="Y126" s="159">
        <f t="shared" si="37"/>
        <v>2.7333658086152905E+19</v>
      </c>
      <c r="Z126" s="159">
        <f t="shared" si="38"/>
        <v>6.2528977260718408E+18</v>
      </c>
      <c r="AA126" s="159">
        <f t="shared" si="39"/>
        <v>1.179411652658641E+22</v>
      </c>
      <c r="AB126" s="24"/>
    </row>
    <row r="127" spans="1:28" s="4" customFormat="1">
      <c r="A127" s="2"/>
      <c r="B127" s="2"/>
      <c r="C127" s="2"/>
      <c r="D127" s="2"/>
      <c r="E127" s="19"/>
      <c r="F127" s="111">
        <f>SUM(F46:M46)/SUM(F45:M52)</f>
        <v>1.0765735177903182</v>
      </c>
      <c r="G127" s="111">
        <f>SUM(F56:M56)/SUM(F55:M62)</f>
        <v>1.2331625275067208</v>
      </c>
      <c r="H127" s="111">
        <f>SUM(F66:M66)/SUM(F65:M72)</f>
        <v>0</v>
      </c>
      <c r="I127" s="111">
        <f>SUM(F76:M76)/SUM(F75:M82)</f>
        <v>0</v>
      </c>
      <c r="J127" s="111">
        <f>SUM(F86:M86)/SUM(F85:M92)</f>
        <v>0</v>
      </c>
      <c r="K127" s="111">
        <f>SUM(F96:M96)/SUM(F95:M102)</f>
        <v>0</v>
      </c>
      <c r="L127" s="111">
        <f>SUM(F106:M106)/SUM(F105:M112)</f>
        <v>1.3354517358445308</v>
      </c>
      <c r="M127" s="111">
        <f>SUM(F116:M116)/SUM(F115:M122)</f>
        <v>0.10706252364286702</v>
      </c>
      <c r="N127" s="110"/>
      <c r="O127" s="110"/>
      <c r="P127" s="19"/>
      <c r="Q127" s="107">
        <v>125</v>
      </c>
      <c r="R127" s="27">
        <f t="shared" si="30"/>
        <v>10.416666666666666</v>
      </c>
      <c r="S127" s="18">
        <f t="shared" si="31"/>
        <v>328500000</v>
      </c>
      <c r="T127" s="159">
        <f t="shared" si="32"/>
        <v>6.4299937411039068E+18</v>
      </c>
      <c r="U127" s="159">
        <f t="shared" si="33"/>
        <v>1.6213269070631107E+21</v>
      </c>
      <c r="V127" s="159">
        <f t="shared" si="34"/>
        <v>8.8697447041489017E+20</v>
      </c>
      <c r="W127" s="159">
        <f t="shared" si="35"/>
        <v>1.2087607259846215E+20</v>
      </c>
      <c r="X127" s="159">
        <f t="shared" si="36"/>
        <v>6.9029999435346018E+19</v>
      </c>
      <c r="Y127" s="159">
        <f t="shared" si="37"/>
        <v>2.7322058943093834E+19</v>
      </c>
      <c r="Z127" s="159">
        <f t="shared" si="38"/>
        <v>6.1204438242511667E+18</v>
      </c>
      <c r="AA127" s="159">
        <f t="shared" si="39"/>
        <v>1.1760515701346417E+22</v>
      </c>
      <c r="AB127" s="24"/>
    </row>
    <row r="128" spans="1:28" s="4" customFormat="1">
      <c r="A128" s="2"/>
      <c r="B128" s="2"/>
      <c r="C128" s="2"/>
      <c r="D128" s="2"/>
      <c r="E128" s="19"/>
      <c r="F128" s="111">
        <f>SUM(F47:M47)/SUM(F45:M52)</f>
        <v>-0.51604902296497734</v>
      </c>
      <c r="G128" s="111">
        <f>SUM(F57:M57)/SUM(F55:M62)</f>
        <v>-0.42066279800062295</v>
      </c>
      <c r="H128" s="111">
        <f>SUM(F67:M67)/SUM(F65:M72)</f>
        <v>2.2859083092355674</v>
      </c>
      <c r="I128" s="111">
        <f>SUM(F77:M77)/SUM(F75:M82)</f>
        <v>0</v>
      </c>
      <c r="J128" s="111">
        <f>SUM(F87:M87)/SUM(F85:M92)</f>
        <v>0</v>
      </c>
      <c r="K128" s="111">
        <f>SUM(F97:M97)/SUM(F95:M102)</f>
        <v>0</v>
      </c>
      <c r="L128" s="111">
        <f>SUM(F107:M107)/SUM(F105:M112)</f>
        <v>-0.41366965918974086</v>
      </c>
      <c r="M128" s="111">
        <f>SUM(F117:M117)/SUM(F115:M122)</f>
        <v>8.8575958463730217E-2</v>
      </c>
      <c r="N128" s="110"/>
      <c r="O128" s="110"/>
      <c r="P128" s="19"/>
      <c r="Q128" s="107">
        <v>126</v>
      </c>
      <c r="R128" s="27">
        <f t="shared" si="30"/>
        <v>10.5</v>
      </c>
      <c r="S128" s="18">
        <f t="shared" si="31"/>
        <v>331128000</v>
      </c>
      <c r="T128" s="159">
        <f t="shared" si="32"/>
        <v>6.3521860910937334E+18</v>
      </c>
      <c r="U128" s="159">
        <f t="shared" si="33"/>
        <v>1.6169118867584026E+21</v>
      </c>
      <c r="V128" s="159">
        <f t="shared" si="34"/>
        <v>8.8673274217167874E+20</v>
      </c>
      <c r="W128" s="159">
        <f t="shared" si="35"/>
        <v>1.2089606940776926E+20</v>
      </c>
      <c r="X128" s="159">
        <f t="shared" si="36"/>
        <v>6.9111410628778459E+19</v>
      </c>
      <c r="Y128" s="159">
        <f t="shared" si="37"/>
        <v>2.7310752751373668E+19</v>
      </c>
      <c r="Z128" s="159">
        <f t="shared" si="38"/>
        <v>5.990795667362858E+18</v>
      </c>
      <c r="AA128" s="159">
        <f t="shared" si="39"/>
        <v>1.1727010603111857E+22</v>
      </c>
      <c r="AB128" s="24"/>
    </row>
    <row r="129" spans="1:28" s="4" customFormat="1">
      <c r="A129" s="2"/>
      <c r="B129" s="2"/>
      <c r="C129" s="2"/>
      <c r="D129" s="2"/>
      <c r="E129" s="19"/>
      <c r="F129" s="111">
        <f>SUM(F48:M48)/SUM(F45:M52)</f>
        <v>-0.15691493515265326</v>
      </c>
      <c r="G129" s="111">
        <f>SUM(F58:M58)/SUM(F55:M62)</f>
        <v>-0.1726213702845199</v>
      </c>
      <c r="H129" s="111">
        <f>SUM(F68:M68)/SUM(F65:M72)</f>
        <v>0.42402399471513857</v>
      </c>
      <c r="I129" s="111">
        <f>SUM(F78:M78)/SUM(F75:M82)</f>
        <v>1.9212383613833361</v>
      </c>
      <c r="J129" s="111">
        <f>SUM(F88:M88)/SUM(F85:M92)</f>
        <v>0</v>
      </c>
      <c r="K129" s="111">
        <f>SUM(F98:M98)/SUM(F95:M102)</f>
        <v>0</v>
      </c>
      <c r="L129" s="111">
        <f>SUM(F108:M108)/SUM(F105:M112)</f>
        <v>-0.19350323028103902</v>
      </c>
      <c r="M129" s="111">
        <f>SUM(F118:M118)/SUM(F115:M122)</f>
        <v>1.3402290898644033E-2</v>
      </c>
      <c r="N129" s="110"/>
      <c r="O129" s="110"/>
      <c r="P129" s="19"/>
      <c r="Q129" s="107">
        <v>127</v>
      </c>
      <c r="R129" s="27">
        <f t="shared" si="30"/>
        <v>10.583333333333334</v>
      </c>
      <c r="S129" s="18">
        <f t="shared" si="31"/>
        <v>333756000</v>
      </c>
      <c r="T129" s="159">
        <f t="shared" si="32"/>
        <v>6.2750632976687892E+18</v>
      </c>
      <c r="U129" s="159">
        <f t="shared" si="33"/>
        <v>1.6125051037638682E+21</v>
      </c>
      <c r="V129" s="159">
        <f t="shared" si="34"/>
        <v>8.864745426529321E+20</v>
      </c>
      <c r="W129" s="159">
        <f t="shared" si="35"/>
        <v>1.2091444760500602E+20</v>
      </c>
      <c r="X129" s="159">
        <f t="shared" si="36"/>
        <v>6.9192324985846596E+19</v>
      </c>
      <c r="Y129" s="159">
        <f t="shared" si="37"/>
        <v>2.729972778264209E+19</v>
      </c>
      <c r="Z129" s="159">
        <f t="shared" si="38"/>
        <v>5.8638938218642452E+18</v>
      </c>
      <c r="AA129" s="159">
        <f t="shared" si="39"/>
        <v>1.1693600959161463E+22</v>
      </c>
      <c r="AB129" s="24"/>
    </row>
    <row r="130" spans="1:28" s="4" customFormat="1">
      <c r="A130" s="2"/>
      <c r="B130" s="2"/>
      <c r="C130" s="2"/>
      <c r="D130" s="2"/>
      <c r="E130" s="19"/>
      <c r="F130" s="111">
        <f>SUM(F49:M49)/SUM(F45:M52)</f>
        <v>0.14798675419305055</v>
      </c>
      <c r="G130" s="111">
        <f>SUM(F59:M59)/SUM(F55:M62)</f>
        <v>-4.196692713247476E-3</v>
      </c>
      <c r="H130" s="111">
        <f>SUM(F69:M69)/SUM(F65:M72)</f>
        <v>-1.8751278707812811</v>
      </c>
      <c r="I130" s="111">
        <f>SUM(F79:M79)/SUM(F75:M82)</f>
        <v>-0.27698626763990014</v>
      </c>
      <c r="J130" s="111">
        <f>SUM(F89:M89)/SUM(F85:M92)</f>
        <v>1</v>
      </c>
      <c r="K130" s="111">
        <f>SUM(F99:M99)/SUM(F95:M102)</f>
        <v>-0.22312767574231893</v>
      </c>
      <c r="L130" s="111">
        <f>SUM(F109:M109)/SUM(F105:M112)</f>
        <v>1.8707592814976245E-2</v>
      </c>
      <c r="M130" s="111">
        <f>SUM(F119:M119)/SUM(F115:M122)</f>
        <v>1.5733400501933135E-2</v>
      </c>
      <c r="N130" s="110"/>
      <c r="O130" s="110"/>
      <c r="P130" s="19"/>
      <c r="Q130" s="107">
        <v>128</v>
      </c>
      <c r="R130" s="27">
        <f t="shared" ref="R130:R161" si="40">S130/(3600*365*24)</f>
        <v>10.666666666666666</v>
      </c>
      <c r="S130" s="18">
        <f t="shared" ref="S130:S136" si="41">Q130*D$5</f>
        <v>336384000</v>
      </c>
      <c r="T130" s="159">
        <f t="shared" ref="T130:T136" si="42">$F$148*EXP($F$24*$S130)+$G$148*EXP($G$24*$S130)+$H$148*EXP($H$24*$S130)+$I$148*EXP($I$24*$S130)+$J$148*EXP($J$24*$S130)+$K$148*EXP($K$24*$S130)+$L$148*EXP($L$24*$S130)+$M$148*EXP($M$24*$S130)</f>
        <v>6.1986267446989373E+18</v>
      </c>
      <c r="U130" s="159">
        <f t="shared" ref="U130:U136" si="43">$F$149*EXP($F$24*$S130)+$G$149*EXP($G$24*$S130)+$H$149*EXP($H$24*$S130)+$I$149*EXP($I$24*$S130)+$J$149*EXP($J$24*$S130)+$K$149*EXP($K$24*$S130)+$L$149*EXP($L$24*$S130)+$M$149*EXP($M$24*$S130)</f>
        <v>1.6081066233758703E+21</v>
      </c>
      <c r="V130" s="159">
        <f t="shared" ref="V130:V136" si="44">$F$150*EXP($F$24*$S130)+$G$150*EXP($G$24*$S130)+$H$150*EXP($H$24*$S130)+$I$150*EXP($I$24*$S130)+$J$150*EXP($J$24*$S130)+$K$150*EXP($K$24*$S130)+$L$150*EXP($L$24*$S130)+$M$150*EXP($M$24*$S130)</f>
        <v>8.8620003605772698E+20</v>
      </c>
      <c r="W130" s="159">
        <f t="shared" ref="W130:W136" si="45">$F$151*EXP($F$24*$S130)+$G$151*EXP($G$24*$S130)+$H$151*EXP($H$24*$S130)+$I$151*EXP($I$24*$S130)+$J$151*EXP($J$24*$S130)+$K$151*EXP($K$24*$S130)+$L$151*EXP($L$24*$S130)+$M$151*EXP($M$24*$S130)</f>
        <v>1.2093118847201983E+20</v>
      </c>
      <c r="X130" s="159">
        <f t="shared" ref="X130:X136" si="46">$F$152*EXP($F$24*$S130)+$G$152*EXP($G$24*$S130)+$H$152*EXP($H$24*$S130)+$I$152*EXP($I$24*$S130)+$J$152*EXP($J$24*$S130)+$K$152*EXP($K$24*$S130)+$L$152*EXP($L$24*$S130)+$M$152*EXP($M$24*$S130)</f>
        <v>6.9272739816759853E+19</v>
      </c>
      <c r="Y130" s="159">
        <f t="shared" ref="Y130:Y136" si="47">$F$153*EXP($F$24*$S130)+$G$153*EXP($G$24*$S130)+$H$153*EXP($H$24*$S130)+$I$153*EXP($I$24*$S130)+$J$153*EXP($J$24*$S130)+$K$153*EXP($K$24*$S130)+$L$153*EXP($L$24*$S130)+$M$153*EXP($M$24*$S130)</f>
        <v>2.7288972443439608E+19</v>
      </c>
      <c r="Z130" s="159">
        <f t="shared" ref="Z130:Z136" si="48">$F$154*EXP($F$24*$S130)+$G$154*EXP($G$24*$S130)+$H$154*EXP($H$24*$S130)+$I$154*EXP($I$24*$S130)+$J$154*EXP($J$24*$S130)+$K$154*EXP($K$24*$S130)+$L$154*EXP($L$24*$S130)+$M$154*EXP($M$24*$S130)</f>
        <v>5.739680113181696E+18</v>
      </c>
      <c r="AA130" s="159">
        <f t="shared" ref="AA130:AA136" si="49">$F$155*EXP($F$24*$S130)+$G$155*EXP($G$24*$S130)+$H$155*EXP($H$24*$S130)+$I$155*EXP($I$24*$S130)+$J$155*EXP($J$24*$S130)+$K$155*EXP($K$24*$S130)+$L$155*EXP($L$24*$S130)+$M$155*EXP($M$24*$S130)</f>
        <v>1.1660286497550942E+22</v>
      </c>
      <c r="AB130" s="24"/>
    </row>
    <row r="131" spans="1:28" s="4" customFormat="1">
      <c r="A131" s="2"/>
      <c r="B131" s="2"/>
      <c r="C131" s="2"/>
      <c r="D131" s="2"/>
      <c r="E131" s="19"/>
      <c r="F131" s="111">
        <f>SUM(F50:M50)/SUM(F45:M52)</f>
        <v>-0.38942278153906873</v>
      </c>
      <c r="G131" s="111">
        <f>SUM(F60:M60)/SUM(F55:M62)</f>
        <v>0.36431833349166959</v>
      </c>
      <c r="H131" s="111">
        <f>SUM(F70:M70)/SUM(F65:M72)</f>
        <v>0.16519556683057524</v>
      </c>
      <c r="I131" s="111">
        <f>SUM(F80:M80)/SUM(F75:M82)</f>
        <v>-0.64425209374343617</v>
      </c>
      <c r="J131" s="111">
        <f>SUM(F90:M90)/SUM(F85:M92)</f>
        <v>0</v>
      </c>
      <c r="K131" s="111">
        <f>SUM(F100:M100)/SUM(F95:M102)</f>
        <v>1.2231276757423188</v>
      </c>
      <c r="L131" s="111">
        <f>SUM(F110:M110)/SUM(F105:M112)</f>
        <v>0.24754110267948723</v>
      </c>
      <c r="M131" s="111">
        <f>SUM(F120:M120)/SUM(F115:M122)</f>
        <v>3.5079833826138773E-3</v>
      </c>
      <c r="N131" s="110"/>
      <c r="O131" s="110"/>
      <c r="P131" s="19"/>
      <c r="Q131" s="107">
        <v>129</v>
      </c>
      <c r="R131" s="27">
        <f t="shared" si="40"/>
        <v>10.75</v>
      </c>
      <c r="S131" s="18">
        <f t="shared" si="41"/>
        <v>339012000</v>
      </c>
      <c r="T131" s="159">
        <f t="shared" si="42"/>
        <v>6.1228775246009846E+18</v>
      </c>
      <c r="U131" s="159">
        <f t="shared" si="43"/>
        <v>1.6037165089467502E+21</v>
      </c>
      <c r="V131" s="159">
        <f t="shared" si="44"/>
        <v>8.8590938555967367E+20</v>
      </c>
      <c r="W131" s="159">
        <f t="shared" si="45"/>
        <v>1.2094627451817388E+20</v>
      </c>
      <c r="X131" s="159">
        <f t="shared" si="46"/>
        <v>6.9352652352232096E+19</v>
      </c>
      <c r="Y131" s="159">
        <f t="shared" si="47"/>
        <v>2.7278475277745439E+19</v>
      </c>
      <c r="Z131" s="159">
        <f t="shared" si="48"/>
        <v>5.6180975990421228E+18</v>
      </c>
      <c r="AA131" s="159">
        <f t="shared" si="49"/>
        <v>1.1627066947110749E+22</v>
      </c>
      <c r="AB131" s="24"/>
    </row>
    <row r="132" spans="1:28" s="4" customFormat="1">
      <c r="A132" s="2"/>
      <c r="B132" s="2"/>
      <c r="C132" s="2"/>
      <c r="D132" s="2"/>
      <c r="E132" s="19"/>
      <c r="F132" s="111">
        <f>SUM(F51:M51)/SUM(F45:M52)</f>
        <v>0</v>
      </c>
      <c r="G132" s="111">
        <f>SUM(F61:M61)/SUM(F55:M62)</f>
        <v>0</v>
      </c>
      <c r="H132" s="111">
        <f>SUM(F71:M71)/SUM(F65:M72)</f>
        <v>0</v>
      </c>
      <c r="I132" s="111">
        <f>SUM(F81:M81)/SUM(F75:M82)</f>
        <v>0</v>
      </c>
      <c r="J132" s="111">
        <f>SUM(F91:M91)/SUM(F85:M92)</f>
        <v>0</v>
      </c>
      <c r="K132" s="111">
        <f>SUM(F101:M101)/SUM(F95:M102)</f>
        <v>0</v>
      </c>
      <c r="L132" s="111">
        <f>SUM(F111:M111)/SUM(F105:M112)</f>
        <v>0.37042791021731736</v>
      </c>
      <c r="M132" s="111">
        <f>SUM(F121:M121)/SUM(F115:M122)</f>
        <v>0</v>
      </c>
      <c r="N132" s="110"/>
      <c r="O132" s="110"/>
      <c r="P132" s="19"/>
      <c r="Q132" s="107">
        <v>130</v>
      </c>
      <c r="R132" s="27">
        <f t="shared" si="40"/>
        <v>10.833333333333334</v>
      </c>
      <c r="S132" s="18">
        <f t="shared" si="41"/>
        <v>341640000</v>
      </c>
      <c r="T132" s="159">
        <f t="shared" si="42"/>
        <v>6.0478164488367288E+18</v>
      </c>
      <c r="U132" s="159">
        <f t="shared" si="43"/>
        <v>1.5993348219241976E+21</v>
      </c>
      <c r="V132" s="159">
        <f t="shared" si="44"/>
        <v>8.8560275330697554E+20</v>
      </c>
      <c r="W132" s="159">
        <f t="shared" si="45"/>
        <v>1.2095968943953904E+20</v>
      </c>
      <c r="X132" s="159">
        <f t="shared" si="46"/>
        <v>6.9432059749225529E+19</v>
      </c>
      <c r="Y132" s="159">
        <f t="shared" si="47"/>
        <v>2.7268224969313133E+19</v>
      </c>
      <c r="Z132" s="159">
        <f t="shared" si="48"/>
        <v>5.4990905433693972E+18</v>
      </c>
      <c r="AA132" s="159">
        <f t="shared" si="49"/>
        <v>1.1593942037443891E+22</v>
      </c>
      <c r="AB132" s="24"/>
    </row>
    <row r="133" spans="1:28">
      <c r="F133" s="111">
        <f>SUM(F52:M52)/SUM(F45:M52)</f>
        <v>0</v>
      </c>
      <c r="G133" s="111">
        <f>SUM(F62:M62)/SUM(F55:M62)</f>
        <v>0</v>
      </c>
      <c r="H133" s="111">
        <f>SUM(F72:M72)/SUM(F65:M72)</f>
        <v>0</v>
      </c>
      <c r="I133" s="111">
        <f>SUM(F82:M82)/SUM(F75:M82)</f>
        <v>0</v>
      </c>
      <c r="J133" s="111">
        <f>SUM(F92:M92)/SUM(F85:M92)</f>
        <v>0</v>
      </c>
      <c r="K133" s="111">
        <f>SUM(F102:M102)/SUM(F95:M102)</f>
        <v>0</v>
      </c>
      <c r="L133" s="111">
        <f>SUM(F112:M112)/SUM(F105:M112)</f>
        <v>0</v>
      </c>
      <c r="M133" s="111">
        <f>SUM(F122:M122)/SUM(F115:M122)</f>
        <v>0.77171784311021174</v>
      </c>
      <c r="Q133" s="107">
        <v>131</v>
      </c>
      <c r="R133" s="27">
        <f t="shared" si="40"/>
        <v>10.916666666666666</v>
      </c>
      <c r="S133" s="18">
        <f t="shared" si="41"/>
        <v>344268000</v>
      </c>
      <c r="T133" s="159">
        <f t="shared" si="42"/>
        <v>5.9734440581172705E+18</v>
      </c>
      <c r="U133" s="159">
        <f t="shared" si="43"/>
        <v>1.5949616218898739E+21</v>
      </c>
      <c r="V133" s="159">
        <f t="shared" si="44"/>
        <v>8.8528030042265485E+20</v>
      </c>
      <c r="W133" s="159">
        <f t="shared" si="45"/>
        <v>1.2097141807930397E+20</v>
      </c>
      <c r="X133" s="159">
        <f t="shared" si="46"/>
        <v>6.9510959096495669E+19</v>
      </c>
      <c r="Y133" s="159">
        <f t="shared" si="47"/>
        <v>2.7258210343803888E+19</v>
      </c>
      <c r="Z133" s="159">
        <f t="shared" si="48"/>
        <v>5.3826043907337267E+18</v>
      </c>
      <c r="AA133" s="159">
        <f t="shared" si="49"/>
        <v>1.1560911498923727E+22</v>
      </c>
      <c r="AB133" s="24"/>
    </row>
    <row r="134" spans="1:28">
      <c r="Q134" s="107">
        <v>132</v>
      </c>
      <c r="R134" s="27">
        <f t="shared" si="40"/>
        <v>11</v>
      </c>
      <c r="S134" s="18">
        <f t="shared" si="41"/>
        <v>346896000</v>
      </c>
      <c r="T134" s="159">
        <f t="shared" si="42"/>
        <v>5.8997606323210301E+18</v>
      </c>
      <c r="U134" s="159">
        <f t="shared" si="43"/>
        <v>1.5905969665973053E+21</v>
      </c>
      <c r="V134" s="159">
        <f t="shared" si="44"/>
        <v>8.8494218700493252E+20</v>
      </c>
      <c r="W134" s="159">
        <f t="shared" si="45"/>
        <v>1.2098144638936692E+20</v>
      </c>
      <c r="X134" s="159">
        <f t="shared" si="46"/>
        <v>6.9589347419943797E+19</v>
      </c>
      <c r="Y134" s="159">
        <f t="shared" si="47"/>
        <v>2.7248420370725061E+19</v>
      </c>
      <c r="Z134" s="159">
        <f t="shared" si="48"/>
        <v>5.2685857413422469E+18</v>
      </c>
      <c r="AA134" s="159">
        <f t="shared" si="49"/>
        <v>1.1527975062691755E+22</v>
      </c>
      <c r="AB134" s="24"/>
    </row>
    <row r="135" spans="1:28" ht="15">
      <c r="E135" s="109" t="s">
        <v>191</v>
      </c>
      <c r="Q135" s="107">
        <v>133</v>
      </c>
      <c r="R135" s="27">
        <f t="shared" si="40"/>
        <v>11.083333333333334</v>
      </c>
      <c r="S135" s="18">
        <f t="shared" si="41"/>
        <v>349524000</v>
      </c>
      <c r="T135" s="159">
        <f t="shared" si="42"/>
        <v>5.8267662001326664E+18</v>
      </c>
      <c r="U135" s="159">
        <f t="shared" si="43"/>
        <v>1.5862409120090586E+21</v>
      </c>
      <c r="V135" s="159">
        <f t="shared" si="44"/>
        <v>8.8458857212776271E+20</v>
      </c>
      <c r="W135" s="159">
        <f t="shared" si="45"/>
        <v>1.2098976139307545E+20</v>
      </c>
      <c r="X135" s="159">
        <f t="shared" si="46"/>
        <v>6.9667221687784767E+19</v>
      </c>
      <c r="Y135" s="159">
        <f t="shared" si="47"/>
        <v>2.7238844165182804E+19</v>
      </c>
      <c r="Z135" s="159">
        <f t="shared" si="48"/>
        <v>5.1569823265593948E+18</v>
      </c>
      <c r="AA135" s="159">
        <f t="shared" si="49"/>
        <v>1.1495132460655447E+22</v>
      </c>
      <c r="AB135" s="24"/>
    </row>
    <row r="136" spans="1:28">
      <c r="F136" s="111">
        <f t="array" ref="F136:M143">MINVERSE(F126:M133)</f>
        <v>1.1935645847725846</v>
      </c>
      <c r="G136" s="111">
        <v>0</v>
      </c>
      <c r="H136" s="111">
        <v>0</v>
      </c>
      <c r="I136" s="111">
        <v>0</v>
      </c>
      <c r="J136" s="111">
        <v>0</v>
      </c>
      <c r="K136" s="111">
        <v>0</v>
      </c>
      <c r="L136" s="111">
        <v>1.1759316471952885</v>
      </c>
      <c r="M136" s="111">
        <v>0</v>
      </c>
      <c r="Q136" s="107">
        <v>134</v>
      </c>
      <c r="R136" s="27">
        <f t="shared" si="40"/>
        <v>11.166666666666666</v>
      </c>
      <c r="S136" s="18">
        <f t="shared" si="41"/>
        <v>352152000</v>
      </c>
      <c r="T136" s="159">
        <f t="shared" si="42"/>
        <v>5.7544605484099574E+18</v>
      </c>
      <c r="U136" s="159">
        <f t="shared" si="43"/>
        <v>1.5818935123332109E+21</v>
      </c>
      <c r="V136" s="159">
        <f t="shared" si="44"/>
        <v>8.8421961384151613E+20</v>
      </c>
      <c r="W136" s="159">
        <f t="shared" si="45"/>
        <v>1.2099635114908013E+20</v>
      </c>
      <c r="X136" s="159">
        <f t="shared" si="46"/>
        <v>6.9744578815531057E+19</v>
      </c>
      <c r="Y136" s="159">
        <f t="shared" si="47"/>
        <v>2.7229470989455905E+19</v>
      </c>
      <c r="Z136" s="159">
        <f t="shared" si="48"/>
        <v>5.0477429849458299E+18</v>
      </c>
      <c r="AA136" s="159">
        <f t="shared" si="49"/>
        <v>1.1462383425486059E+22</v>
      </c>
      <c r="AB136" s="24"/>
    </row>
    <row r="137" spans="1:28">
      <c r="F137" s="111">
        <v>-1.0420037870730374</v>
      </c>
      <c r="G137" s="111">
        <v>0.81092311653505866</v>
      </c>
      <c r="H137" s="111">
        <v>0</v>
      </c>
      <c r="I137" s="111">
        <v>0</v>
      </c>
      <c r="J137" s="111">
        <v>0</v>
      </c>
      <c r="K137" s="111">
        <v>0</v>
      </c>
      <c r="L137" s="111">
        <v>-3.95011716568778</v>
      </c>
      <c r="M137" s="111">
        <v>-0.1125015782798003</v>
      </c>
    </row>
    <row r="138" spans="1:28">
      <c r="F138" s="111">
        <v>7.7695858798245143E-2</v>
      </c>
      <c r="G138" s="111">
        <v>0.14922960198657265</v>
      </c>
      <c r="H138" s="111">
        <v>0.43746286583752386</v>
      </c>
      <c r="I138" s="111">
        <v>0</v>
      </c>
      <c r="J138" s="111">
        <v>0</v>
      </c>
      <c r="K138" s="111">
        <v>0</v>
      </c>
      <c r="L138" s="111">
        <v>2.7081412072380951E-2</v>
      </c>
      <c r="M138" s="111">
        <v>-7.0913988724420909E-2</v>
      </c>
    </row>
    <row r="139" spans="1:28">
      <c r="F139" s="111">
        <v>-1.3287742468449909E-2</v>
      </c>
      <c r="G139" s="111">
        <v>3.9925148877596135E-2</v>
      </c>
      <c r="H139" s="111">
        <v>-9.6549577418597377E-2</v>
      </c>
      <c r="I139" s="111">
        <v>0.52049762283529299</v>
      </c>
      <c r="J139" s="111">
        <v>0</v>
      </c>
      <c r="K139" s="111">
        <v>0</v>
      </c>
      <c r="L139" s="111">
        <v>7.0480573475913931E-3</v>
      </c>
      <c r="M139" s="111">
        <v>-3.4965841646843604E-3</v>
      </c>
    </row>
    <row r="140" spans="1:28">
      <c r="F140" s="111">
        <v>0.11114413170675617</v>
      </c>
      <c r="G140" s="111">
        <v>0.24058741405467832</v>
      </c>
      <c r="H140" s="111">
        <v>0.76902551532020347</v>
      </c>
      <c r="I140" s="111">
        <v>0.20534319497090603</v>
      </c>
      <c r="J140" s="111">
        <v>1</v>
      </c>
      <c r="K140" s="111">
        <v>0.18242386315631545</v>
      </c>
      <c r="L140" s="111">
        <v>3.5801498926811948E-2</v>
      </c>
      <c r="M140" s="111">
        <v>-0.1464271928300524</v>
      </c>
    </row>
    <row r="141" spans="1:28">
      <c r="F141" s="111">
        <v>0.67288695426390177</v>
      </c>
      <c r="G141" s="111">
        <v>-0.24066528145390575</v>
      </c>
      <c r="H141" s="111">
        <v>-0.10993880373912997</v>
      </c>
      <c r="I141" s="111">
        <v>0.27415918219380109</v>
      </c>
      <c r="J141" s="111">
        <v>0</v>
      </c>
      <c r="K141" s="111">
        <v>0.81757613684368469</v>
      </c>
      <c r="L141" s="111">
        <v>1.0046739504729281</v>
      </c>
      <c r="M141" s="111">
        <v>3.7528953027880556E-2</v>
      </c>
    </row>
    <row r="142" spans="1:28">
      <c r="F142" s="111">
        <v>0</v>
      </c>
      <c r="G142" s="111">
        <v>0</v>
      </c>
      <c r="H142" s="111">
        <v>0</v>
      </c>
      <c r="I142" s="111">
        <v>0</v>
      </c>
      <c r="J142" s="111">
        <v>0</v>
      </c>
      <c r="K142" s="111">
        <v>0</v>
      </c>
      <c r="L142" s="111">
        <v>2.6995805996727791</v>
      </c>
      <c r="M142" s="111">
        <v>0</v>
      </c>
    </row>
    <row r="143" spans="1:28">
      <c r="F143" s="111">
        <v>0</v>
      </c>
      <c r="G143" s="111">
        <v>0</v>
      </c>
      <c r="H143" s="111">
        <v>0</v>
      </c>
      <c r="I143" s="111">
        <v>0</v>
      </c>
      <c r="J143" s="111">
        <v>0</v>
      </c>
      <c r="K143" s="111">
        <v>0</v>
      </c>
      <c r="L143" s="111">
        <v>0</v>
      </c>
      <c r="M143" s="111">
        <v>1.2958103909710774</v>
      </c>
    </row>
    <row r="146" spans="5:13" ht="15">
      <c r="E146" s="109" t="s">
        <v>192</v>
      </c>
      <c r="F146" s="110">
        <f t="array" ref="F146:M146">TRANSPOSE(MMULT(F136:M143,B2:B9))</f>
        <v>1.1894558469584577E+20</v>
      </c>
      <c r="G146" s="110">
        <v>-4.8751617125705659E+20</v>
      </c>
      <c r="H146" s="110">
        <v>-5.4646759999107734E+20</v>
      </c>
      <c r="I146" s="110">
        <v>3.7289631894498157E+19</v>
      </c>
      <c r="J146" s="110">
        <v>-1.2870852537298261E+21</v>
      </c>
      <c r="K146" s="110">
        <v>1.920892762096411E+20</v>
      </c>
      <c r="L146" s="110">
        <v>2.400934748970758E+20</v>
      </c>
      <c r="M146" s="110">
        <v>2.1769520092432034E+22</v>
      </c>
    </row>
    <row r="147" spans="5:13" ht="15">
      <c r="F147" s="109" t="s">
        <v>193</v>
      </c>
      <c r="G147" s="109" t="s">
        <v>194</v>
      </c>
      <c r="H147" s="109" t="s">
        <v>195</v>
      </c>
      <c r="I147" s="109" t="s">
        <v>196</v>
      </c>
      <c r="J147" s="109" t="s">
        <v>197</v>
      </c>
      <c r="K147" s="109" t="s">
        <v>198</v>
      </c>
      <c r="L147" s="109" t="s">
        <v>199</v>
      </c>
      <c r="M147" s="109" t="s">
        <v>200</v>
      </c>
    </row>
    <row r="148" spans="5:13" ht="15">
      <c r="E148" s="113" t="s">
        <v>7</v>
      </c>
      <c r="F148" s="111">
        <f t="shared" ref="F148:M155" si="50">F$146*F126</f>
        <v>9.9655759071059427E+19</v>
      </c>
      <c r="G148" s="111">
        <f t="shared" si="50"/>
        <v>0</v>
      </c>
      <c r="H148" s="111">
        <f t="shared" si="50"/>
        <v>0</v>
      </c>
      <c r="I148" s="111">
        <f t="shared" si="50"/>
        <v>0</v>
      </c>
      <c r="J148" s="111">
        <f t="shared" si="50"/>
        <v>0</v>
      </c>
      <c r="K148" s="111">
        <f t="shared" si="50"/>
        <v>0</v>
      </c>
      <c r="L148" s="111">
        <f t="shared" si="50"/>
        <v>-8.7623422673848517E+19</v>
      </c>
      <c r="M148" s="111">
        <f t="shared" si="50"/>
        <v>0</v>
      </c>
    </row>
    <row r="149" spans="5:13" ht="15">
      <c r="E149" s="113" t="s">
        <v>9</v>
      </c>
      <c r="F149" s="111">
        <f t="shared" si="50"/>
        <v>1.2805366654163291E+20</v>
      </c>
      <c r="G149" s="111">
        <f t="shared" si="50"/>
        <v>-6.0118667394775122E+20</v>
      </c>
      <c r="H149" s="111">
        <f t="shared" si="50"/>
        <v>0</v>
      </c>
      <c r="I149" s="111">
        <f t="shared" si="50"/>
        <v>0</v>
      </c>
      <c r="J149" s="111">
        <f t="shared" si="50"/>
        <v>0</v>
      </c>
      <c r="K149" s="111">
        <f t="shared" si="50"/>
        <v>0</v>
      </c>
      <c r="L149" s="111">
        <f t="shared" si="50"/>
        <v>3.2063324781624518E+20</v>
      </c>
      <c r="M149" s="111">
        <f t="shared" si="50"/>
        <v>2.3306997595898732E+21</v>
      </c>
    </row>
    <row r="150" spans="5:13" ht="15">
      <c r="E150" s="113" t="s">
        <v>10</v>
      </c>
      <c r="F150" s="111">
        <f t="shared" si="50"/>
        <v>-6.1381752768289169E+19</v>
      </c>
      <c r="G150" s="111">
        <f t="shared" si="50"/>
        <v>2.050799166715443E+20</v>
      </c>
      <c r="H150" s="111">
        <f t="shared" si="50"/>
        <v>-1.2491748275476219E+21</v>
      </c>
      <c r="I150" s="111">
        <f t="shared" si="50"/>
        <v>0</v>
      </c>
      <c r="J150" s="111">
        <f t="shared" si="50"/>
        <v>0</v>
      </c>
      <c r="K150" s="111">
        <f t="shared" si="50"/>
        <v>0</v>
      </c>
      <c r="L150" s="111">
        <f t="shared" si="50"/>
        <v>-9.931938593435394E+19</v>
      </c>
      <c r="M150" s="111">
        <f t="shared" si="50"/>
        <v>1.9282561074826002E+21</v>
      </c>
    </row>
    <row r="151" spans="5:13" ht="15">
      <c r="E151" s="113" t="s">
        <v>11</v>
      </c>
      <c r="F151" s="111">
        <f t="shared" si="50"/>
        <v>-1.8664338709243064E+19</v>
      </c>
      <c r="G151" s="111">
        <f t="shared" si="50"/>
        <v>8.4155709518255784E+19</v>
      </c>
      <c r="H151" s="111">
        <f t="shared" si="50"/>
        <v>-2.3171537473061103E+20</v>
      </c>
      <c r="I151" s="111">
        <f t="shared" si="50"/>
        <v>7.1642271277573423E+19</v>
      </c>
      <c r="J151" s="111">
        <f t="shared" si="50"/>
        <v>0</v>
      </c>
      <c r="K151" s="111">
        <f t="shared" si="50"/>
        <v>0</v>
      </c>
      <c r="L151" s="111">
        <f t="shared" si="50"/>
        <v>-4.6458862961983717E+19</v>
      </c>
      <c r="M151" s="111">
        <f t="shared" si="50"/>
        <v>2.9176144100265027E+20</v>
      </c>
    </row>
    <row r="152" spans="5:13" ht="15">
      <c r="E152" s="113" t="s">
        <v>13</v>
      </c>
      <c r="F152" s="111">
        <f t="shared" si="50"/>
        <v>1.7602371004732803E+19</v>
      </c>
      <c r="G152" s="111">
        <f t="shared" si="50"/>
        <v>2.045955563504798E+18</v>
      </c>
      <c r="H152" s="111">
        <f t="shared" si="50"/>
        <v>1.0246966272222256E+21</v>
      </c>
      <c r="I152" s="111">
        <f t="shared" si="50"/>
        <v>-1.0328715960122823E+19</v>
      </c>
      <c r="J152" s="111">
        <f t="shared" si="50"/>
        <v>-1.2870852537298261E+21</v>
      </c>
      <c r="K152" s="111">
        <f t="shared" si="50"/>
        <v>-4.2860433735681532E+19</v>
      </c>
      <c r="L152" s="111">
        <f t="shared" si="50"/>
        <v>4.4915709659072148E+18</v>
      </c>
      <c r="M152" s="111">
        <f t="shared" si="50"/>
        <v>3.4250857834911361E+20</v>
      </c>
    </row>
    <row r="153" spans="5:13" ht="15">
      <c r="E153" s="113" t="s">
        <v>14</v>
      </c>
      <c r="F153" s="111">
        <f t="shared" si="50"/>
        <v>-4.6320120444047139E+19</v>
      </c>
      <c r="G153" s="111">
        <f t="shared" si="50"/>
        <v>-1.7761107906261025E+20</v>
      </c>
      <c r="H153" s="111">
        <f t="shared" si="50"/>
        <v>-9.0274024935070073E+19</v>
      </c>
      <c r="I153" s="111">
        <f t="shared" si="50"/>
        <v>-2.4023923422952452E+19</v>
      </c>
      <c r="J153" s="111">
        <f t="shared" si="50"/>
        <v>0</v>
      </c>
      <c r="K153" s="111">
        <f t="shared" si="50"/>
        <v>2.349497099453226E+20</v>
      </c>
      <c r="L153" s="111">
        <f t="shared" si="50"/>
        <v>5.9433003522171929E+19</v>
      </c>
      <c r="M153" s="111">
        <f t="shared" si="50"/>
        <v>7.6367114731730485E+19</v>
      </c>
    </row>
    <row r="154" spans="5:13" ht="15">
      <c r="E154" s="113" t="s">
        <v>15</v>
      </c>
      <c r="F154" s="111">
        <f t="shared" si="50"/>
        <v>0</v>
      </c>
      <c r="G154" s="111">
        <f t="shared" si="50"/>
        <v>0</v>
      </c>
      <c r="H154" s="111">
        <f t="shared" si="50"/>
        <v>0</v>
      </c>
      <c r="I154" s="111">
        <f t="shared" si="50"/>
        <v>0</v>
      </c>
      <c r="J154" s="111">
        <f t="shared" si="50"/>
        <v>0</v>
      </c>
      <c r="K154" s="111">
        <f t="shared" si="50"/>
        <v>0</v>
      </c>
      <c r="L154" s="111">
        <f t="shared" si="50"/>
        <v>8.8937324162937733E+19</v>
      </c>
      <c r="M154" s="111">
        <f t="shared" si="50"/>
        <v>0</v>
      </c>
    </row>
    <row r="155" spans="5:13" ht="15">
      <c r="E155" s="113" t="s">
        <v>16</v>
      </c>
      <c r="F155" s="111">
        <f t="shared" si="50"/>
        <v>0</v>
      </c>
      <c r="G155" s="111">
        <f t="shared" si="50"/>
        <v>0</v>
      </c>
      <c r="H155" s="111">
        <f t="shared" si="50"/>
        <v>0</v>
      </c>
      <c r="I155" s="111">
        <f t="shared" si="50"/>
        <v>0</v>
      </c>
      <c r="J155" s="111">
        <f t="shared" si="50"/>
        <v>0</v>
      </c>
      <c r="K155" s="111">
        <f t="shared" si="50"/>
        <v>0</v>
      </c>
      <c r="L155" s="111">
        <f t="shared" si="50"/>
        <v>0</v>
      </c>
      <c r="M155" s="111">
        <f t="shared" si="50"/>
        <v>1.6799927091276066E+22</v>
      </c>
    </row>
    <row r="157" spans="5:13">
      <c r="F157" s="110"/>
    </row>
    <row r="158" spans="5:13">
      <c r="F158" s="124">
        <v>-5.7434633429516339E-9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</row>
    <row r="159" spans="5:13">
      <c r="F159" s="111">
        <v>1.5619926534195389E-9</v>
      </c>
      <c r="G159" s="124">
        <v>-6.9349911725794344E-9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1">
        <v>8.2599399375528609E-10</v>
      </c>
    </row>
    <row r="160" spans="5:13">
      <c r="F160" s="112">
        <v>0</v>
      </c>
      <c r="G160" s="111">
        <v>1.4380810506627284E-9</v>
      </c>
      <c r="H160" s="124">
        <v>-2.71952737369777E-9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</row>
    <row r="161" spans="4:15">
      <c r="F161" s="112">
        <v>0</v>
      </c>
      <c r="G161" s="112">
        <v>0</v>
      </c>
      <c r="H161" s="111">
        <v>1.427077800367472E-9</v>
      </c>
      <c r="I161" s="124">
        <v>-1.0560453001086941E-8</v>
      </c>
      <c r="J161" s="112">
        <v>0</v>
      </c>
      <c r="K161" s="112">
        <v>0</v>
      </c>
      <c r="L161" s="112">
        <v>0</v>
      </c>
      <c r="M161" s="112">
        <v>0</v>
      </c>
    </row>
    <row r="162" spans="4:15">
      <c r="F162" s="112">
        <v>0</v>
      </c>
      <c r="G162" s="112">
        <v>0</v>
      </c>
      <c r="H162" s="112">
        <v>0</v>
      </c>
      <c r="I162" s="111">
        <v>1.4051025590107522E-9</v>
      </c>
      <c r="J162" s="124">
        <v>-2.3381555221817427E-9</v>
      </c>
      <c r="K162" s="111">
        <v>7.1871730485394106E-10</v>
      </c>
      <c r="L162" s="112">
        <v>0</v>
      </c>
      <c r="M162" s="112">
        <v>0</v>
      </c>
    </row>
    <row r="163" spans="4:15">
      <c r="F163" s="112">
        <v>0</v>
      </c>
      <c r="G163" s="112">
        <v>0</v>
      </c>
      <c r="H163" s="112">
        <v>0</v>
      </c>
      <c r="I163" s="112">
        <v>1.5343492432592516E-9</v>
      </c>
      <c r="J163" s="112">
        <v>0</v>
      </c>
      <c r="K163" s="124">
        <v>-6.2828676916701522E-9</v>
      </c>
      <c r="L163" s="112">
        <v>0</v>
      </c>
      <c r="M163" s="112">
        <v>0</v>
      </c>
    </row>
    <row r="164" spans="4:15">
      <c r="F164" s="112">
        <v>0</v>
      </c>
      <c r="G164" s="111">
        <v>9.1163637120235491E-13</v>
      </c>
      <c r="H164" s="112">
        <v>0</v>
      </c>
      <c r="I164" s="112">
        <v>0</v>
      </c>
      <c r="J164" s="112">
        <v>0</v>
      </c>
      <c r="K164" s="112">
        <v>0</v>
      </c>
      <c r="L164" s="124">
        <v>-7.3617684041897035E-9</v>
      </c>
      <c r="M164" s="112">
        <v>0</v>
      </c>
    </row>
    <row r="165" spans="4:15">
      <c r="F165" s="112">
        <v>0</v>
      </c>
      <c r="G165" s="112">
        <v>0</v>
      </c>
      <c r="H165" s="112">
        <v>0</v>
      </c>
      <c r="I165" s="112">
        <v>0</v>
      </c>
      <c r="J165" s="111">
        <v>5.8612141092503409E-14</v>
      </c>
      <c r="K165" s="112">
        <v>0</v>
      </c>
      <c r="L165" s="112">
        <v>0</v>
      </c>
      <c r="M165" s="124">
        <v>-9.8098353166876458E-10</v>
      </c>
    </row>
    <row r="166" spans="4:15">
      <c r="F166" s="110"/>
    </row>
    <row r="167" spans="4:15">
      <c r="F167" s="110" t="s">
        <v>201</v>
      </c>
      <c r="G167" s="110" t="s">
        <v>202</v>
      </c>
    </row>
    <row r="168" spans="4:15">
      <c r="E168" s="19" t="s">
        <v>203</v>
      </c>
      <c r="F168" s="110"/>
      <c r="G168" s="110">
        <f>SUMPRODUCT(G158:M158,G2:M2)-G158</f>
        <v>0</v>
      </c>
    </row>
    <row r="169" spans="4:15">
      <c r="D169" s="2">
        <f>F146-G146</f>
        <v>6.0646175595290231E+20</v>
      </c>
      <c r="E169" s="19" t="s">
        <v>204</v>
      </c>
      <c r="F169" s="110">
        <f>(F149*F159+M149*M159)/F159</f>
        <v>1.3605460207492976E+21</v>
      </c>
    </row>
    <row r="170" spans="4:15">
      <c r="F170" s="110"/>
    </row>
    <row r="171" spans="4:15">
      <c r="F171" s="125">
        <v>0</v>
      </c>
      <c r="G171" s="112">
        <f t="shared" ref="G171:M171" si="51">G158</f>
        <v>0</v>
      </c>
      <c r="H171" s="112">
        <f t="shared" si="51"/>
        <v>0</v>
      </c>
      <c r="I171" s="112">
        <f t="shared" si="51"/>
        <v>0</v>
      </c>
      <c r="J171" s="112">
        <f t="shared" si="51"/>
        <v>0</v>
      </c>
      <c r="K171" s="112">
        <f t="shared" si="51"/>
        <v>0</v>
      </c>
      <c r="L171" s="112">
        <f t="shared" si="51"/>
        <v>0</v>
      </c>
      <c r="M171" s="112">
        <f t="shared" si="51"/>
        <v>0</v>
      </c>
      <c r="O171" s="110">
        <f t="array" ref="O171:O178">MMULT(F171:M178,M148:M155)</f>
        <v>0</v>
      </c>
    </row>
    <row r="172" spans="4:15">
      <c r="F172" s="111">
        <f t="shared" ref="F172:F178" si="52">F159</f>
        <v>1.5619926534195389E-9</v>
      </c>
      <c r="G172" s="125">
        <v>0</v>
      </c>
      <c r="H172" s="112">
        <f t="shared" ref="H172:M172" si="53">H159</f>
        <v>0</v>
      </c>
      <c r="I172" s="112">
        <f t="shared" si="53"/>
        <v>0</v>
      </c>
      <c r="J172" s="112">
        <f t="shared" si="53"/>
        <v>0</v>
      </c>
      <c r="K172" s="112">
        <f t="shared" si="53"/>
        <v>0</v>
      </c>
      <c r="L172" s="112">
        <f t="shared" si="53"/>
        <v>0</v>
      </c>
      <c r="M172" s="111">
        <f t="shared" si="53"/>
        <v>8.2599399375528609E-10</v>
      </c>
      <c r="O172" s="110">
        <v>13876638872920.744</v>
      </c>
    </row>
    <row r="173" spans="4:15">
      <c r="F173" s="112">
        <f t="shared" si="52"/>
        <v>0</v>
      </c>
      <c r="G173" s="111">
        <f t="shared" ref="G173:G178" si="54">G160</f>
        <v>1.4380810506627284E-9</v>
      </c>
      <c r="H173" s="125">
        <v>0</v>
      </c>
      <c r="I173" s="112">
        <f>I160</f>
        <v>0</v>
      </c>
      <c r="J173" s="112">
        <f>J160</f>
        <v>0</v>
      </c>
      <c r="K173" s="112">
        <f>K160</f>
        <v>0</v>
      </c>
      <c r="L173" s="112">
        <f>L160</f>
        <v>0</v>
      </c>
      <c r="M173" s="112">
        <f>M160</f>
        <v>0</v>
      </c>
      <c r="O173" s="110">
        <v>3351735159050.3735</v>
      </c>
    </row>
    <row r="174" spans="4:15">
      <c r="F174" s="112">
        <f t="shared" si="52"/>
        <v>0</v>
      </c>
      <c r="G174" s="112">
        <f t="shared" si="54"/>
        <v>0</v>
      </c>
      <c r="H174" s="111">
        <f>H161</f>
        <v>1.427077800367472E-9</v>
      </c>
      <c r="I174" s="125">
        <v>0</v>
      </c>
      <c r="J174" s="112">
        <f>J161</f>
        <v>0</v>
      </c>
      <c r="K174" s="112">
        <f>K161</f>
        <v>0</v>
      </c>
      <c r="L174" s="112">
        <f>L161</f>
        <v>0</v>
      </c>
      <c r="M174" s="112">
        <f>M161</f>
        <v>0</v>
      </c>
      <c r="O174" s="110">
        <v>2751771484411.4126</v>
      </c>
    </row>
    <row r="175" spans="4:15">
      <c r="F175" s="112">
        <f t="shared" si="52"/>
        <v>0</v>
      </c>
      <c r="G175" s="112">
        <f t="shared" si="54"/>
        <v>0</v>
      </c>
      <c r="H175" s="112">
        <f>H162</f>
        <v>0</v>
      </c>
      <c r="I175" s="111">
        <f>I162</f>
        <v>1.4051025590107522E-9</v>
      </c>
      <c r="J175" s="125">
        <v>0</v>
      </c>
      <c r="K175" s="111">
        <f>K162</f>
        <v>7.1871730485394106E-10</v>
      </c>
      <c r="L175" s="112">
        <f>L162</f>
        <v>0</v>
      </c>
      <c r="M175" s="112">
        <f>M162</f>
        <v>0</v>
      </c>
      <c r="O175" s="110">
        <v>464841114252.94958</v>
      </c>
    </row>
    <row r="176" spans="4:15">
      <c r="F176" s="112">
        <f t="shared" si="52"/>
        <v>0</v>
      </c>
      <c r="G176" s="112">
        <f t="shared" si="54"/>
        <v>0</v>
      </c>
      <c r="H176" s="112">
        <f>H163</f>
        <v>0</v>
      </c>
      <c r="I176" s="112">
        <f>I163</f>
        <v>1.5343492432592516E-9</v>
      </c>
      <c r="J176" s="112">
        <f>J163</f>
        <v>0</v>
      </c>
      <c r="K176" s="125">
        <v>0</v>
      </c>
      <c r="L176" s="112">
        <f>L163</f>
        <v>0</v>
      </c>
      <c r="M176" s="112">
        <f>M163</f>
        <v>0</v>
      </c>
      <c r="O176" s="110">
        <v>447663946214.6452</v>
      </c>
    </row>
    <row r="177" spans="1:18">
      <c r="A177" s="110"/>
      <c r="B177" s="110"/>
      <c r="C177" s="110"/>
      <c r="D177" s="110"/>
      <c r="F177" s="112">
        <f t="shared" si="52"/>
        <v>0</v>
      </c>
      <c r="G177" s="111">
        <f t="shared" si="54"/>
        <v>9.1163637120235491E-13</v>
      </c>
      <c r="H177" s="112">
        <f>H164</f>
        <v>0</v>
      </c>
      <c r="I177" s="112">
        <f>I164</f>
        <v>0</v>
      </c>
      <c r="J177" s="112">
        <f>J164</f>
        <v>0</v>
      </c>
      <c r="K177" s="112">
        <f>K164</f>
        <v>0</v>
      </c>
      <c r="L177" s="125">
        <v>0</v>
      </c>
      <c r="M177" s="112">
        <f>M164</f>
        <v>0</v>
      </c>
      <c r="O177" s="110">
        <v>2124750671.1947129</v>
      </c>
      <c r="P177" s="110"/>
      <c r="Q177" s="110"/>
      <c r="R177" s="110"/>
    </row>
    <row r="178" spans="1:18">
      <c r="A178" s="110"/>
      <c r="B178" s="110"/>
      <c r="C178" s="110"/>
      <c r="D178" s="110"/>
      <c r="F178" s="112">
        <f t="shared" si="52"/>
        <v>0</v>
      </c>
      <c r="G178" s="112">
        <f t="shared" si="54"/>
        <v>0</v>
      </c>
      <c r="H178" s="112">
        <f>H165</f>
        <v>0</v>
      </c>
      <c r="I178" s="112">
        <f>I165</f>
        <v>0</v>
      </c>
      <c r="J178" s="111">
        <f>J165</f>
        <v>5.8612141092503409E-14</v>
      </c>
      <c r="K178" s="112">
        <f>K165</f>
        <v>0</v>
      </c>
      <c r="L178" s="112">
        <f>L165</f>
        <v>0</v>
      </c>
      <c r="M178" s="125">
        <v>0</v>
      </c>
      <c r="O178" s="110">
        <v>20075161.119591005</v>
      </c>
      <c r="P178" s="110"/>
      <c r="Q178" s="110"/>
      <c r="R178" s="110"/>
    </row>
    <row r="179" spans="1:18">
      <c r="A179" s="110"/>
      <c r="B179" s="110"/>
      <c r="C179" s="110"/>
      <c r="D179" s="110"/>
      <c r="F179" s="110"/>
      <c r="P179" s="110"/>
      <c r="Q179" s="110"/>
      <c r="R179" s="110"/>
    </row>
    <row r="180" spans="1:18">
      <c r="A180" s="110"/>
      <c r="B180" s="110"/>
      <c r="C180" s="110"/>
      <c r="D180" s="110"/>
      <c r="E180" s="19" t="s">
        <v>205</v>
      </c>
      <c r="F180" s="124">
        <f>$M$165-F158</f>
        <v>4.7624798112828691E-9</v>
      </c>
      <c r="G180" s="111">
        <v>0</v>
      </c>
      <c r="H180" s="111">
        <v>0</v>
      </c>
      <c r="I180" s="111">
        <v>0</v>
      </c>
      <c r="J180" s="111">
        <v>0</v>
      </c>
      <c r="K180" s="111">
        <v>0</v>
      </c>
      <c r="L180" s="111">
        <v>0</v>
      </c>
      <c r="M180" s="111">
        <v>0</v>
      </c>
      <c r="O180" s="110">
        <f t="array" ref="O180:O187">MMULT(F180:M187,M148:M155)</f>
        <v>0</v>
      </c>
      <c r="P180" s="110"/>
      <c r="Q180" s="110"/>
      <c r="R180" s="110"/>
    </row>
    <row r="181" spans="1:18">
      <c r="A181" s="110"/>
      <c r="B181" s="110"/>
      <c r="C181" s="110"/>
      <c r="D181" s="110"/>
      <c r="F181" s="111">
        <v>0</v>
      </c>
      <c r="G181" s="124">
        <f>$M$165-G159</f>
        <v>5.9540076409106696E-9</v>
      </c>
      <c r="H181" s="111">
        <v>0</v>
      </c>
      <c r="I181" s="111">
        <v>0</v>
      </c>
      <c r="J181" s="111">
        <v>0</v>
      </c>
      <c r="K181" s="111">
        <v>0</v>
      </c>
      <c r="L181" s="111">
        <v>0</v>
      </c>
      <c r="M181" s="111">
        <v>0</v>
      </c>
      <c r="O181" s="110">
        <v>13877004177266.766</v>
      </c>
      <c r="P181" s="110"/>
      <c r="Q181" s="110"/>
      <c r="R181" s="110"/>
    </row>
    <row r="182" spans="1:18">
      <c r="A182" s="110"/>
      <c r="B182" s="110"/>
      <c r="C182" s="110"/>
      <c r="D182" s="110"/>
      <c r="F182" s="111">
        <v>0</v>
      </c>
      <c r="G182" s="111">
        <v>0</v>
      </c>
      <c r="H182" s="124">
        <f>$M$165-H160</f>
        <v>1.7385438420290054E-9</v>
      </c>
      <c r="I182" s="111">
        <v>0</v>
      </c>
      <c r="J182" s="111">
        <v>0</v>
      </c>
      <c r="K182" s="111">
        <v>0</v>
      </c>
      <c r="L182" s="111">
        <v>0</v>
      </c>
      <c r="M182" s="111">
        <v>0</v>
      </c>
      <c r="O182" s="110">
        <v>3352357781518.6943</v>
      </c>
      <c r="P182" s="110"/>
      <c r="Q182" s="110"/>
      <c r="R182" s="110"/>
    </row>
    <row r="183" spans="1:18">
      <c r="A183" s="110"/>
      <c r="B183" s="110"/>
      <c r="C183" s="110"/>
      <c r="D183" s="110"/>
      <c r="F183" s="111">
        <v>0</v>
      </c>
      <c r="G183" s="111">
        <v>0</v>
      </c>
      <c r="H183" s="111">
        <v>0</v>
      </c>
      <c r="I183" s="124">
        <f>$M$165-I161</f>
        <v>9.5794694694181766E-9</v>
      </c>
      <c r="J183" s="111">
        <v>0</v>
      </c>
      <c r="K183" s="111">
        <v>0</v>
      </c>
      <c r="L183" s="111">
        <v>0</v>
      </c>
      <c r="M183" s="111">
        <v>0</v>
      </c>
      <c r="O183" s="110">
        <v>2794919816438.3408</v>
      </c>
      <c r="P183" s="110"/>
      <c r="Q183" s="110"/>
      <c r="R183" s="110"/>
    </row>
    <row r="184" spans="1:18">
      <c r="A184" s="110"/>
      <c r="B184" s="110"/>
      <c r="C184" s="110"/>
      <c r="D184" s="110"/>
      <c r="F184" s="111">
        <v>0</v>
      </c>
      <c r="G184" s="111">
        <v>0</v>
      </c>
      <c r="H184" s="111">
        <v>0</v>
      </c>
      <c r="I184" s="111">
        <v>0</v>
      </c>
      <c r="J184" s="124">
        <f>$M$165-J162</f>
        <v>1.3571719905129781E-9</v>
      </c>
      <c r="K184" s="111">
        <v>0</v>
      </c>
      <c r="L184" s="111">
        <v>0</v>
      </c>
      <c r="M184" s="111">
        <v>0</v>
      </c>
      <c r="O184" s="110">
        <v>464843049045.83679</v>
      </c>
      <c r="P184" s="110"/>
      <c r="Q184" s="110"/>
      <c r="R184" s="110"/>
    </row>
    <row r="185" spans="1:18">
      <c r="F185" s="111">
        <v>0</v>
      </c>
      <c r="G185" s="111">
        <v>0</v>
      </c>
      <c r="H185" s="111">
        <v>0</v>
      </c>
      <c r="I185" s="111">
        <v>0</v>
      </c>
      <c r="J185" s="111">
        <v>0</v>
      </c>
      <c r="K185" s="124">
        <f>$M$165-K163</f>
        <v>5.3018841600013874E-9</v>
      </c>
      <c r="L185" s="111">
        <v>0</v>
      </c>
      <c r="M185" s="111">
        <v>0</v>
      </c>
      <c r="O185" s="110">
        <v>404889595941.17047</v>
      </c>
    </row>
    <row r="186" spans="1:18">
      <c r="F186" s="111">
        <v>0</v>
      </c>
      <c r="G186" s="111">
        <v>0</v>
      </c>
      <c r="H186" s="111">
        <v>0</v>
      </c>
      <c r="I186" s="111">
        <v>0</v>
      </c>
      <c r="J186" s="111">
        <v>0</v>
      </c>
      <c r="K186" s="111">
        <v>0</v>
      </c>
      <c r="L186" s="124">
        <f>$M$165-L164</f>
        <v>6.3807848725209387E-9</v>
      </c>
      <c r="M186" s="111">
        <v>0</v>
      </c>
      <c r="O186" s="110">
        <v>0</v>
      </c>
    </row>
    <row r="187" spans="1:18">
      <c r="F187" s="111">
        <v>0</v>
      </c>
      <c r="G187" s="111">
        <v>0</v>
      </c>
      <c r="H187" s="111">
        <v>0</v>
      </c>
      <c r="I187" s="111">
        <v>0</v>
      </c>
      <c r="J187" s="111">
        <v>0</v>
      </c>
      <c r="K187" s="111">
        <v>0</v>
      </c>
      <c r="L187" s="111">
        <v>0</v>
      </c>
      <c r="M187" s="124">
        <f>$M$165-M165</f>
        <v>0</v>
      </c>
      <c r="O187" s="110">
        <v>0</v>
      </c>
    </row>
    <row r="189" spans="1:18">
      <c r="F189" s="19">
        <f t="array" ref="F189:M196">MMULT(F2:M9,F126:M133)</f>
        <v>-5.3029107063111987E-9</v>
      </c>
      <c r="G189" s="110">
        <v>0</v>
      </c>
      <c r="H189" s="110">
        <v>0</v>
      </c>
      <c r="I189" s="110">
        <v>0</v>
      </c>
      <c r="J189" s="110">
        <v>0</v>
      </c>
      <c r="K189" s="110">
        <v>0</v>
      </c>
      <c r="L189" s="110">
        <v>2.9733007166019842E-9</v>
      </c>
      <c r="M189" s="110">
        <v>0</v>
      </c>
    </row>
    <row r="190" spans="1:18">
      <c r="F190" s="19">
        <v>-6.8140282670651113E-9</v>
      </c>
      <c r="G190" s="110">
        <v>-9.4640615942738548E-9</v>
      </c>
      <c r="H190" s="110">
        <v>0</v>
      </c>
      <c r="I190" s="110">
        <v>0</v>
      </c>
      <c r="J190" s="110">
        <v>0</v>
      </c>
      <c r="K190" s="110">
        <v>0</v>
      </c>
      <c r="L190" s="110">
        <v>-1.0879956938534316E-8</v>
      </c>
      <c r="M190" s="110">
        <v>-1.1623756653496671E-10</v>
      </c>
    </row>
    <row r="191" spans="1:18">
      <c r="F191" s="19">
        <v>3.2662633545845448E-9</v>
      </c>
      <c r="G191" s="110">
        <v>3.2284297826879751E-9</v>
      </c>
      <c r="H191" s="110">
        <v>-6.8788763388304208E-9</v>
      </c>
      <c r="I191" s="110">
        <v>0</v>
      </c>
      <c r="J191" s="110">
        <v>0</v>
      </c>
      <c r="K191" s="110">
        <v>0</v>
      </c>
      <c r="L191" s="110">
        <v>3.3701765162754682E-9</v>
      </c>
      <c r="M191" s="110">
        <v>-9.6159989207385082E-11</v>
      </c>
    </row>
    <row r="192" spans="1:18">
      <c r="F192" s="19">
        <v>9.9317212060859765E-10</v>
      </c>
      <c r="G192" s="110">
        <v>1.3248045123166033E-9</v>
      </c>
      <c r="H192" s="110">
        <v>-1.2759954599043967E-9</v>
      </c>
      <c r="I192" s="110">
        <v>-2.2138885743899589E-8</v>
      </c>
      <c r="J192" s="110">
        <v>0</v>
      </c>
      <c r="K192" s="110">
        <v>0</v>
      </c>
      <c r="L192" s="110">
        <v>1.5764754026049558E-9</v>
      </c>
      <c r="M192" s="110">
        <v>-1.4549818828046518E-11</v>
      </c>
    </row>
    <row r="193" spans="6:13">
      <c r="F193" s="19">
        <v>-9.3666239189348513E-10</v>
      </c>
      <c r="G193" s="110">
        <v>3.2208048367085949E-11</v>
      </c>
      <c r="H193" s="110">
        <v>5.6427340897642174E-9</v>
      </c>
      <c r="I193" s="110">
        <v>3.1917785190868451E-9</v>
      </c>
      <c r="J193" s="110">
        <v>-2.5875525259194115E-9</v>
      </c>
      <c r="K193" s="110">
        <v>1.5502064637422062E-9</v>
      </c>
      <c r="L193" s="110">
        <v>-1.524112019831698E-10</v>
      </c>
      <c r="M193" s="110">
        <v>-1.7080522172174564E-11</v>
      </c>
    </row>
    <row r="194" spans="6:13">
      <c r="F194" s="19">
        <v>2.4647994748122344E-9</v>
      </c>
      <c r="G194" s="110">
        <v>-2.7960070722061198E-9</v>
      </c>
      <c r="H194" s="110">
        <v>-4.971152479560892E-10</v>
      </c>
      <c r="I194" s="110">
        <v>7.4238698228908527E-9</v>
      </c>
      <c r="J194" s="110">
        <v>0</v>
      </c>
      <c r="K194" s="110">
        <v>-8.4978271862046066E-9</v>
      </c>
      <c r="L194" s="110">
        <v>-2.0167232295871312E-9</v>
      </c>
      <c r="M194" s="110">
        <v>-3.8083431448270961E-12</v>
      </c>
    </row>
    <row r="195" spans="6:13">
      <c r="F195" s="19">
        <v>9.8144357509091954E-13</v>
      </c>
      <c r="G195" s="110">
        <v>1.1241958116789511E-12</v>
      </c>
      <c r="H195" s="110">
        <v>0</v>
      </c>
      <c r="I195" s="110">
        <v>0</v>
      </c>
      <c r="J195" s="110">
        <v>0</v>
      </c>
      <c r="K195" s="110">
        <v>0</v>
      </c>
      <c r="L195" s="110">
        <v>-3.0166675163097792E-9</v>
      </c>
      <c r="M195" s="110">
        <v>9.7602090545549619E-14</v>
      </c>
    </row>
    <row r="196" spans="6:13">
      <c r="F196" s="19">
        <v>8.6738205165846986E-15</v>
      </c>
      <c r="G196" s="110">
        <v>-2.4597714543074199E-16</v>
      </c>
      <c r="H196" s="110">
        <v>-1.0990525932871795E-13</v>
      </c>
      <c r="I196" s="110">
        <v>-1.6234758199595739E-14</v>
      </c>
      <c r="J196" s="110">
        <v>5.8612141092503409E-14</v>
      </c>
      <c r="K196" s="110">
        <v>-1.3077990812251147E-14</v>
      </c>
      <c r="L196" s="110">
        <v>1.0964920695724907E-15</v>
      </c>
      <c r="M196" s="110">
        <v>-8.3779277209933744E-10</v>
      </c>
    </row>
    <row r="198" spans="6:13">
      <c r="F198" s="19">
        <f t="shared" ref="F198:M207" si="55">F189/F126</f>
        <v>-6.3293664152644189E-9</v>
      </c>
      <c r="G198" s="110" t="e">
        <f t="shared" si="55"/>
        <v>#DIV/0!</v>
      </c>
      <c r="H198" s="110" t="e">
        <f t="shared" si="55"/>
        <v>#DIV/0!</v>
      </c>
      <c r="I198" s="110" t="e">
        <f t="shared" si="55"/>
        <v>#DIV/0!</v>
      </c>
      <c r="J198" s="110" t="e">
        <f t="shared" si="55"/>
        <v>#DIV/0!</v>
      </c>
      <c r="K198" s="110" t="e">
        <f t="shared" si="55"/>
        <v>#DIV/0!</v>
      </c>
      <c r="L198" s="110">
        <f t="shared" si="55"/>
        <v>-8.1470236973063684E-9</v>
      </c>
      <c r="M198" s="110" t="e">
        <f t="shared" si="55"/>
        <v>#DIV/0!</v>
      </c>
    </row>
    <row r="199" spans="6:13">
      <c r="F199" s="19">
        <f t="shared" si="55"/>
        <v>-6.3293664152644189E-9</v>
      </c>
      <c r="G199" s="110">
        <f t="shared" si="55"/>
        <v>-7.6746263231083104E-9</v>
      </c>
      <c r="H199" s="110" t="e">
        <f t="shared" si="55"/>
        <v>#DIV/0!</v>
      </c>
      <c r="I199" s="110" t="e">
        <f t="shared" si="55"/>
        <v>#DIV/0!</v>
      </c>
      <c r="J199" s="110" t="e">
        <f t="shared" si="55"/>
        <v>#DIV/0!</v>
      </c>
      <c r="K199" s="110" t="e">
        <f t="shared" si="55"/>
        <v>#DIV/0!</v>
      </c>
      <c r="L199" s="110">
        <f t="shared" si="55"/>
        <v>-8.1470236973063684E-9</v>
      </c>
      <c r="M199" s="110">
        <f t="shared" si="55"/>
        <v>-1.08569798824008E-9</v>
      </c>
    </row>
    <row r="200" spans="6:13">
      <c r="F200" s="19">
        <f t="shared" si="55"/>
        <v>-6.3293664152644197E-9</v>
      </c>
      <c r="G200" s="110">
        <f t="shared" si="55"/>
        <v>-7.6746263231083104E-9</v>
      </c>
      <c r="H200" s="110">
        <f t="shared" si="55"/>
        <v>-3.0092529569266895E-9</v>
      </c>
      <c r="I200" s="110" t="e">
        <f t="shared" si="55"/>
        <v>#DIV/0!</v>
      </c>
      <c r="J200" s="110" t="e">
        <f t="shared" si="55"/>
        <v>#DIV/0!</v>
      </c>
      <c r="K200" s="110" t="e">
        <f t="shared" si="55"/>
        <v>#DIV/0!</v>
      </c>
      <c r="L200" s="110">
        <f t="shared" si="55"/>
        <v>-8.1470236973063684E-9</v>
      </c>
      <c r="M200" s="110">
        <f t="shared" si="55"/>
        <v>-1.0856217745220374E-9</v>
      </c>
    </row>
    <row r="201" spans="6:13">
      <c r="F201" s="19">
        <f t="shared" si="55"/>
        <v>-6.3293664152644189E-9</v>
      </c>
      <c r="G201" s="110">
        <f t="shared" si="55"/>
        <v>-7.674626323108312E-9</v>
      </c>
      <c r="H201" s="110">
        <f t="shared" si="55"/>
        <v>-3.009252956926687E-9</v>
      </c>
      <c r="I201" s="110">
        <f t="shared" si="55"/>
        <v>-1.1523237401921893E-8</v>
      </c>
      <c r="J201" s="110" t="e">
        <f t="shared" si="55"/>
        <v>#DIV/0!</v>
      </c>
      <c r="K201" s="110" t="e">
        <f t="shared" si="55"/>
        <v>#DIV/0!</v>
      </c>
      <c r="L201" s="110">
        <f t="shared" si="55"/>
        <v>-8.1470236973063668E-9</v>
      </c>
      <c r="M201" s="110">
        <f t="shared" si="55"/>
        <v>-1.0856217745220397E-9</v>
      </c>
    </row>
    <row r="202" spans="6:13">
      <c r="F202" s="19">
        <f t="shared" si="55"/>
        <v>-6.3293664152644197E-9</v>
      </c>
      <c r="G202" s="110">
        <f t="shared" si="55"/>
        <v>-7.6746263231083187E-9</v>
      </c>
      <c r="H202" s="110">
        <f t="shared" si="55"/>
        <v>-3.0092529569266895E-9</v>
      </c>
      <c r="I202" s="110">
        <f t="shared" si="55"/>
        <v>-1.1523237401921893E-8</v>
      </c>
      <c r="J202" s="110">
        <f t="shared" si="55"/>
        <v>-2.5875525259194115E-9</v>
      </c>
      <c r="K202" s="110">
        <f t="shared" si="55"/>
        <v>-6.9476207224624008E-9</v>
      </c>
      <c r="L202" s="110">
        <f t="shared" si="55"/>
        <v>-8.1470236973063668E-9</v>
      </c>
      <c r="M202" s="110">
        <f t="shared" si="55"/>
        <v>-1.0856217745220374E-9</v>
      </c>
    </row>
    <row r="203" spans="6:13">
      <c r="F203" s="19">
        <f t="shared" si="55"/>
        <v>-6.3293664152644189E-9</v>
      </c>
      <c r="G203" s="110">
        <f t="shared" si="55"/>
        <v>-7.674626323108312E-9</v>
      </c>
      <c r="H203" s="110">
        <f t="shared" si="55"/>
        <v>-3.0092529569266903E-9</v>
      </c>
      <c r="I203" s="110">
        <f t="shared" si="55"/>
        <v>-1.1523237401921893E-8</v>
      </c>
      <c r="J203" s="110" t="e">
        <f t="shared" si="55"/>
        <v>#DIV/0!</v>
      </c>
      <c r="K203" s="110">
        <f t="shared" si="55"/>
        <v>-6.9476207224624008E-9</v>
      </c>
      <c r="L203" s="110">
        <f t="shared" si="55"/>
        <v>-8.1470236973063668E-9</v>
      </c>
      <c r="M203" s="110">
        <f t="shared" si="55"/>
        <v>-1.0856217745220372E-9</v>
      </c>
    </row>
    <row r="204" spans="6:13">
      <c r="F204" s="19" t="e">
        <f t="shared" si="55"/>
        <v>#DIV/0!</v>
      </c>
      <c r="G204" s="110" t="e">
        <f t="shared" si="55"/>
        <v>#DIV/0!</v>
      </c>
      <c r="H204" s="110" t="e">
        <f t="shared" si="55"/>
        <v>#DIV/0!</v>
      </c>
      <c r="I204" s="110" t="e">
        <f t="shared" si="55"/>
        <v>#DIV/0!</v>
      </c>
      <c r="J204" s="110" t="e">
        <f t="shared" si="55"/>
        <v>#DIV/0!</v>
      </c>
      <c r="K204" s="110" t="e">
        <f t="shared" si="55"/>
        <v>#DIV/0!</v>
      </c>
      <c r="L204" s="110">
        <f t="shared" si="55"/>
        <v>-8.1437371026929466E-9</v>
      </c>
      <c r="M204" s="110" t="e">
        <f t="shared" si="55"/>
        <v>#DIV/0!</v>
      </c>
    </row>
    <row r="205" spans="6:13">
      <c r="F205" s="19" t="e">
        <f t="shared" si="55"/>
        <v>#DIV/0!</v>
      </c>
      <c r="G205" s="110" t="e">
        <f t="shared" si="55"/>
        <v>#DIV/0!</v>
      </c>
      <c r="H205" s="110" t="e">
        <f t="shared" si="55"/>
        <v>#DIV/0!</v>
      </c>
      <c r="I205" s="110" t="e">
        <f t="shared" si="55"/>
        <v>#DIV/0!</v>
      </c>
      <c r="J205" s="110" t="e">
        <f t="shared" si="55"/>
        <v>#DIV/0!</v>
      </c>
      <c r="K205" s="110" t="e">
        <f t="shared" si="55"/>
        <v>#DIV/0!</v>
      </c>
      <c r="L205" s="110" t="e">
        <f t="shared" si="55"/>
        <v>#DIV/0!</v>
      </c>
      <c r="M205" s="110">
        <f t="shared" si="55"/>
        <v>-1.0856205795667852E-9</v>
      </c>
    </row>
    <row r="206" spans="6:13">
      <c r="F206" s="19" t="e">
        <f t="shared" si="55"/>
        <v>#DIV/0!</v>
      </c>
      <c r="G206" s="19" t="e">
        <f t="shared" si="55"/>
        <v>#DIV/0!</v>
      </c>
      <c r="H206" s="19" t="e">
        <f t="shared" si="55"/>
        <v>#DIV/0!</v>
      </c>
      <c r="I206" s="19" t="e">
        <f t="shared" si="55"/>
        <v>#DIV/0!</v>
      </c>
      <c r="J206" s="19" t="e">
        <f t="shared" si="55"/>
        <v>#DIV/0!</v>
      </c>
      <c r="K206" s="19" t="e">
        <f t="shared" si="55"/>
        <v>#DIV/0!</v>
      </c>
      <c r="L206" s="19" t="e">
        <f t="shared" si="55"/>
        <v>#DIV/0!</v>
      </c>
      <c r="M206" s="19" t="e">
        <f t="shared" si="55"/>
        <v>#DIV/0!</v>
      </c>
    </row>
    <row r="207" spans="6:13">
      <c r="F207" s="19" t="e">
        <f t="shared" si="55"/>
        <v>#DIV/0!</v>
      </c>
      <c r="G207" s="19" t="e">
        <f t="shared" si="55"/>
        <v>#DIV/0!</v>
      </c>
      <c r="H207" s="19" t="e">
        <f t="shared" si="55"/>
        <v>#DIV/0!</v>
      </c>
      <c r="I207" s="19" t="e">
        <f t="shared" si="55"/>
        <v>#DIV/0!</v>
      </c>
      <c r="J207" s="19" t="e">
        <f t="shared" si="55"/>
        <v>#DIV/0!</v>
      </c>
      <c r="K207" s="19" t="e">
        <f t="shared" si="55"/>
        <v>#DIV/0!</v>
      </c>
      <c r="L207" s="19" t="e">
        <f t="shared" si="55"/>
        <v>#DIV/0!</v>
      </c>
      <c r="M207" s="19" t="e">
        <f t="shared" si="55"/>
        <v>#DIV/0!</v>
      </c>
    </row>
  </sheetData>
  <conditionalFormatting sqref="F45:M52">
    <cfRule type="cellIs" dxfId="10" priority="13" operator="notBetween">
      <formula>-1E-20</formula>
      <formula>1E-20</formula>
    </cfRule>
  </conditionalFormatting>
  <conditionalFormatting sqref="F73:M73">
    <cfRule type="cellIs" dxfId="9" priority="12" operator="notBetween">
      <formula>-0.0001</formula>
      <formula>0.0001</formula>
    </cfRule>
  </conditionalFormatting>
  <conditionalFormatting sqref="F115:M122">
    <cfRule type="cellIs" dxfId="8" priority="5" operator="notBetween">
      <formula>-1E-20</formula>
      <formula>1E-20</formula>
    </cfRule>
  </conditionalFormatting>
  <conditionalFormatting sqref="F55:M62">
    <cfRule type="cellIs" dxfId="7" priority="11" operator="notBetween">
      <formula>-1E-20</formula>
      <formula>1E-20</formula>
    </cfRule>
  </conditionalFormatting>
  <conditionalFormatting sqref="F65:M72">
    <cfRule type="cellIs" dxfId="6" priority="10" operator="notBetween">
      <formula>-1E-20</formula>
      <formula>1E-20</formula>
    </cfRule>
  </conditionalFormatting>
  <conditionalFormatting sqref="F75:M82">
    <cfRule type="cellIs" dxfId="5" priority="9" operator="notBetween">
      <formula>-1E-20</formula>
      <formula>1E-20</formula>
    </cfRule>
  </conditionalFormatting>
  <conditionalFormatting sqref="F85:M92">
    <cfRule type="cellIs" dxfId="4" priority="8" operator="notBetween">
      <formula>-1E-20</formula>
      <formula>1E-20</formula>
    </cfRule>
  </conditionalFormatting>
  <conditionalFormatting sqref="F95:M102">
    <cfRule type="cellIs" dxfId="3" priority="7" operator="notBetween">
      <formula>-1E-20</formula>
      <formula>1E-20</formula>
    </cfRule>
  </conditionalFormatting>
  <conditionalFormatting sqref="F105:M112">
    <cfRule type="cellIs" dxfId="2" priority="6" operator="notBetween">
      <formula>-1E-20</formula>
      <formula>1E-20</formula>
    </cfRule>
  </conditionalFormatting>
  <conditionalFormatting sqref="F126:M133">
    <cfRule type="cellIs" dxfId="1" priority="4" operator="notBetween">
      <formula>-0.1</formula>
      <formula>0.1</formula>
    </cfRule>
  </conditionalFormatting>
  <conditionalFormatting sqref="F148:M155">
    <cfRule type="cellIs" dxfId="0" priority="3" operator="notBetween">
      <formula>-1E-20</formula>
      <formula>1E-20</formula>
    </cfRule>
  </conditionalFormatting>
  <conditionalFormatting sqref="F189:M19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8:M20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48"/>
  <sheetViews>
    <sheetView workbookViewId="0">
      <selection activeCell="C7" sqref="C7"/>
    </sheetView>
  </sheetViews>
  <sheetFormatPr baseColWidth="10" defaultRowHeight="15"/>
  <cols>
    <col min="1" max="1" width="15.5" style="126" customWidth="1"/>
    <col min="2" max="3" width="11.25" style="126" bestFit="1" customWidth="1"/>
    <col min="4" max="8" width="12.125" style="126" bestFit="1" customWidth="1"/>
    <col min="9" max="9" width="12.75" style="126" bestFit="1" customWidth="1"/>
    <col min="10" max="10" width="11.5" style="126" bestFit="1" customWidth="1"/>
    <col min="11" max="11" width="20.25" style="126" bestFit="1" customWidth="1"/>
    <col min="12" max="13" width="7.5" style="126" bestFit="1" customWidth="1"/>
    <col min="14" max="14" width="11.5" style="126" bestFit="1" customWidth="1"/>
    <col min="15" max="15" width="20.25" style="126" bestFit="1" customWidth="1"/>
    <col min="16" max="17" width="7.5" style="126" bestFit="1" customWidth="1"/>
    <col min="18" max="18" width="11.5" style="126" bestFit="1" customWidth="1"/>
    <col min="19" max="19" width="20.25" style="126" bestFit="1" customWidth="1"/>
    <col min="20" max="20" width="1.75" style="126" bestFit="1" customWidth="1"/>
    <col min="21" max="21" width="5.875" style="126" bestFit="1" customWidth="1"/>
    <col min="22" max="22" width="11.5" style="126" bestFit="1" customWidth="1"/>
    <col min="23" max="23" width="20.25" style="126" bestFit="1" customWidth="1"/>
    <col min="24" max="24" width="1.75" style="126" bestFit="1" customWidth="1"/>
    <col min="25" max="25" width="5.875" style="126" bestFit="1" customWidth="1"/>
    <col min="26" max="26" width="11.5" style="126" bestFit="1" customWidth="1"/>
    <col min="27" max="27" width="20.25" style="126" bestFit="1" customWidth="1"/>
    <col min="28" max="28" width="1.75" style="126" bestFit="1" customWidth="1"/>
    <col min="29" max="29" width="5.875" style="126" bestFit="1" customWidth="1"/>
    <col min="30" max="30" width="11.5" style="126" bestFit="1" customWidth="1"/>
    <col min="31" max="31" width="20.25" style="126" bestFit="1" customWidth="1"/>
    <col min="32" max="32" width="1.75" style="126" bestFit="1" customWidth="1"/>
    <col min="33" max="33" width="6.5" style="126" bestFit="1" customWidth="1"/>
    <col min="34" max="34" width="11.5" style="126" bestFit="1" customWidth="1"/>
    <col min="35" max="35" width="20.25" style="126" bestFit="1" customWidth="1"/>
    <col min="36" max="16384" width="11" style="126"/>
  </cols>
  <sheetData>
    <row r="1" spans="1:18">
      <c r="A1" s="126" t="s">
        <v>206</v>
      </c>
      <c r="B1" s="126" t="s">
        <v>218</v>
      </c>
      <c r="C1" s="126" t="s">
        <v>219</v>
      </c>
      <c r="D1" s="126" t="s">
        <v>220</v>
      </c>
      <c r="E1" s="126" t="s">
        <v>221</v>
      </c>
      <c r="F1" s="126" t="s">
        <v>222</v>
      </c>
      <c r="G1" s="126" t="s">
        <v>223</v>
      </c>
      <c r="H1" s="126" t="s">
        <v>224</v>
      </c>
      <c r="I1" s="126" t="s">
        <v>225</v>
      </c>
    </row>
    <row r="2" spans="1:18">
      <c r="A2" s="134">
        <v>0</v>
      </c>
      <c r="B2" s="127">
        <v>1.0289999999999999E-4</v>
      </c>
      <c r="C2" s="127">
        <v>1.9439999999999999E-2</v>
      </c>
      <c r="D2" s="127">
        <v>1.3869999999999999E-5</v>
      </c>
      <c r="E2" s="127">
        <v>2.5179999999999998E-3</v>
      </c>
      <c r="F2" s="127">
        <v>8.363E-4</v>
      </c>
      <c r="G2" s="127">
        <v>1.741E-4</v>
      </c>
      <c r="H2" s="127">
        <v>5.9219999999999999E-5</v>
      </c>
      <c r="I2" s="127">
        <v>3.7710000000000003E-5</v>
      </c>
      <c r="K2" s="127">
        <f>B2/B$2*mod.RK1!W$2</f>
        <v>8.8937324162937733E+19</v>
      </c>
      <c r="L2" s="127">
        <f>C2/C$2*mod.RK1!Y$2</f>
        <v>1.6799927091276064E+22</v>
      </c>
      <c r="M2" s="127">
        <f>D2/D$2*mod.RK1!I$2</f>
        <v>1.2032336397210882E+19</v>
      </c>
      <c r="N2" s="127">
        <f>E2/E$2*mod.RK1!K$2</f>
        <v>2.1782E+21</v>
      </c>
      <c r="O2" s="127">
        <f>F2/F$2*mod.RK1!M$2</f>
        <v>7.2346005790387942E+20</v>
      </c>
      <c r="P2" s="127">
        <f>G2/G$2*mod.RK1!O$2</f>
        <v>1.5072084539664158E+20</v>
      </c>
      <c r="Q2" s="127">
        <f>H2/H$2*mod.RK1!Q$2</f>
        <v>5.1070699679853748E+19</v>
      </c>
      <c r="R2" s="127">
        <f>I2/I$2*mod.RK1!S$2</f>
        <v>3.2520680334545068E+19</v>
      </c>
    </row>
    <row r="3" spans="1:18">
      <c r="A3" s="134">
        <v>0.13689999999999999</v>
      </c>
      <c r="B3" s="127">
        <v>9.9370000000000006E-5</v>
      </c>
      <c r="C3" s="127">
        <v>1.9349999999999999E-2</v>
      </c>
      <c r="D3" s="127">
        <v>1.36E-5</v>
      </c>
      <c r="E3" s="127">
        <v>2.5070000000000001E-3</v>
      </c>
      <c r="F3" s="127">
        <v>8.4460000000000004E-4</v>
      </c>
      <c r="G3" s="127">
        <v>1.7149999999999999E-4</v>
      </c>
      <c r="H3" s="127">
        <v>5.9939999999999999E-5</v>
      </c>
      <c r="I3" s="127">
        <v>3.7710000000000003E-5</v>
      </c>
      <c r="K3" s="127">
        <f>B3/B$2*mod.RK1!W$2</f>
        <v>8.58863158607495E+19</v>
      </c>
      <c r="L3" s="127">
        <f>C3/C$2*mod.RK1!Y$2</f>
        <v>1.6722149651038675E+22</v>
      </c>
      <c r="M3" s="127">
        <f>D3/D$2*mod.RK1!I$2</f>
        <v>1.1798109228699929E+19</v>
      </c>
      <c r="N3" s="127">
        <f>E3/E$2*mod.RK1!K$2</f>
        <v>2.1686844320889595E+21</v>
      </c>
      <c r="O3" s="127">
        <f>F3/F$2*mod.RK1!M$2</f>
        <v>7.3064015892098122E+20</v>
      </c>
      <c r="P3" s="127">
        <f>G3/G$2*mod.RK1!O$2</f>
        <v>1.4846998842920177E+20</v>
      </c>
      <c r="Q3" s="127">
        <f>H3/H$2*mod.RK1!Q$2</f>
        <v>5.1691620040703025E+19</v>
      </c>
      <c r="R3" s="127">
        <f>I3/I$2*mod.RK1!S$2</f>
        <v>3.2520680334545068E+19</v>
      </c>
    </row>
    <row r="4" spans="1:18">
      <c r="A4" s="134">
        <v>0.41070000000000001</v>
      </c>
      <c r="B4" s="127">
        <v>9.2659999999999997E-5</v>
      </c>
      <c r="C4" s="127">
        <v>1.9189999999999999E-2</v>
      </c>
      <c r="D4" s="127">
        <v>1.346E-5</v>
      </c>
      <c r="E4" s="127">
        <v>2.4940000000000001E-3</v>
      </c>
      <c r="F4" s="127">
        <v>8.6050000000000005E-4</v>
      </c>
      <c r="G4" s="127">
        <v>1.6679999999999999E-4</v>
      </c>
      <c r="H4" s="127">
        <v>6.1309999999999994E-5</v>
      </c>
      <c r="I4" s="127">
        <v>3.7679999999999998E-5</v>
      </c>
      <c r="K4" s="127">
        <f>B4/B$2*mod.RK1!W$2</f>
        <v>8.0086807161689129E+19</v>
      </c>
      <c r="L4" s="127">
        <f>C4/C$2*mod.RK1!Y$2</f>
        <v>1.6583878646172205E+22</v>
      </c>
      <c r="M4" s="127">
        <f>D4/D$2*mod.RK1!I$2</f>
        <v>1.1676658104286841E+19</v>
      </c>
      <c r="N4" s="127">
        <f>E4/E$2*mod.RK1!K$2</f>
        <v>2.1574387609213665E+21</v>
      </c>
      <c r="O4" s="127">
        <f>F4/F$2*mod.RK1!M$2</f>
        <v>7.4439481026699539E+20</v>
      </c>
      <c r="P4" s="127">
        <f>G4/G$2*mod.RK1!O$2</f>
        <v>1.4440113160344522E+20</v>
      </c>
      <c r="Q4" s="127">
        <f>H4/H$2*mod.RK1!Q$2</f>
        <v>5.2873093505096802E+19</v>
      </c>
      <c r="R4" s="127">
        <f>I4/I$2*mod.RK1!S$2</f>
        <v>3.2494808671589978E+19</v>
      </c>
    </row>
    <row r="5" spans="1:18">
      <c r="A5" s="134">
        <v>0.99929999999999997</v>
      </c>
      <c r="B5" s="127">
        <v>7.9770000000000004E-5</v>
      </c>
      <c r="C5" s="127">
        <v>1.883E-2</v>
      </c>
      <c r="D5" s="127">
        <v>1.418E-5</v>
      </c>
      <c r="E5" s="127">
        <v>2.4650000000000002E-3</v>
      </c>
      <c r="F5" s="127">
        <v>8.9249999999999996E-4</v>
      </c>
      <c r="G5" s="127">
        <v>1.5870000000000001E-4</v>
      </c>
      <c r="H5" s="127">
        <v>6.3949999999999996E-5</v>
      </c>
      <c r="I5" s="127">
        <v>3.7459999999999997E-5</v>
      </c>
      <c r="K5" s="127">
        <f>B5/B$2*mod.RK1!W$2</f>
        <v>6.8945873163047076E+19</v>
      </c>
      <c r="L5" s="127">
        <f>C5/C$2*mod.RK1!Y$2</f>
        <v>1.6272768885222648E+22</v>
      </c>
      <c r="M5" s="127">
        <f>D5/D$2*mod.RK1!I$2</f>
        <v>1.2301263886982719E+19</v>
      </c>
      <c r="N5" s="127">
        <f>E5/E$2*mod.RK1!K$2</f>
        <v>2.1323522637013506E+21</v>
      </c>
      <c r="O5" s="127">
        <f>F5/F$2*mod.RK1!M$2</f>
        <v>7.7207712744136363E+20</v>
      </c>
      <c r="P5" s="127">
        <f>G5/G$2*mod.RK1!O$2</f>
        <v>1.3738884643565204E+20</v>
      </c>
      <c r="Q5" s="127">
        <f>H5/H$2*mod.RK1!Q$2</f>
        <v>5.5149801494877528E+19</v>
      </c>
      <c r="R5" s="127">
        <f>I5/I$2*mod.RK1!S$2</f>
        <v>3.2305083143252664E+19</v>
      </c>
    </row>
    <row r="6" spans="1:18">
      <c r="A6" s="134">
        <v>1.9990000000000001</v>
      </c>
      <c r="B6" s="127">
        <v>6.1970000000000005E-5</v>
      </c>
      <c r="C6" s="127">
        <v>1.823E-2</v>
      </c>
      <c r="D6" s="127">
        <v>1.66E-5</v>
      </c>
      <c r="E6" s="127">
        <v>2.4139999999999999E-3</v>
      </c>
      <c r="F6" s="127">
        <v>9.4039999999999998E-4</v>
      </c>
      <c r="G6" s="127">
        <v>1.5009999999999999E-4</v>
      </c>
      <c r="H6" s="127">
        <v>6.7689999999999997E-5</v>
      </c>
      <c r="I6" s="127">
        <v>3.6829999999999998E-5</v>
      </c>
      <c r="K6" s="127">
        <f>B6/B$2*mod.RK1!W$2</f>
        <v>5.3561185406970372E+19</v>
      </c>
      <c r="L6" s="127">
        <f>C6/C$2*mod.RK1!Y$2</f>
        <v>1.5754252616973387E+22</v>
      </c>
      <c r="M6" s="127">
        <f>D6/D$2*mod.RK1!I$2</f>
        <v>1.4400633323266089E+19</v>
      </c>
      <c r="N6" s="127">
        <f>E6/E$2*mod.RK1!K$2</f>
        <v>2.0882346306592535E+21</v>
      </c>
      <c r="O6" s="127">
        <f>F6/F$2*mod.RK1!M$2</f>
        <v>8.1351409596174592E+20</v>
      </c>
      <c r="P6" s="127">
        <f>G6/G$2*mod.RK1!O$2</f>
        <v>1.2994370415873578E+20</v>
      </c>
      <c r="Q6" s="127">
        <f>H6/H$2*mod.RK1!Q$2</f>
        <v>5.837513781373354E+19</v>
      </c>
      <c r="R6" s="127">
        <f>I6/I$2*mod.RK1!S$2</f>
        <v>3.1761778221195825E+19</v>
      </c>
    </row>
    <row r="7" spans="1:18">
      <c r="A7" s="134">
        <v>4.9989999999999997</v>
      </c>
      <c r="B7" s="127">
        <v>2.9119999999999999E-5</v>
      </c>
      <c r="C7" s="127">
        <v>1.6549999999999999E-2</v>
      </c>
      <c r="D7" s="127">
        <v>2.3949999999999999E-5</v>
      </c>
      <c r="E7" s="127">
        <v>2.248E-3</v>
      </c>
      <c r="F7" s="127">
        <v>1.047E-3</v>
      </c>
      <c r="G7" s="127">
        <v>1.4550000000000001E-4</v>
      </c>
      <c r="H7" s="127">
        <v>7.6260000000000005E-5</v>
      </c>
      <c r="I7" s="127">
        <v>3.4690000000000002E-5</v>
      </c>
      <c r="K7" s="127">
        <f>B7/B$2*mod.RK1!W$2</f>
        <v>2.5168657722300748E+19</v>
      </c>
      <c r="L7" s="127">
        <f>C7/C$2*mod.RK1!Y$2</f>
        <v>1.4302407065875455E+22</v>
      </c>
      <c r="M7" s="127">
        <f>D7/D$2*mod.RK1!I$2</f>
        <v>2.0776817354953179E+19</v>
      </c>
      <c r="N7" s="127">
        <f>E7/E$2*mod.RK1!K$2</f>
        <v>1.9446360603653696E+21</v>
      </c>
      <c r="O7" s="127">
        <f>F7/F$2*mod.RK1!M$2</f>
        <v>9.0573081504886017E+20</v>
      </c>
      <c r="P7" s="127">
        <f>G7/G$2*mod.RK1!O$2</f>
        <v>1.2596141875480386E+20</v>
      </c>
      <c r="Q7" s="127">
        <f>H7/H$2*mod.RK1!Q$2</f>
        <v>6.5765814886620176E+19</v>
      </c>
      <c r="R7" s="127">
        <f>I7/I$2*mod.RK1!S$2</f>
        <v>2.9916266263732916E+19</v>
      </c>
    </row>
    <row r="8" spans="1:18">
      <c r="A8" s="134">
        <v>9.9990000000000006</v>
      </c>
      <c r="B8" s="127">
        <v>8.6230000000000003E-6</v>
      </c>
      <c r="C8" s="127">
        <v>1.4080000000000001E-2</v>
      </c>
      <c r="D8" s="127">
        <v>3.1569999999999998E-5</v>
      </c>
      <c r="E8" s="127">
        <v>1.9710000000000001E-3</v>
      </c>
      <c r="F8" s="127">
        <v>1.1249999999999999E-3</v>
      </c>
      <c r="G8" s="127">
        <v>1.5339999999999999E-4</v>
      </c>
      <c r="H8" s="127">
        <v>8.7139999999999996E-5</v>
      </c>
      <c r="I8" s="127">
        <v>3.3939999999999997E-5</v>
      </c>
      <c r="K8" s="127">
        <f>B8/B$2*mod.RK1!W$2</f>
        <v>7.4529304786881649E+18</v>
      </c>
      <c r="L8" s="127">
        <f>C8/C$2*mod.RK1!Y$2</f>
        <v>1.2167848428249331E+22</v>
      </c>
      <c r="M8" s="127">
        <f>D8/D$2*mod.RK1!I$2</f>
        <v>2.7387228555151225E+19</v>
      </c>
      <c r="N8" s="127">
        <f>E8/E$2*mod.RK1!K$2</f>
        <v>1.705016759332804E+21</v>
      </c>
      <c r="O8" s="127">
        <f>F8/F$2*mod.RK1!M$2</f>
        <v>9.7320646316138273E+20</v>
      </c>
      <c r="P8" s="127">
        <f>G8/G$2*mod.RK1!O$2</f>
        <v>1.3280056107894782E+20</v>
      </c>
      <c r="Q8" s="127">
        <f>H8/H$2*mod.RK1!Q$2</f>
        <v>7.5148611450564936E+19</v>
      </c>
      <c r="R8" s="127">
        <f>I8/I$2*mod.RK1!S$2</f>
        <v>2.9269474689855726E+19</v>
      </c>
    </row>
    <row r="9" spans="1:18">
      <c r="A9" s="134">
        <v>15</v>
      </c>
      <c r="B9" s="127">
        <v>2.8839999999999998E-6</v>
      </c>
      <c r="C9" s="127">
        <v>1.1950000000000001E-2</v>
      </c>
      <c r="D9" s="127">
        <v>3.4839999999999998E-5</v>
      </c>
      <c r="E9" s="127">
        <v>1.7110000000000001E-3</v>
      </c>
      <c r="F9" s="127">
        <v>1.122E-3</v>
      </c>
      <c r="G9" s="127">
        <v>1.572E-4</v>
      </c>
      <c r="H9" s="127">
        <v>9.5979999999999999E-5</v>
      </c>
      <c r="I9" s="127">
        <v>3.4619999999999997E-5</v>
      </c>
      <c r="K9" s="127">
        <f>B9/B$2*mod.RK1!W$2</f>
        <v>2.4926651398047852E+18</v>
      </c>
      <c r="L9" s="127">
        <f>C9/C$2*mod.RK1!Y$2</f>
        <v>1.0327115675964455E+22</v>
      </c>
      <c r="M9" s="127">
        <f>D9/D$2*mod.RK1!I$2</f>
        <v>3.0223979818228347E+19</v>
      </c>
      <c r="N9" s="127">
        <f>E9/E$2*mod.RK1!K$2</f>
        <v>1.4801033359809375E+21</v>
      </c>
      <c r="O9" s="127">
        <f>F9/F$2*mod.RK1!M$2</f>
        <v>9.7061124592628557E+20</v>
      </c>
      <c r="P9" s="127">
        <f>G9/G$2*mod.RK1!O$2</f>
        <v>1.3609027510828293E+20</v>
      </c>
      <c r="Q9" s="127">
        <f>H9/H$2*mod.RK1!Q$2</f>
        <v>8.2772133658770047E+19</v>
      </c>
      <c r="R9" s="127">
        <f>I9/I$2*mod.RK1!S$2</f>
        <v>2.9855899050171044E+19</v>
      </c>
    </row>
    <row r="20" spans="1:9">
      <c r="A20" s="126" t="s">
        <v>226</v>
      </c>
    </row>
    <row r="28" spans="1:9">
      <c r="B28" s="127"/>
      <c r="C28" s="127"/>
      <c r="D28" s="127"/>
      <c r="E28" s="127"/>
      <c r="F28" s="127"/>
      <c r="G28" s="127"/>
      <c r="H28" s="127"/>
      <c r="I28" s="127"/>
    </row>
    <row r="29" spans="1:9">
      <c r="B29" s="127"/>
      <c r="C29" s="127"/>
      <c r="D29" s="127"/>
      <c r="E29" s="127"/>
      <c r="F29" s="127"/>
      <c r="G29" s="127"/>
      <c r="H29" s="127"/>
      <c r="I29" s="127"/>
    </row>
    <row r="30" spans="1:9">
      <c r="B30" s="127"/>
      <c r="C30" s="127"/>
      <c r="D30" s="127"/>
      <c r="E30" s="127"/>
      <c r="F30" s="127"/>
      <c r="G30" s="127"/>
      <c r="H30" s="127"/>
      <c r="I30" s="127"/>
    </row>
    <row r="31" spans="1:9">
      <c r="B31" s="127"/>
      <c r="C31" s="127"/>
      <c r="D31" s="127"/>
      <c r="E31" s="127"/>
      <c r="F31" s="127"/>
      <c r="G31" s="127"/>
      <c r="H31" s="127"/>
      <c r="I31" s="127"/>
    </row>
    <row r="32" spans="1:9">
      <c r="B32" s="127"/>
      <c r="C32" s="127"/>
      <c r="D32" s="127"/>
      <c r="E32" s="127"/>
      <c r="F32" s="127"/>
      <c r="G32" s="127"/>
      <c r="H32" s="127"/>
      <c r="I32" s="127"/>
    </row>
    <row r="33" spans="2:9">
      <c r="B33" s="127"/>
      <c r="C33" s="127"/>
      <c r="D33" s="127"/>
      <c r="E33" s="127"/>
      <c r="F33" s="127"/>
      <c r="G33" s="127"/>
      <c r="H33" s="127"/>
      <c r="I33" s="127"/>
    </row>
    <row r="34" spans="2:9">
      <c r="B34" s="127"/>
      <c r="C34" s="127"/>
      <c r="D34" s="127"/>
      <c r="E34" s="127"/>
      <c r="F34" s="127"/>
      <c r="G34" s="127"/>
      <c r="H34" s="127"/>
      <c r="I34" s="127"/>
    </row>
    <row r="35" spans="2:9">
      <c r="B35" s="127"/>
      <c r="C35" s="127"/>
      <c r="D35" s="127"/>
      <c r="E35" s="127"/>
      <c r="F35" s="127"/>
      <c r="G35" s="127"/>
      <c r="H35" s="127"/>
      <c r="I35" s="127"/>
    </row>
    <row r="36" spans="2:9">
      <c r="B36" s="127"/>
      <c r="C36" s="127"/>
      <c r="D36" s="127"/>
      <c r="E36" s="127"/>
      <c r="F36" s="127"/>
      <c r="G36" s="127"/>
      <c r="H36" s="127"/>
      <c r="I36" s="127"/>
    </row>
    <row r="37" spans="2:9">
      <c r="B37" s="127"/>
      <c r="C37" s="127"/>
      <c r="D37" s="127"/>
      <c r="E37" s="127"/>
      <c r="F37" s="127"/>
      <c r="G37" s="127"/>
      <c r="H37" s="127"/>
      <c r="I37" s="127"/>
    </row>
    <row r="38" spans="2:9">
      <c r="B38" s="127"/>
      <c r="C38" s="127"/>
      <c r="D38" s="127"/>
      <c r="E38" s="127"/>
      <c r="F38" s="127"/>
      <c r="G38" s="127"/>
      <c r="H38" s="127"/>
      <c r="I38" s="127"/>
    </row>
    <row r="39" spans="2:9">
      <c r="B39" s="127"/>
      <c r="C39" s="127"/>
      <c r="D39" s="127"/>
      <c r="E39" s="127"/>
      <c r="F39" s="127"/>
      <c r="G39" s="127"/>
      <c r="H39" s="127"/>
      <c r="I39" s="127"/>
    </row>
    <row r="40" spans="2:9">
      <c r="B40" s="127"/>
      <c r="C40" s="127"/>
      <c r="D40" s="127"/>
      <c r="E40" s="127"/>
      <c r="F40" s="127"/>
      <c r="G40" s="127"/>
      <c r="H40" s="127"/>
      <c r="I40" s="127"/>
    </row>
    <row r="41" spans="2:9">
      <c r="B41" s="127"/>
      <c r="C41" s="127"/>
      <c r="D41" s="127"/>
      <c r="E41" s="127"/>
      <c r="F41" s="127"/>
      <c r="G41" s="127"/>
      <c r="H41" s="127"/>
      <c r="I41" s="127"/>
    </row>
    <row r="42" spans="2:9">
      <c r="B42" s="127"/>
      <c r="C42" s="127"/>
      <c r="D42" s="127"/>
      <c r="E42" s="127"/>
      <c r="F42" s="127"/>
      <c r="G42" s="127"/>
      <c r="H42" s="127"/>
      <c r="I42" s="127"/>
    </row>
    <row r="43" spans="2:9">
      <c r="B43" s="127"/>
      <c r="C43" s="127"/>
      <c r="D43" s="127"/>
      <c r="E43" s="127"/>
      <c r="F43" s="127"/>
      <c r="G43" s="127"/>
      <c r="H43" s="127"/>
      <c r="I43" s="127"/>
    </row>
    <row r="44" spans="2:9">
      <c r="B44" s="127"/>
      <c r="C44" s="127"/>
      <c r="D44" s="127"/>
      <c r="E44" s="127"/>
      <c r="F44" s="127"/>
      <c r="G44" s="127"/>
      <c r="H44" s="127"/>
      <c r="I44" s="127"/>
    </row>
    <row r="45" spans="2:9">
      <c r="B45" s="127"/>
      <c r="C45" s="127"/>
      <c r="D45" s="127"/>
      <c r="E45" s="127"/>
      <c r="F45" s="127"/>
      <c r="G45" s="127"/>
      <c r="H45" s="127"/>
      <c r="I45" s="127"/>
    </row>
    <row r="46" spans="2:9">
      <c r="B46" s="127"/>
      <c r="C46" s="127"/>
      <c r="D46" s="127"/>
      <c r="E46" s="127"/>
      <c r="F46" s="127"/>
      <c r="G46" s="127"/>
      <c r="H46" s="127"/>
      <c r="I46" s="127"/>
    </row>
    <row r="47" spans="2:9">
      <c r="B47" s="127"/>
      <c r="C47" s="127"/>
      <c r="D47" s="127"/>
      <c r="E47" s="127"/>
      <c r="F47" s="127"/>
      <c r="G47" s="127"/>
      <c r="H47" s="127"/>
      <c r="I47" s="127"/>
    </row>
    <row r="48" spans="2:9">
      <c r="B48" s="127"/>
      <c r="C48" s="127"/>
      <c r="D48" s="127"/>
      <c r="E48" s="127"/>
      <c r="F48" s="127"/>
      <c r="G48" s="127"/>
      <c r="H48" s="127"/>
      <c r="I48" s="12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9"/>
  <sheetViews>
    <sheetView zoomScale="85" zoomScaleNormal="85" workbookViewId="0">
      <pane ySplit="1" topLeftCell="A2" activePane="bottomLeft" state="frozen"/>
      <selection pane="bottomLeft" activeCell="R1" sqref="R1"/>
    </sheetView>
  </sheetViews>
  <sheetFormatPr baseColWidth="10" defaultRowHeight="15"/>
  <cols>
    <col min="1" max="1" width="11" style="126"/>
    <col min="2" max="2" width="7.75" style="126" bestFit="1" customWidth="1"/>
    <col min="3" max="3" width="11" style="126"/>
    <col min="4" max="6" width="7.625" style="128" bestFit="1" customWidth="1"/>
    <col min="7" max="7" width="7.375" style="128" bestFit="1" customWidth="1"/>
    <col min="8" max="9" width="7.625" style="128" bestFit="1" customWidth="1"/>
    <col min="10" max="10" width="7.375" style="128" bestFit="1" customWidth="1"/>
    <col min="11" max="11" width="7.625" style="128" bestFit="1" customWidth="1"/>
    <col min="12" max="16384" width="11" style="126"/>
  </cols>
  <sheetData>
    <row r="1" spans="1:19" ht="26.25">
      <c r="A1" s="133" t="s">
        <v>217</v>
      </c>
      <c r="B1" s="132" t="s">
        <v>216</v>
      </c>
      <c r="C1" s="126" t="s">
        <v>215</v>
      </c>
      <c r="D1" s="131" t="s">
        <v>214</v>
      </c>
      <c r="E1" s="131" t="s">
        <v>213</v>
      </c>
      <c r="F1" s="131" t="s">
        <v>212</v>
      </c>
      <c r="G1" s="131" t="s">
        <v>211</v>
      </c>
      <c r="H1" s="131" t="s">
        <v>210</v>
      </c>
      <c r="I1" s="131" t="s">
        <v>209</v>
      </c>
      <c r="J1" s="131" t="s">
        <v>208</v>
      </c>
      <c r="K1" s="131" t="s">
        <v>207</v>
      </c>
      <c r="L1" s="130" t="s">
        <v>214</v>
      </c>
      <c r="M1" s="130" t="s">
        <v>213</v>
      </c>
      <c r="N1" s="130" t="s">
        <v>212</v>
      </c>
      <c r="O1" s="130" t="s">
        <v>211</v>
      </c>
      <c r="P1" s="130" t="s">
        <v>210</v>
      </c>
      <c r="Q1" s="130" t="s">
        <v>209</v>
      </c>
      <c r="R1" s="130" t="s">
        <v>208</v>
      </c>
      <c r="S1" s="130" t="s">
        <v>207</v>
      </c>
    </row>
    <row r="2" spans="1:19">
      <c r="B2" s="126">
        <v>0</v>
      </c>
      <c r="C2" s="126">
        <f t="shared" ref="C2:C33" si="0">B2/365</f>
        <v>0</v>
      </c>
      <c r="D2" s="129">
        <v>1.1994000000000001E-5</v>
      </c>
      <c r="E2" s="129">
        <v>2.1781999999999999E-3</v>
      </c>
      <c r="F2" s="129">
        <v>7.2334999999999999E-4</v>
      </c>
      <c r="G2" s="129">
        <v>1.506E-4</v>
      </c>
      <c r="H2" s="129">
        <v>5.1218000000000003E-5</v>
      </c>
      <c r="I2" s="129">
        <v>3.2614000000000003E-5</v>
      </c>
      <c r="J2" s="129">
        <v>1.6813999999999999E-2</v>
      </c>
      <c r="K2" s="129">
        <v>8.9010000000000003E-5</v>
      </c>
      <c r="L2" s="127">
        <f>D2/D$2*mod.RK1!I$2</f>
        <v>1.2032336397210882E+19</v>
      </c>
      <c r="M2" s="127">
        <f>E2/E$2*mod.RK1!K$2</f>
        <v>2.1782E+21</v>
      </c>
      <c r="N2" s="127">
        <f>F2/F$2*mod.RK1!M$2</f>
        <v>7.2346005790387942E+20</v>
      </c>
      <c r="O2" s="127">
        <f>G2/G$2*mod.RK1!O$2</f>
        <v>1.5072084539664158E+20</v>
      </c>
      <c r="P2" s="127">
        <f>H2/H$2*mod.RK1!Q$2</f>
        <v>5.1070699679853748E+19</v>
      </c>
      <c r="Q2" s="127">
        <f>I2/I$2*mod.RK1!S$2</f>
        <v>3.2520680334545068E+19</v>
      </c>
      <c r="R2" s="127">
        <f>J2/J$2*mod.RK1!Y$2</f>
        <v>1.6799927091276064E+22</v>
      </c>
      <c r="S2" s="127">
        <f>K2/K$2*mod.RK1!W$2</f>
        <v>8.8937324162937733E+19</v>
      </c>
    </row>
    <row r="3" spans="1:19">
      <c r="B3" s="126">
        <v>73</v>
      </c>
      <c r="C3" s="126">
        <f t="shared" si="0"/>
        <v>0.2</v>
      </c>
      <c r="D3" s="129">
        <v>1.1708E-5</v>
      </c>
      <c r="E3" s="129">
        <v>2.1667000000000001E-3</v>
      </c>
      <c r="F3" s="129">
        <v>7.3063999999999996E-4</v>
      </c>
      <c r="G3" s="129">
        <v>1.4724000000000001E-4</v>
      </c>
      <c r="H3" s="129">
        <v>5.1932999999999999E-5</v>
      </c>
      <c r="I3" s="129">
        <v>3.2765999999999998E-5</v>
      </c>
      <c r="J3" s="129">
        <v>1.6709999999999999E-2</v>
      </c>
      <c r="K3" s="129">
        <v>8.5012999999999994E-5</v>
      </c>
      <c r="L3" s="127">
        <f>D3/D$2*mod.RK1!I$2</f>
        <v>1.1745422256006754E+19</v>
      </c>
      <c r="M3" s="127">
        <f>E3/E$2*mod.RK1!K$2</f>
        <v>2.1667000000000004E+21</v>
      </c>
      <c r="N3" s="127">
        <f>F3/F$2*mod.RK1!M$2</f>
        <v>7.3075116707940899E+20</v>
      </c>
      <c r="O3" s="127">
        <f>G3/G$2*mod.RK1!O$2</f>
        <v>1.4735814924436591E+20</v>
      </c>
      <c r="P3" s="127">
        <f>H3/H$2*mod.RK1!Q$2</f>
        <v>5.1783643376817611E+19</v>
      </c>
      <c r="Q3" s="127">
        <f>I3/I$2*mod.RK1!S$2</f>
        <v>3.267224541122535E+19</v>
      </c>
      <c r="R3" s="127">
        <f>J3/J$2*mod.RK1!Y$2</f>
        <v>1.669601413674456E+22</v>
      </c>
      <c r="S3" s="127">
        <f>K3/K$2*mod.RK1!W$2</f>
        <v>8.4943587676259123E+19</v>
      </c>
    </row>
    <row r="4" spans="1:19">
      <c r="B4" s="126">
        <v>146</v>
      </c>
      <c r="C4" s="126">
        <f t="shared" si="0"/>
        <v>0.4</v>
      </c>
      <c r="D4" s="129">
        <v>1.1626E-5</v>
      </c>
      <c r="E4" s="129">
        <v>2.1588000000000002E-3</v>
      </c>
      <c r="F4" s="129">
        <v>7.3777000000000001E-4</v>
      </c>
      <c r="G4" s="129">
        <v>1.4415000000000001E-4</v>
      </c>
      <c r="H4" s="129">
        <v>5.2611999999999997E-5</v>
      </c>
      <c r="I4" s="129">
        <v>3.2879000000000001E-5</v>
      </c>
      <c r="J4" s="129">
        <v>1.6607E-2</v>
      </c>
      <c r="K4" s="129">
        <v>8.1184000000000001E-5</v>
      </c>
      <c r="L4" s="127">
        <f>D4/D$2*mod.RK1!I$2</f>
        <v>1.1663160159577598E+19</v>
      </c>
      <c r="M4" s="127">
        <f>E4/E$2*mod.RK1!K$2</f>
        <v>2.1588000000000003E+21</v>
      </c>
      <c r="N4" s="127">
        <f>F4/F$2*mod.RK1!M$2</f>
        <v>7.3788225191089393E+20</v>
      </c>
      <c r="O4" s="127">
        <f>G4/G$2*mod.RK1!O$2</f>
        <v>1.4426566974718383E+20</v>
      </c>
      <c r="P4" s="127">
        <f>H4/H$2*mod.RK1!Q$2</f>
        <v>5.2460690607920366E+19</v>
      </c>
      <c r="Q4" s="127">
        <f>I4/I$2*mod.RK1!S$2</f>
        <v>3.27849220800732E+19</v>
      </c>
      <c r="R4" s="127">
        <f>J4/J$2*mod.RK1!Y$2</f>
        <v>1.6593100345237398E+22</v>
      </c>
      <c r="S4" s="127">
        <f>K4/K$2*mod.RK1!W$2</f>
        <v>8.1117714019143205E+19</v>
      </c>
    </row>
    <row r="5" spans="1:19">
      <c r="B5" s="126">
        <v>219</v>
      </c>
      <c r="C5" s="126">
        <f t="shared" si="0"/>
        <v>0.6</v>
      </c>
      <c r="D5" s="129">
        <v>1.1691E-5</v>
      </c>
      <c r="E5" s="129">
        <v>2.1508E-3</v>
      </c>
      <c r="F5" s="129">
        <v>7.4474000000000003E-4</v>
      </c>
      <c r="G5" s="129">
        <v>1.4130999999999999E-4</v>
      </c>
      <c r="H5" s="129">
        <v>5.3258999999999999E-5</v>
      </c>
      <c r="I5" s="129">
        <v>3.2954000000000003E-5</v>
      </c>
      <c r="J5" s="129">
        <v>1.6504000000000001E-2</v>
      </c>
      <c r="K5" s="129">
        <v>7.7510999999999997E-5</v>
      </c>
      <c r="L5" s="127">
        <f>D5/D$2*mod.RK1!I$2</f>
        <v>1.1728367918942173E+19</v>
      </c>
      <c r="M5" s="127">
        <f>E5/E$2*mod.RK1!K$2</f>
        <v>2.1508E+21</v>
      </c>
      <c r="N5" s="127">
        <f>F5/F$2*mod.RK1!M$2</f>
        <v>7.4485331239833449E+20</v>
      </c>
      <c r="O5" s="127">
        <f>G5/G$2*mod.RK1!O$2</f>
        <v>1.4142339085656985E+20</v>
      </c>
      <c r="P5" s="127">
        <f>H5/H$2*mod.RK1!Q$2</f>
        <v>5.3105829869368795E+19</v>
      </c>
      <c r="Q5" s="127">
        <f>I5/I$2*mod.RK1!S$2</f>
        <v>3.2859707479750967E+19</v>
      </c>
      <c r="R5" s="127">
        <f>J5/J$2*mod.RK1!Y$2</f>
        <v>1.6490186553730236E+22</v>
      </c>
      <c r="S5" s="127">
        <f>K5/K$2*mod.RK1!W$2</f>
        <v>7.7447712989478322E+19</v>
      </c>
    </row>
    <row r="6" spans="1:19">
      <c r="B6" s="126">
        <v>292</v>
      </c>
      <c r="C6" s="126">
        <f t="shared" si="0"/>
        <v>0.8</v>
      </c>
      <c r="D6" s="129">
        <v>1.1861999999999999E-5</v>
      </c>
      <c r="E6" s="129">
        <v>2.1424999999999999E-3</v>
      </c>
      <c r="F6" s="129">
        <v>7.5155000000000003E-4</v>
      </c>
      <c r="G6" s="129">
        <v>1.3871000000000001E-4</v>
      </c>
      <c r="H6" s="129">
        <v>5.3875999999999997E-5</v>
      </c>
      <c r="I6" s="129">
        <v>3.2994999999999998E-5</v>
      </c>
      <c r="J6" s="129">
        <v>1.6400999999999999E-2</v>
      </c>
      <c r="K6" s="129">
        <v>7.3988999999999999E-5</v>
      </c>
      <c r="L6" s="127">
        <f>D6/D$2*mod.RK1!I$2</f>
        <v>1.1899914485885899E+19</v>
      </c>
      <c r="M6" s="127">
        <f>E6/E$2*mod.RK1!K$2</f>
        <v>2.1424999999999999E+21</v>
      </c>
      <c r="N6" s="127">
        <f>F6/F$2*mod.RK1!M$2</f>
        <v>7.5166434854173016E+20</v>
      </c>
      <c r="O6" s="127">
        <f>G6/G$2*mod.RK1!O$2</f>
        <v>1.3882130454826131E+20</v>
      </c>
      <c r="P6" s="127">
        <f>H6/H$2*mod.RK1!Q$2</f>
        <v>5.3721055409266278E+19</v>
      </c>
      <c r="Q6" s="127">
        <f>I6/I$2*mod.RK1!S$2</f>
        <v>3.2900590164908151E+19</v>
      </c>
      <c r="R6" s="127">
        <f>J6/J$2*mod.RK1!Y$2</f>
        <v>1.6387272762223072E+22</v>
      </c>
      <c r="S6" s="127">
        <f>K6/K$2*mod.RK1!W$2</f>
        <v>7.3928588669718004E+19</v>
      </c>
    </row>
    <row r="7" spans="1:19">
      <c r="B7" s="126">
        <v>365</v>
      </c>
      <c r="C7" s="126">
        <f t="shared" si="0"/>
        <v>1</v>
      </c>
      <c r="D7" s="129">
        <v>1.2109999999999999E-5</v>
      </c>
      <c r="E7" s="129">
        <v>2.134E-3</v>
      </c>
      <c r="F7" s="129">
        <v>7.582E-4</v>
      </c>
      <c r="G7" s="129">
        <v>1.3632999999999999E-4</v>
      </c>
      <c r="H7" s="129">
        <v>5.4463999999999999E-5</v>
      </c>
      <c r="I7" s="129">
        <v>3.3003999999999998E-5</v>
      </c>
      <c r="J7" s="129">
        <v>1.6299000000000001E-2</v>
      </c>
      <c r="K7" s="129">
        <v>7.0612999999999996E-5</v>
      </c>
      <c r="L7" s="127">
        <f>D7/D$2*mod.RK1!I$2</f>
        <v>1.2148707167769199E+19</v>
      </c>
      <c r="M7" s="127">
        <f>E7/E$2*mod.RK1!K$2</f>
        <v>2.134E+21</v>
      </c>
      <c r="N7" s="127">
        <f>F7/F$2*mod.RK1!M$2</f>
        <v>7.5831536034108159E+20</v>
      </c>
      <c r="O7" s="127">
        <f>G7/G$2*mod.RK1!O$2</f>
        <v>1.364393947737327E+20</v>
      </c>
      <c r="P7" s="127">
        <f>H7/H$2*mod.RK1!Q$2</f>
        <v>5.4307364351664538E+19</v>
      </c>
      <c r="Q7" s="127">
        <f>I7/I$2*mod.RK1!S$2</f>
        <v>3.290956441286948E+19</v>
      </c>
      <c r="R7" s="127">
        <f>J7/J$2*mod.RK1!Y$2</f>
        <v>1.6285358133740252E+22</v>
      </c>
      <c r="S7" s="127">
        <f>K7/K$2*mod.RK1!W$2</f>
        <v>7.0555345142315713E+19</v>
      </c>
    </row>
    <row r="8" spans="1:19">
      <c r="B8" s="126">
        <v>438</v>
      </c>
      <c r="C8" s="126">
        <f t="shared" si="0"/>
        <v>1.2</v>
      </c>
      <c r="D8" s="129">
        <v>1.2413E-5</v>
      </c>
      <c r="E8" s="129">
        <v>2.1253000000000001E-3</v>
      </c>
      <c r="F8" s="129">
        <v>7.6469000000000005E-4</v>
      </c>
      <c r="G8" s="129">
        <v>1.3416E-4</v>
      </c>
      <c r="H8" s="129">
        <v>5.5027E-5</v>
      </c>
      <c r="I8" s="129">
        <v>3.2985999999999999E-5</v>
      </c>
      <c r="J8" s="129">
        <v>1.6195999999999999E-2</v>
      </c>
      <c r="K8" s="129">
        <v>6.7376E-5</v>
      </c>
      <c r="L8" s="127">
        <f>D8/D$2*mod.RK1!I$2</f>
        <v>1.2452675646037907E+19</v>
      </c>
      <c r="M8" s="127">
        <f>E8/E$2*mod.RK1!K$2</f>
        <v>2.1253000000000004E+21</v>
      </c>
      <c r="N8" s="127">
        <f>F8/F$2*mod.RK1!M$2</f>
        <v>7.6480634779638851E+20</v>
      </c>
      <c r="O8" s="127">
        <f>G8/G$2*mod.RK1!O$2</f>
        <v>1.3426765350872134E+20</v>
      </c>
      <c r="P8" s="127">
        <f>H8/H$2*mod.RK1!Q$2</f>
        <v>5.4868745192770347E+19</v>
      </c>
      <c r="Q8" s="127">
        <f>I8/I$2*mod.RK1!S$2</f>
        <v>3.2891615916946821E+19</v>
      </c>
      <c r="R8" s="127">
        <f>J8/J$2*mod.RK1!Y$2</f>
        <v>1.6182444342233088E+22</v>
      </c>
      <c r="S8" s="127">
        <f>K8/K$2*mod.RK1!W$2</f>
        <v>6.7320988122706354E+19</v>
      </c>
    </row>
    <row r="9" spans="1:19">
      <c r="B9" s="126">
        <v>511</v>
      </c>
      <c r="C9" s="126">
        <f t="shared" si="0"/>
        <v>1.4</v>
      </c>
      <c r="D9" s="129">
        <v>1.2755000000000001E-5</v>
      </c>
      <c r="E9" s="129">
        <v>2.1164000000000001E-3</v>
      </c>
      <c r="F9" s="129">
        <v>7.7101999999999997E-4</v>
      </c>
      <c r="G9" s="129">
        <v>1.3218999999999999E-4</v>
      </c>
      <c r="H9" s="129">
        <v>5.5563999999999999E-5</v>
      </c>
      <c r="I9" s="129">
        <v>3.2941999999999997E-5</v>
      </c>
      <c r="J9" s="129">
        <v>1.6094000000000001E-2</v>
      </c>
      <c r="K9" s="129">
        <v>6.4275000000000004E-5</v>
      </c>
      <c r="L9" s="127">
        <f>D9/D$2*mod.RK1!I$2</f>
        <v>1.2795768779925363E+19</v>
      </c>
      <c r="M9" s="127">
        <f>E9/E$2*mod.RK1!K$2</f>
        <v>2.1164000000000003E+21</v>
      </c>
      <c r="N9" s="127">
        <f>F9/F$2*mod.RK1!M$2</f>
        <v>7.7113731090765054E+20</v>
      </c>
      <c r="O9" s="127">
        <f>G9/G$2*mod.RK1!O$2</f>
        <v>1.3229607272896446E+20</v>
      </c>
      <c r="P9" s="127">
        <f>H9/H$2*mod.RK1!Q$2</f>
        <v>5.5404200808532034E+19</v>
      </c>
      <c r="Q9" s="127">
        <f>I9/I$2*mod.RK1!S$2</f>
        <v>3.284774181580252E+19</v>
      </c>
      <c r="R9" s="127">
        <f>J9/J$2*mod.RK1!Y$2</f>
        <v>1.6080529713750266E+22</v>
      </c>
      <c r="S9" s="127">
        <f>K9/K$2*mod.RK1!W$2</f>
        <v>6.4222520060362015E+19</v>
      </c>
    </row>
    <row r="10" spans="1:19">
      <c r="B10" s="126">
        <v>584</v>
      </c>
      <c r="C10" s="126">
        <f t="shared" si="0"/>
        <v>1.6</v>
      </c>
      <c r="D10" s="129">
        <v>1.3125000000000001E-5</v>
      </c>
      <c r="E10" s="129">
        <v>2.1072999999999999E-3</v>
      </c>
      <c r="F10" s="129">
        <v>7.7718000000000004E-4</v>
      </c>
      <c r="G10" s="129">
        <v>1.3039E-4</v>
      </c>
      <c r="H10" s="129">
        <v>5.6079000000000003E-5</v>
      </c>
      <c r="I10" s="129">
        <v>3.2876999999999997E-5</v>
      </c>
      <c r="J10" s="129">
        <v>1.5991999999999999E-2</v>
      </c>
      <c r="K10" s="129">
        <v>6.1303000000000006E-5</v>
      </c>
      <c r="L10" s="127">
        <f>D10/D$2*mod.RK1!I$2</f>
        <v>1.316695141015448E+19</v>
      </c>
      <c r="M10" s="127">
        <f>E10/E$2*mod.RK1!K$2</f>
        <v>2.1073000000000001E+21</v>
      </c>
      <c r="N10" s="127">
        <f>F10/F$2*mod.RK1!M$2</f>
        <v>7.7729824815336561E+20</v>
      </c>
      <c r="O10" s="127">
        <f>G10/G$2*mod.RK1!O$2</f>
        <v>1.3049462836167395E+20</v>
      </c>
      <c r="P10" s="127">
        <f>H10/H$2*mod.RK1!Q$2</f>
        <v>5.5917719695156363E+19</v>
      </c>
      <c r="Q10" s="127">
        <f>I10/I$2*mod.RK1!S$2</f>
        <v>3.2782927802748453E+19</v>
      </c>
      <c r="R10" s="127">
        <f>J10/J$2*mod.RK1!Y$2</f>
        <v>1.5978615085267444E+22</v>
      </c>
      <c r="S10" s="127">
        <f>K10/K$2*mod.RK1!W$2</f>
        <v>6.1252946670717583E+19</v>
      </c>
    </row>
    <row r="11" spans="1:19">
      <c r="B11" s="126">
        <v>657</v>
      </c>
      <c r="C11" s="126">
        <f t="shared" si="0"/>
        <v>1.8</v>
      </c>
      <c r="D11" s="129">
        <v>1.3514E-5</v>
      </c>
      <c r="E11" s="129">
        <v>2.0980999999999999E-3</v>
      </c>
      <c r="F11" s="129">
        <v>7.8317999999999997E-4</v>
      </c>
      <c r="G11" s="129">
        <v>1.2877E-4</v>
      </c>
      <c r="H11" s="129">
        <v>5.6573000000000002E-5</v>
      </c>
      <c r="I11" s="129">
        <v>3.2790999999999998E-5</v>
      </c>
      <c r="J11" s="129">
        <v>1.5890000000000001E-2</v>
      </c>
      <c r="K11" s="129">
        <v>5.8457E-5</v>
      </c>
      <c r="L11" s="127">
        <f>D11/D$2*mod.RK1!I$2</f>
        <v>1.3557194770044008E+19</v>
      </c>
      <c r="M11" s="127">
        <f>E11/E$2*mod.RK1!K$2</f>
        <v>2.0981000000000001E+21</v>
      </c>
      <c r="N11" s="127">
        <f>F11/F$2*mod.RK1!M$2</f>
        <v>7.8329916105503592E+20</v>
      </c>
      <c r="O11" s="127">
        <f>G11/G$2*mod.RK1!O$2</f>
        <v>1.2887332843111247E+20</v>
      </c>
      <c r="P11" s="127">
        <f>H11/H$2*mod.RK1!Q$2</f>
        <v>5.6410298976695026E+19</v>
      </c>
      <c r="Q11" s="127">
        <f>I11/I$2*mod.RK1!S$2</f>
        <v>3.2697173877784605E+19</v>
      </c>
      <c r="R11" s="127">
        <f>J11/J$2*mod.RK1!Y$2</f>
        <v>1.5876700456784625E+22</v>
      </c>
      <c r="S11" s="127">
        <f>K11/K$2*mod.RK1!W$2</f>
        <v>5.8409270403245154E+19</v>
      </c>
    </row>
    <row r="12" spans="1:19">
      <c r="B12" s="126">
        <v>730</v>
      </c>
      <c r="C12" s="126">
        <f t="shared" si="0"/>
        <v>2</v>
      </c>
      <c r="D12" s="129">
        <v>1.3916E-5</v>
      </c>
      <c r="E12" s="129">
        <v>2.0887000000000002E-3</v>
      </c>
      <c r="F12" s="129">
        <v>7.8901999999999998E-4</v>
      </c>
      <c r="G12" s="129">
        <v>1.2731E-4</v>
      </c>
      <c r="H12" s="129">
        <v>5.7046999999999998E-5</v>
      </c>
      <c r="I12" s="129">
        <v>3.2688999999999998E-5</v>
      </c>
      <c r="J12" s="129">
        <v>1.5788E-2</v>
      </c>
      <c r="K12" s="129">
        <v>5.5730999999999999E-5</v>
      </c>
      <c r="L12" s="127">
        <f>D12/D$2*mod.RK1!I$2</f>
        <v>1.3960479681806457E+19</v>
      </c>
      <c r="M12" s="127">
        <f>E12/E$2*mod.RK1!K$2</f>
        <v>2.0887000000000004E+21</v>
      </c>
      <c r="N12" s="127">
        <f>F12/F$2*mod.RK1!M$2</f>
        <v>7.8914004961266185E+20</v>
      </c>
      <c r="O12" s="127">
        <f>G12/G$2*mod.RK1!O$2</f>
        <v>1.2741215688875457E+20</v>
      </c>
      <c r="P12" s="127">
        <f>H12/H$2*mod.RK1!Q$2</f>
        <v>5.6882935777199751E+19</v>
      </c>
      <c r="Q12" s="127">
        <f>I12/I$2*mod.RK1!S$2</f>
        <v>3.2595465734222836E+19</v>
      </c>
      <c r="R12" s="127">
        <f>J12/J$2*mod.RK1!Y$2</f>
        <v>1.5774785828301803E+22</v>
      </c>
      <c r="S12" s="127">
        <f>K12/K$2*mod.RK1!W$2</f>
        <v>5.5685496156888916E+19</v>
      </c>
    </row>
    <row r="13" spans="1:19">
      <c r="B13" s="126">
        <v>803</v>
      </c>
      <c r="C13" s="126">
        <f t="shared" si="0"/>
        <v>2.2000000000000002</v>
      </c>
      <c r="D13" s="129">
        <v>1.4326E-5</v>
      </c>
      <c r="E13" s="129">
        <v>2.0791E-3</v>
      </c>
      <c r="F13" s="129">
        <v>7.9469000000000002E-4</v>
      </c>
      <c r="G13" s="129">
        <v>1.2599E-4</v>
      </c>
      <c r="H13" s="129">
        <v>5.7503000000000002E-5</v>
      </c>
      <c r="I13" s="129">
        <v>3.2571999999999999E-5</v>
      </c>
      <c r="J13" s="129">
        <v>1.5685999999999999E-2</v>
      </c>
      <c r="K13" s="129">
        <v>5.3121999999999997E-5</v>
      </c>
      <c r="L13" s="127">
        <f>D13/D$2*mod.RK1!I$2</f>
        <v>1.4371790163952232E+19</v>
      </c>
      <c r="M13" s="127">
        <f>E13/E$2*mod.RK1!K$2</f>
        <v>2.0790999999999999E+21</v>
      </c>
      <c r="N13" s="127">
        <f>F13/F$2*mod.RK1!M$2</f>
        <v>7.9481091230474043E+20</v>
      </c>
      <c r="O13" s="127">
        <f>G13/G$2*mod.RK1!O$2</f>
        <v>1.2609109768607487E+20</v>
      </c>
      <c r="P13" s="127">
        <f>H13/H$2*mod.RK1!Q$2</f>
        <v>5.7337624344773911E+19</v>
      </c>
      <c r="Q13" s="127">
        <f>I13/I$2*mod.RK1!S$2</f>
        <v>3.2478800510725509E+19</v>
      </c>
      <c r="R13" s="127">
        <f>J13/J$2*mod.RK1!Y$2</f>
        <v>1.5672871199818979E+22</v>
      </c>
      <c r="S13" s="127">
        <f>K13/K$2*mod.RK1!W$2</f>
        <v>5.3078626381120979E+19</v>
      </c>
    </row>
    <row r="14" spans="1:19">
      <c r="B14" s="126">
        <v>876</v>
      </c>
      <c r="C14" s="126">
        <f t="shared" si="0"/>
        <v>2.4</v>
      </c>
      <c r="D14" s="129">
        <v>1.4741E-5</v>
      </c>
      <c r="E14" s="129">
        <v>2.0693999999999999E-3</v>
      </c>
      <c r="F14" s="129">
        <v>8.0018999999999999E-4</v>
      </c>
      <c r="G14" s="129">
        <v>1.2480999999999999E-4</v>
      </c>
      <c r="H14" s="129">
        <v>5.7942000000000002E-5</v>
      </c>
      <c r="I14" s="129">
        <v>3.2441000000000003E-5</v>
      </c>
      <c r="J14" s="129">
        <v>1.5585E-2</v>
      </c>
      <c r="K14" s="129">
        <v>5.0624000000000002E-5</v>
      </c>
      <c r="L14" s="127">
        <f>D14/D$2*mod.RK1!I$2</f>
        <v>1.4788116627587594E+19</v>
      </c>
      <c r="M14" s="127">
        <f>E14/E$2*mod.RK1!K$2</f>
        <v>2.0694E+21</v>
      </c>
      <c r="N14" s="127">
        <f>F14/F$2*mod.RK1!M$2</f>
        <v>8.0031174913127154E+20</v>
      </c>
      <c r="O14" s="127">
        <f>G14/G$2*mod.RK1!O$2</f>
        <v>1.2491015082307328E+20</v>
      </c>
      <c r="P14" s="127">
        <f>H14/H$2*mod.RK1!Q$2</f>
        <v>5.777536180346921E+19</v>
      </c>
      <c r="Q14" s="127">
        <f>I14/I$2*mod.RK1!S$2</f>
        <v>3.2348175345955004E+19</v>
      </c>
      <c r="R14" s="127">
        <f>J14/J$2*mod.RK1!Y$2</f>
        <v>1.5571955734360502E+22</v>
      </c>
      <c r="S14" s="127">
        <f>K14/K$2*mod.RK1!W$2</f>
        <v>5.0582665974885515E+19</v>
      </c>
    </row>
    <row r="15" spans="1:19">
      <c r="B15" s="126">
        <v>949</v>
      </c>
      <c r="C15" s="126">
        <f t="shared" si="0"/>
        <v>2.6</v>
      </c>
      <c r="D15" s="129">
        <v>1.5157000000000001E-5</v>
      </c>
      <c r="E15" s="129">
        <v>2.0595000000000001E-3</v>
      </c>
      <c r="F15" s="129">
        <v>8.0553000000000005E-4</v>
      </c>
      <c r="G15" s="129">
        <v>1.2376999999999999E-4</v>
      </c>
      <c r="H15" s="129">
        <v>5.8365000000000001E-5</v>
      </c>
      <c r="I15" s="129">
        <v>3.2299999999999999E-5</v>
      </c>
      <c r="J15" s="129">
        <v>1.5483E-2</v>
      </c>
      <c r="K15" s="129">
        <v>4.8233999999999999E-5</v>
      </c>
      <c r="L15" s="127">
        <f>D15/D$2*mod.RK1!I$2</f>
        <v>1.5205446287520872E+19</v>
      </c>
      <c r="M15" s="127">
        <f>E15/E$2*mod.RK1!K$2</f>
        <v>2.0595000000000001E+21</v>
      </c>
      <c r="N15" s="127">
        <f>F15/F$2*mod.RK1!M$2</f>
        <v>8.0565256161375814E+20</v>
      </c>
      <c r="O15" s="127">
        <f>G15/G$2*mod.RK1!O$2</f>
        <v>1.2386931629974985E+20</v>
      </c>
      <c r="P15" s="127">
        <f>H15/H$2*mod.RK1!Q$2</f>
        <v>5.8197145277337346E+19</v>
      </c>
      <c r="Q15" s="127">
        <f>I15/I$2*mod.RK1!S$2</f>
        <v>3.2207578794560786E+19</v>
      </c>
      <c r="R15" s="127">
        <f>J15/J$2*mod.RK1!Y$2</f>
        <v>1.547004110587768E+22</v>
      </c>
      <c r="S15" s="127">
        <f>K15/K$2*mod.RK1!W$2</f>
        <v>4.8194617387654627E+19</v>
      </c>
    </row>
    <row r="16" spans="1:19">
      <c r="B16" s="126">
        <v>1022</v>
      </c>
      <c r="C16" s="126">
        <f t="shared" si="0"/>
        <v>2.8</v>
      </c>
      <c r="D16" s="129">
        <v>1.5571999999999999E-5</v>
      </c>
      <c r="E16" s="129">
        <v>2.0495000000000001E-3</v>
      </c>
      <c r="F16" s="129">
        <v>8.1070999999999997E-4</v>
      </c>
      <c r="G16" s="129">
        <v>1.2284000000000001E-4</v>
      </c>
      <c r="H16" s="129">
        <v>5.8773999999999997E-5</v>
      </c>
      <c r="I16" s="129">
        <v>3.2149E-5</v>
      </c>
      <c r="J16" s="129">
        <v>1.5382E-2</v>
      </c>
      <c r="K16" s="129">
        <v>4.5946999999999999E-5</v>
      </c>
      <c r="L16" s="127">
        <f>D16/D$2*mod.RK1!I$2</f>
        <v>1.5621772751156232E+19</v>
      </c>
      <c r="M16" s="127">
        <f>E16/E$2*mod.RK1!K$2</f>
        <v>2.0495000000000001E+21</v>
      </c>
      <c r="N16" s="127">
        <f>F16/F$2*mod.RK1!M$2</f>
        <v>8.1083334975220023E+20</v>
      </c>
      <c r="O16" s="127">
        <f>G16/G$2*mod.RK1!O$2</f>
        <v>1.2293857004331642E+20</v>
      </c>
      <c r="P16" s="127">
        <f>H16/H$2*mod.RK1!Q$2</f>
        <v>5.8604969014481699E+19</v>
      </c>
      <c r="Q16" s="127">
        <f>I16/I$2*mod.RK1!S$2</f>
        <v>3.2057010856542876E+19</v>
      </c>
      <c r="R16" s="127">
        <f>J16/J$2*mod.RK1!Y$2</f>
        <v>1.5369125640419198E+22</v>
      </c>
      <c r="S16" s="127">
        <f>K16/K$2*mod.RK1!W$2</f>
        <v>4.5909484701881811E+19</v>
      </c>
    </row>
    <row r="17" spans="2:19">
      <c r="B17" s="126">
        <v>1095</v>
      </c>
      <c r="C17" s="126">
        <f t="shared" si="0"/>
        <v>3</v>
      </c>
      <c r="D17" s="129">
        <v>1.5985E-5</v>
      </c>
      <c r="E17" s="129">
        <v>2.0393999999999998E-3</v>
      </c>
      <c r="F17" s="129">
        <v>8.1572000000000003E-4</v>
      </c>
      <c r="G17" s="129">
        <v>1.2202E-4</v>
      </c>
      <c r="H17" s="129">
        <v>5.9169000000000002E-5</v>
      </c>
      <c r="I17" s="129">
        <v>3.1989000000000002E-5</v>
      </c>
      <c r="J17" s="129">
        <v>1.5282E-2</v>
      </c>
      <c r="K17" s="129">
        <v>4.3760000000000001E-5</v>
      </c>
      <c r="L17" s="127">
        <f>D17/D$2*mod.RK1!I$2</f>
        <v>1.6036092822195759E+19</v>
      </c>
      <c r="M17" s="127">
        <f>E17/E$2*mod.RK1!K$2</f>
        <v>2.0394E+21</v>
      </c>
      <c r="N17" s="127">
        <f>F17/F$2*mod.RK1!M$2</f>
        <v>8.1584411202509511E+20</v>
      </c>
      <c r="O17" s="127">
        <f>G17/G$2*mod.RK1!O$2</f>
        <v>1.2211791205377294E+20</v>
      </c>
      <c r="P17" s="127">
        <f>H17/H$2*mod.RK1!Q$2</f>
        <v>5.8998833014902301E+19</v>
      </c>
      <c r="Q17" s="127">
        <f>I17/I$2*mod.RK1!S$2</f>
        <v>3.1897468670563627E+19</v>
      </c>
      <c r="R17" s="127">
        <f>J17/J$2*mod.RK1!Y$2</f>
        <v>1.5269209337985061E+22</v>
      </c>
      <c r="S17" s="127">
        <f>K17/K$2*mod.RK1!W$2</f>
        <v>4.3724270367039152E+19</v>
      </c>
    </row>
    <row r="18" spans="2:19">
      <c r="B18" s="126">
        <v>1168</v>
      </c>
      <c r="C18" s="126">
        <f t="shared" si="0"/>
        <v>3.2</v>
      </c>
      <c r="D18" s="129">
        <v>1.6395000000000001E-5</v>
      </c>
      <c r="E18" s="129">
        <v>2.0290999999999998E-3</v>
      </c>
      <c r="F18" s="129">
        <v>8.2056999999999996E-4</v>
      </c>
      <c r="G18" s="129">
        <v>1.2129999999999999E-4</v>
      </c>
      <c r="H18" s="129">
        <v>5.9552000000000002E-5</v>
      </c>
      <c r="I18" s="129">
        <v>3.1822999999999997E-5</v>
      </c>
      <c r="J18" s="129">
        <v>1.5181E-2</v>
      </c>
      <c r="K18" s="129">
        <v>4.1668999999999997E-5</v>
      </c>
      <c r="L18" s="127">
        <f>D18/D$2*mod.RK1!I$2</f>
        <v>1.6447403304341539E+19</v>
      </c>
      <c r="M18" s="127">
        <f>E18/E$2*mod.RK1!K$2</f>
        <v>2.0290999999999999E+21</v>
      </c>
      <c r="N18" s="127">
        <f>F18/F$2*mod.RK1!M$2</f>
        <v>8.2069484995394522E+20</v>
      </c>
      <c r="O18" s="127">
        <f>G18/G$2*mod.RK1!O$2</f>
        <v>1.2139733430685673E+20</v>
      </c>
      <c r="P18" s="127">
        <f>H18/H$2*mod.RK1!Q$2</f>
        <v>5.9380731526702531E+19</v>
      </c>
      <c r="Q18" s="127">
        <f>I18/I$2*mod.RK1!S$2</f>
        <v>3.173194365261015E+19</v>
      </c>
      <c r="R18" s="127">
        <f>J18/J$2*mod.RK1!Y$2</f>
        <v>1.5168293872526581E+22</v>
      </c>
      <c r="S18" s="127">
        <f>K18/K$2*mod.RK1!W$2</f>
        <v>4.1634977649089454E+19</v>
      </c>
    </row>
    <row r="19" spans="2:19">
      <c r="B19" s="126">
        <v>1241</v>
      </c>
      <c r="C19" s="126">
        <f t="shared" si="0"/>
        <v>3.4</v>
      </c>
      <c r="D19" s="129">
        <v>1.6799999999999998E-5</v>
      </c>
      <c r="E19" s="129">
        <v>2.0187999999999998E-3</v>
      </c>
      <c r="F19" s="129">
        <v>8.2525999999999997E-4</v>
      </c>
      <c r="G19" s="129">
        <v>1.2068E-4</v>
      </c>
      <c r="H19" s="129">
        <v>5.9923999999999998E-5</v>
      </c>
      <c r="I19" s="129">
        <v>3.1652000000000001E-5</v>
      </c>
      <c r="J19" s="129">
        <v>1.508E-2</v>
      </c>
      <c r="K19" s="129">
        <v>3.9669000000000003E-5</v>
      </c>
      <c r="L19" s="127">
        <f>D19/D$2*mod.RK1!I$2</f>
        <v>1.6853697804997732E+19</v>
      </c>
      <c r="M19" s="127">
        <f>E19/E$2*mod.RK1!K$2</f>
        <v>2.0188E+21</v>
      </c>
      <c r="N19" s="127">
        <f>F19/F$2*mod.RK1!M$2</f>
        <v>8.2538556353875083E+20</v>
      </c>
      <c r="O19" s="127">
        <f>G19/G$2*mod.RK1!O$2</f>
        <v>1.2077683680256777E+20</v>
      </c>
      <c r="P19" s="127">
        <f>H19/H$2*mod.RK1!Q$2</f>
        <v>5.9751661673934078E+19</v>
      </c>
      <c r="Q19" s="127">
        <f>I19/I$2*mod.RK1!S$2</f>
        <v>3.1561432941344834E+19</v>
      </c>
      <c r="R19" s="127">
        <f>J19/J$2*mod.RK1!Y$2</f>
        <v>1.50673784070681E+22</v>
      </c>
      <c r="S19" s="127">
        <f>K19/K$2*mod.RK1!W$2</f>
        <v>3.9636610630486204E+19</v>
      </c>
    </row>
    <row r="20" spans="2:19">
      <c r="B20" s="126">
        <v>1314</v>
      </c>
      <c r="C20" s="126">
        <f t="shared" si="0"/>
        <v>3.6</v>
      </c>
      <c r="D20" s="129">
        <v>1.7198999999999999E-5</v>
      </c>
      <c r="E20" s="129">
        <v>2.0083000000000002E-3</v>
      </c>
      <c r="F20" s="129">
        <v>8.2978000000000001E-4</v>
      </c>
      <c r="G20" s="129">
        <v>1.2015000000000001E-4</v>
      </c>
      <c r="H20" s="129">
        <v>6.0285000000000003E-5</v>
      </c>
      <c r="I20" s="129">
        <v>3.1476000000000002E-5</v>
      </c>
      <c r="J20" s="129">
        <v>1.498E-2</v>
      </c>
      <c r="K20" s="129">
        <v>3.7756999999999998E-5</v>
      </c>
      <c r="L20" s="127">
        <f>D20/D$2*mod.RK1!I$2</f>
        <v>1.7253973127866427E+19</v>
      </c>
      <c r="M20" s="127">
        <f>E20/E$2*mod.RK1!K$2</f>
        <v>2.0083000000000004E+21</v>
      </c>
      <c r="N20" s="127">
        <f>F20/F$2*mod.RK1!M$2</f>
        <v>8.2990625125800949E+20</v>
      </c>
      <c r="O20" s="127">
        <f>G20/G$2*mod.RK1!O$2</f>
        <v>1.2024641151664334E+20</v>
      </c>
      <c r="P20" s="127">
        <f>H20/H$2*mod.RK1!Q$2</f>
        <v>6.0111623456596967E+19</v>
      </c>
      <c r="Q20" s="127">
        <f>I20/I$2*mod.RK1!S$2</f>
        <v>3.1385936536767664E+19</v>
      </c>
      <c r="R20" s="127">
        <f>J20/J$2*mod.RK1!Y$2</f>
        <v>1.4967462104633962E+22</v>
      </c>
      <c r="S20" s="127">
        <f>K20/K$2*mod.RK1!W$2</f>
        <v>3.7726171760701489E+19</v>
      </c>
    </row>
    <row r="21" spans="2:19">
      <c r="B21" s="126">
        <v>1387</v>
      </c>
      <c r="C21" s="126">
        <f t="shared" si="0"/>
        <v>3.8</v>
      </c>
      <c r="D21" s="129">
        <v>1.7592E-5</v>
      </c>
      <c r="E21" s="129">
        <v>1.9976999999999998E-3</v>
      </c>
      <c r="F21" s="129">
        <v>8.3414000000000003E-4</v>
      </c>
      <c r="G21" s="129">
        <v>1.1969E-4</v>
      </c>
      <c r="H21" s="129">
        <v>6.0637000000000002E-5</v>
      </c>
      <c r="I21" s="129">
        <v>3.1297000000000002E-5</v>
      </c>
      <c r="J21" s="129">
        <v>1.4880000000000001E-2</v>
      </c>
      <c r="K21" s="129">
        <v>3.5930999999999999E-5</v>
      </c>
      <c r="L21" s="127">
        <f>D21/D$2*mod.RK1!I$2</f>
        <v>1.7648229272947626E+19</v>
      </c>
      <c r="M21" s="127">
        <f>E21/E$2*mod.RK1!K$2</f>
        <v>1.9976999999999999E+21</v>
      </c>
      <c r="N21" s="127">
        <f>F21/F$2*mod.RK1!M$2</f>
        <v>8.3426691463322324E+20</v>
      </c>
      <c r="O21" s="127">
        <f>G21/G$2*mod.RK1!O$2</f>
        <v>1.1978604240055797E+20</v>
      </c>
      <c r="P21" s="127">
        <f>H21/H$2*mod.RK1!Q$2</f>
        <v>6.0462611122794562E+19</v>
      </c>
      <c r="Q21" s="127">
        <f>I21/I$2*mod.RK1!S$2</f>
        <v>3.1207448716203377E+19</v>
      </c>
      <c r="R21" s="127">
        <f>J21/J$2*mod.RK1!Y$2</f>
        <v>1.4867545802199823E+22</v>
      </c>
      <c r="S21" s="127">
        <f>K21/K$2*mod.RK1!W$2</f>
        <v>3.5901662672716722E+19</v>
      </c>
    </row>
    <row r="22" spans="2:19">
      <c r="B22" s="126">
        <v>1460</v>
      </c>
      <c r="C22" s="126">
        <f t="shared" si="0"/>
        <v>4</v>
      </c>
      <c r="D22" s="129">
        <v>1.7978999999999998E-5</v>
      </c>
      <c r="E22" s="129">
        <v>1.9870000000000001E-3</v>
      </c>
      <c r="F22" s="129">
        <v>8.3832999999999998E-4</v>
      </c>
      <c r="G22" s="129">
        <v>1.1932E-4</v>
      </c>
      <c r="H22" s="129">
        <v>6.0979E-5</v>
      </c>
      <c r="I22" s="129">
        <v>3.1115999999999998E-5</v>
      </c>
      <c r="J22" s="129">
        <v>1.478E-2</v>
      </c>
      <c r="K22" s="129">
        <v>3.4184999999999999E-5</v>
      </c>
      <c r="L22" s="127">
        <f>D22/D$2*mod.RK1!I$2</f>
        <v>1.8036466240241322E+19</v>
      </c>
      <c r="M22" s="127">
        <f>E22/E$2*mod.RK1!K$2</f>
        <v>1.987E+21</v>
      </c>
      <c r="N22" s="127">
        <f>F22/F$2*mod.RK1!M$2</f>
        <v>8.3845755214288965E+20</v>
      </c>
      <c r="O22" s="127">
        <f>G22/G$2*mod.RK1!O$2</f>
        <v>1.1941574550283713E+20</v>
      </c>
      <c r="P22" s="127">
        <f>H22/H$2*mod.RK1!Q$2</f>
        <v>6.0803627548475171E+19</v>
      </c>
      <c r="Q22" s="127">
        <f>I22/I$2*mod.RK1!S$2</f>
        <v>3.1026966618314351E+19</v>
      </c>
      <c r="R22" s="127">
        <f>J22/J$2*mod.RK1!Y$2</f>
        <v>1.4767629499765686E+22</v>
      </c>
      <c r="S22" s="127">
        <f>K22/K$2*mod.RK1!W$2</f>
        <v>3.4157088265476084E+19</v>
      </c>
    </row>
    <row r="23" spans="2:19">
      <c r="B23" s="126">
        <v>1533</v>
      </c>
      <c r="C23" s="126">
        <f t="shared" si="0"/>
        <v>4.2</v>
      </c>
      <c r="D23" s="129">
        <v>1.8357999999999999E-5</v>
      </c>
      <c r="E23" s="129">
        <v>1.9762E-3</v>
      </c>
      <c r="F23" s="129">
        <v>8.4236999999999995E-4</v>
      </c>
      <c r="G23" s="129">
        <v>1.1901E-4</v>
      </c>
      <c r="H23" s="129">
        <v>6.1314000000000003E-5</v>
      </c>
      <c r="I23" s="129">
        <v>3.0932999999999997E-5</v>
      </c>
      <c r="J23" s="129">
        <v>1.4681E-2</v>
      </c>
      <c r="K23" s="129">
        <v>3.2518000000000003E-5</v>
      </c>
      <c r="L23" s="127">
        <f>D23/D$2*mod.RK1!I$2</f>
        <v>1.8416677637151689E+19</v>
      </c>
      <c r="M23" s="127">
        <f>E23/E$2*mod.RK1!K$2</f>
        <v>1.9762E+21</v>
      </c>
      <c r="N23" s="127">
        <f>F23/F$2*mod.RK1!M$2</f>
        <v>8.424981668300144E+20</v>
      </c>
      <c r="O23" s="127">
        <f>G23/G$2*mod.RK1!O$2</f>
        <v>1.1910549675069266E+20</v>
      </c>
      <c r="P23" s="127">
        <f>H23/H$2*mod.RK1!Q$2</f>
        <v>6.1137664105793913E+19</v>
      </c>
      <c r="Q23" s="127">
        <f>I23/I$2*mod.RK1!S$2</f>
        <v>3.0844490243100582E+19</v>
      </c>
      <c r="R23" s="127">
        <f>J23/J$2*mod.RK1!Y$2</f>
        <v>1.4668712360355889E+22</v>
      </c>
      <c r="S23" s="127">
        <f>K23/K$2*mod.RK1!W$2</f>
        <v>3.2491449355470275E+19</v>
      </c>
    </row>
    <row r="24" spans="2:19">
      <c r="B24" s="126">
        <v>1606</v>
      </c>
      <c r="C24" s="126">
        <f t="shared" si="0"/>
        <v>4.4000000000000004</v>
      </c>
      <c r="D24" s="129">
        <v>1.8729999999999999E-5</v>
      </c>
      <c r="E24" s="129">
        <v>1.9653000000000001E-3</v>
      </c>
      <c r="F24" s="129">
        <v>8.4623999999999995E-4</v>
      </c>
      <c r="G24" s="129">
        <v>1.1875999999999999E-4</v>
      </c>
      <c r="H24" s="129">
        <v>6.1641000000000002E-5</v>
      </c>
      <c r="I24" s="129">
        <v>3.0749E-5</v>
      </c>
      <c r="J24" s="129">
        <v>1.4581E-2</v>
      </c>
      <c r="K24" s="129">
        <v>3.0926000000000002E-5</v>
      </c>
      <c r="L24" s="127">
        <f>D24/D$2*mod.RK1!I$2</f>
        <v>1.8789866659976638E+19</v>
      </c>
      <c r="M24" s="127">
        <f>E24/E$2*mod.RK1!K$2</f>
        <v>1.9653000000000001E+21</v>
      </c>
      <c r="N24" s="127">
        <f>F24/F$2*mod.RK1!M$2</f>
        <v>8.463687556515918E+20</v>
      </c>
      <c r="O24" s="127">
        <f>G24/G$2*mod.RK1!O$2</f>
        <v>1.1885529614412451E+20</v>
      </c>
      <c r="P24" s="127">
        <f>H24/H$2*mod.RK1!Q$2</f>
        <v>6.1463723670699065E+19</v>
      </c>
      <c r="Q24" s="127">
        <f>I24/I$2*mod.RK1!S$2</f>
        <v>3.066101672922445E+19</v>
      </c>
      <c r="R24" s="127">
        <f>J24/J$2*mod.RK1!Y$2</f>
        <v>1.4568796057921749E+22</v>
      </c>
      <c r="S24" s="127">
        <f>K24/K$2*mod.RK1!W$2</f>
        <v>3.0900749208662086E+19</v>
      </c>
    </row>
    <row r="25" spans="2:19">
      <c r="B25" s="126">
        <v>1679</v>
      </c>
      <c r="C25" s="126">
        <f t="shared" si="0"/>
        <v>4.5999999999999996</v>
      </c>
      <c r="D25" s="129">
        <v>1.9094E-5</v>
      </c>
      <c r="E25" s="129">
        <v>1.9543E-3</v>
      </c>
      <c r="F25" s="129">
        <v>8.4995000000000003E-4</v>
      </c>
      <c r="G25" s="129">
        <v>1.1857E-4</v>
      </c>
      <c r="H25" s="129">
        <v>6.1960999999999998E-5</v>
      </c>
      <c r="I25" s="129">
        <v>3.0565000000000003E-5</v>
      </c>
      <c r="J25" s="129">
        <v>1.4482E-2</v>
      </c>
      <c r="K25" s="129">
        <v>2.9405999999999999E-5</v>
      </c>
      <c r="L25" s="127">
        <f>D25/D$2*mod.RK1!I$2</f>
        <v>1.9155030112418255E+19</v>
      </c>
      <c r="M25" s="127">
        <f>E25/E$2*mod.RK1!K$2</f>
        <v>1.9542999999999999E+21</v>
      </c>
      <c r="N25" s="127">
        <f>F25/F$2*mod.RK1!M$2</f>
        <v>8.500793201291247E+20</v>
      </c>
      <c r="O25" s="127">
        <f>G25/G$2*mod.RK1!O$2</f>
        <v>1.1866514368313275E+20</v>
      </c>
      <c r="P25" s="127">
        <f>H25/H$2*mod.RK1!Q$2</f>
        <v>6.1782803367242342E+19</v>
      </c>
      <c r="Q25" s="127">
        <f>I25/I$2*mod.RK1!S$2</f>
        <v>3.0477543215348318E+19</v>
      </c>
      <c r="R25" s="127">
        <f>J25/J$2*mod.RK1!Y$2</f>
        <v>1.4469878918511952E+22</v>
      </c>
      <c r="S25" s="127">
        <f>K25/K$2*mod.RK1!W$2</f>
        <v>2.9381990274523611E+19</v>
      </c>
    </row>
    <row r="26" spans="2:19">
      <c r="B26" s="126">
        <v>1752</v>
      </c>
      <c r="C26" s="126">
        <f t="shared" si="0"/>
        <v>4.8</v>
      </c>
      <c r="D26" s="129">
        <v>1.9449999999999998E-5</v>
      </c>
      <c r="E26" s="129">
        <v>1.9432E-3</v>
      </c>
      <c r="F26" s="129">
        <v>8.5349999999999998E-4</v>
      </c>
      <c r="G26" s="129">
        <v>1.1843E-4</v>
      </c>
      <c r="H26" s="129">
        <v>6.2274999999999996E-5</v>
      </c>
      <c r="I26" s="129">
        <v>3.0380999999999999E-5</v>
      </c>
      <c r="J26" s="129">
        <v>1.4383E-2</v>
      </c>
      <c r="K26" s="129">
        <v>2.7954999999999999E-5</v>
      </c>
      <c r="L26" s="127">
        <f>D26/D$2*mod.RK1!I$2</f>
        <v>1.951216799447654E+19</v>
      </c>
      <c r="M26" s="127">
        <f>E26/E$2*mod.RK1!K$2</f>
        <v>1.9432E+21</v>
      </c>
      <c r="N26" s="127">
        <f>F26/F$2*mod.RK1!M$2</f>
        <v>8.5362986026261296E+20</v>
      </c>
      <c r="O26" s="127">
        <f>G26/G$2*mod.RK1!O$2</f>
        <v>1.185250313434546E+20</v>
      </c>
      <c r="P26" s="127">
        <f>H26/H$2*mod.RK1!Q$2</f>
        <v>6.2095900319475417E+19</v>
      </c>
      <c r="Q26" s="127">
        <f>I26/I$2*mod.RK1!S$2</f>
        <v>3.0294069701472178E+19</v>
      </c>
      <c r="R26" s="127">
        <f>J26/J$2*mod.RK1!Y$2</f>
        <v>1.4370961779102155E+22</v>
      </c>
      <c r="S26" s="127">
        <f>K26/K$2*mod.RK1!W$2</f>
        <v>2.7932175002526953E+19</v>
      </c>
    </row>
    <row r="27" spans="2:19">
      <c r="B27" s="126">
        <v>1825</v>
      </c>
      <c r="C27" s="126">
        <f t="shared" si="0"/>
        <v>5</v>
      </c>
      <c r="D27" s="129">
        <v>1.9797999999999999E-5</v>
      </c>
      <c r="E27" s="129">
        <v>1.9321E-3</v>
      </c>
      <c r="F27" s="129">
        <v>8.5689000000000002E-4</v>
      </c>
      <c r="G27" s="129">
        <v>1.1834E-4</v>
      </c>
      <c r="H27" s="129">
        <v>6.2582999999999994E-5</v>
      </c>
      <c r="I27" s="129">
        <v>3.0198000000000001E-5</v>
      </c>
      <c r="J27" s="129">
        <v>1.4284E-2</v>
      </c>
      <c r="K27" s="129">
        <v>2.6570000000000001E-5</v>
      </c>
      <c r="L27" s="127">
        <f>D27/D$2*mod.RK1!I$2</f>
        <v>1.9861280306151494E+19</v>
      </c>
      <c r="M27" s="127">
        <f>E27/E$2*mod.RK1!K$2</f>
        <v>1.9320999999999999E+21</v>
      </c>
      <c r="N27" s="127">
        <f>F27/F$2*mod.RK1!M$2</f>
        <v>8.5702037605205672E+20</v>
      </c>
      <c r="O27" s="127">
        <f>G27/G$2*mod.RK1!O$2</f>
        <v>1.1843495912509007E+20</v>
      </c>
      <c r="P27" s="127">
        <f>H27/H$2*mod.RK1!Q$2</f>
        <v>6.2403014527398314E+19</v>
      </c>
      <c r="Q27" s="127">
        <f>I27/I$2*mod.RK1!S$2</f>
        <v>3.0111593326258414E+19</v>
      </c>
      <c r="R27" s="127">
        <f>J27/J$2*mod.RK1!Y$2</f>
        <v>1.4272044639692358E+22</v>
      </c>
      <c r="S27" s="127">
        <f>K27/K$2*mod.RK1!W$2</f>
        <v>2.6548305842144203E+19</v>
      </c>
    </row>
    <row r="28" spans="2:19">
      <c r="B28" s="126">
        <v>1898</v>
      </c>
      <c r="C28" s="126">
        <f t="shared" si="0"/>
        <v>5.2</v>
      </c>
      <c r="D28" s="129">
        <v>2.0137E-5</v>
      </c>
      <c r="E28" s="129">
        <v>1.9208999999999999E-3</v>
      </c>
      <c r="F28" s="129">
        <v>8.6012000000000003E-4</v>
      </c>
      <c r="G28" s="129">
        <v>1.183E-4</v>
      </c>
      <c r="H28" s="129">
        <v>6.2885999999999994E-5</v>
      </c>
      <c r="I28" s="129">
        <v>3.0015999999999999E-5</v>
      </c>
      <c r="J28" s="129">
        <v>1.4186000000000001E-2</v>
      </c>
      <c r="K28" s="129">
        <v>2.5249000000000002E-5</v>
      </c>
      <c r="L28" s="127">
        <f>D28/D$2*mod.RK1!I$2</f>
        <v>2.02013638511452E+19</v>
      </c>
      <c r="M28" s="127">
        <f>E28/E$2*mod.RK1!K$2</f>
        <v>1.9208999999999999E+21</v>
      </c>
      <c r="N28" s="127">
        <f>F28/F$2*mod.RK1!M$2</f>
        <v>8.6025086749745598E+20</v>
      </c>
      <c r="O28" s="127">
        <f>G28/G$2*mod.RK1!O$2</f>
        <v>1.1839492702803916E+20</v>
      </c>
      <c r="P28" s="127">
        <f>H28/H$2*mod.RK1!Q$2</f>
        <v>6.2705143115062723E+19</v>
      </c>
      <c r="Q28" s="127">
        <f>I28/I$2*mod.RK1!S$2</f>
        <v>2.9930114089707016E+19</v>
      </c>
      <c r="R28" s="127">
        <f>J28/J$2*mod.RK1!Y$2</f>
        <v>1.4174126663306903E+22</v>
      </c>
      <c r="S28" s="127">
        <f>K28/K$2*mod.RK1!W$2</f>
        <v>2.5228384426356761E+19</v>
      </c>
    </row>
    <row r="29" spans="2:19">
      <c r="B29" s="126">
        <v>1971</v>
      </c>
      <c r="C29" s="126">
        <f t="shared" si="0"/>
        <v>5.4</v>
      </c>
      <c r="D29" s="129">
        <v>2.0468000000000001E-5</v>
      </c>
      <c r="E29" s="129">
        <v>1.9096E-3</v>
      </c>
      <c r="F29" s="129">
        <v>8.6319999999999995E-4</v>
      </c>
      <c r="G29" s="129">
        <v>1.1828999999999999E-4</v>
      </c>
      <c r="H29" s="129">
        <v>6.3183999999999997E-5</v>
      </c>
      <c r="I29" s="129">
        <v>2.9835000000000001E-5</v>
      </c>
      <c r="J29" s="129">
        <v>1.4088E-2</v>
      </c>
      <c r="K29" s="129">
        <v>2.3988000000000001E-5</v>
      </c>
      <c r="L29" s="127">
        <f>D29/D$2*mod.RK1!I$2</f>
        <v>2.0533421825755574E+19</v>
      </c>
      <c r="M29" s="127">
        <f>E29/E$2*mod.RK1!K$2</f>
        <v>1.9096000000000003E+21</v>
      </c>
      <c r="N29" s="127">
        <f>F29/F$2*mod.RK1!M$2</f>
        <v>8.6333133612031332E+20</v>
      </c>
      <c r="O29" s="127">
        <f>G29/G$2*mod.RK1!O$2</f>
        <v>1.1838491900377643E+20</v>
      </c>
      <c r="P29" s="127">
        <f>H29/H$2*mod.RK1!Q$2</f>
        <v>6.3002286082468643E+19</v>
      </c>
      <c r="Q29" s="127">
        <f>I29/I$2*mod.RK1!S$2</f>
        <v>2.9749631991817994E+19</v>
      </c>
      <c r="R29" s="127">
        <f>J29/J$2*mod.RK1!Y$2</f>
        <v>1.4076208686921446E+22</v>
      </c>
      <c r="S29" s="127">
        <f>K29/K$2*mod.RK1!W$2</f>
        <v>2.3968414021127406E+19</v>
      </c>
    </row>
    <row r="30" spans="2:19">
      <c r="B30" s="126">
        <v>2044</v>
      </c>
      <c r="C30" s="126">
        <f t="shared" si="0"/>
        <v>5.6</v>
      </c>
      <c r="D30" s="129">
        <v>2.0789999999999999E-5</v>
      </c>
      <c r="E30" s="129">
        <v>1.8982000000000001E-3</v>
      </c>
      <c r="F30" s="129">
        <v>8.6611000000000001E-4</v>
      </c>
      <c r="G30" s="129">
        <v>1.1832000000000001E-4</v>
      </c>
      <c r="H30" s="129">
        <v>6.3478000000000004E-5</v>
      </c>
      <c r="I30" s="129">
        <v>2.9657000000000001E-5</v>
      </c>
      <c r="J30" s="129">
        <v>1.3990000000000001E-2</v>
      </c>
      <c r="K30" s="129">
        <v>2.2785999999999998E-5</v>
      </c>
      <c r="L30" s="127">
        <f>D30/D$2*mod.RK1!I$2</f>
        <v>2.0856451033684693E+19</v>
      </c>
      <c r="M30" s="127">
        <f>E30/E$2*mod.RK1!K$2</f>
        <v>1.8982000000000003E+21</v>
      </c>
      <c r="N30" s="127">
        <f>F30/F$2*mod.RK1!M$2</f>
        <v>8.6624177887762357E+20</v>
      </c>
      <c r="O30" s="127">
        <f>G30/G$2*mod.RK1!O$2</f>
        <v>1.1841494307656462E+20</v>
      </c>
      <c r="P30" s="127">
        <f>H30/H$2*mod.RK1!Q$2</f>
        <v>6.3295440553667772E+19</v>
      </c>
      <c r="Q30" s="127">
        <f>I30/I$2*mod.RK1!S$2</f>
        <v>2.9572141309916082E+19</v>
      </c>
      <c r="R30" s="127">
        <f>J30/J$2*mod.RK1!Y$2</f>
        <v>1.3978290710535991E+22</v>
      </c>
      <c r="S30" s="127">
        <f>K30/K$2*mod.RK1!W$2</f>
        <v>2.2767395442946851E+19</v>
      </c>
    </row>
    <row r="31" spans="2:19">
      <c r="B31" s="126">
        <v>2117</v>
      </c>
      <c r="C31" s="126">
        <f t="shared" si="0"/>
        <v>5.8</v>
      </c>
      <c r="D31" s="129">
        <v>2.1103000000000001E-5</v>
      </c>
      <c r="E31" s="129">
        <v>1.8867999999999999E-3</v>
      </c>
      <c r="F31" s="129">
        <v>8.6886999999999999E-4</v>
      </c>
      <c r="G31" s="129">
        <v>1.1836999999999999E-4</v>
      </c>
      <c r="H31" s="129">
        <v>6.3768000000000003E-5</v>
      </c>
      <c r="I31" s="129">
        <v>2.9479999999999999E-5</v>
      </c>
      <c r="J31" s="129">
        <v>1.3892E-2</v>
      </c>
      <c r="K31" s="129">
        <v>2.1639999999999999E-5</v>
      </c>
      <c r="L31" s="127">
        <f>D31/D$2*mod.RK1!I$2</f>
        <v>2.1170451474932572E+19</v>
      </c>
      <c r="M31" s="127">
        <f>E31/E$2*mod.RK1!K$2</f>
        <v>1.8867999999999997E+21</v>
      </c>
      <c r="N31" s="127">
        <f>F31/F$2*mod.RK1!M$2</f>
        <v>8.690021988123919E+20</v>
      </c>
      <c r="O31" s="127">
        <f>G31/G$2*mod.RK1!O$2</f>
        <v>1.1846498319787824E+20</v>
      </c>
      <c r="P31" s="127">
        <f>H31/H$2*mod.RK1!Q$2</f>
        <v>6.358460652866012E+19</v>
      </c>
      <c r="Q31" s="127">
        <f>I31/I$2*mod.RK1!S$2</f>
        <v>2.9395647766676533E+19</v>
      </c>
      <c r="R31" s="127">
        <f>J31/J$2*mod.RK1!Y$2</f>
        <v>1.3880372734150534E+22</v>
      </c>
      <c r="S31" s="127">
        <f>K31/K$2*mod.RK1!W$2</f>
        <v>2.1622331141287186E+19</v>
      </c>
    </row>
    <row r="32" spans="2:19">
      <c r="B32" s="126">
        <v>2190</v>
      </c>
      <c r="C32" s="126">
        <f t="shared" si="0"/>
        <v>6</v>
      </c>
      <c r="D32" s="129">
        <v>2.1407E-5</v>
      </c>
      <c r="E32" s="129">
        <v>1.8753000000000001E-3</v>
      </c>
      <c r="F32" s="129">
        <v>8.7148E-4</v>
      </c>
      <c r="G32" s="129">
        <v>1.1846E-4</v>
      </c>
      <c r="H32" s="129">
        <v>6.4053999999999994E-5</v>
      </c>
      <c r="I32" s="129">
        <v>2.9306E-5</v>
      </c>
      <c r="J32" s="129">
        <v>1.3794000000000001E-2</v>
      </c>
      <c r="K32" s="129">
        <v>2.0547000000000002E-5</v>
      </c>
      <c r="L32" s="127">
        <f>D32/D$2*mod.RK1!I$2</f>
        <v>2.1475423149499195E+19</v>
      </c>
      <c r="M32" s="127">
        <f>E32/E$2*mod.RK1!K$2</f>
        <v>1.8753000000000001E+21</v>
      </c>
      <c r="N32" s="127">
        <f>F32/F$2*mod.RK1!M$2</f>
        <v>8.7161259592461858E+20</v>
      </c>
      <c r="O32" s="127">
        <f>G32/G$2*mod.RK1!O$2</f>
        <v>1.1855505541624278E+20</v>
      </c>
      <c r="P32" s="127">
        <f>H32/H$2*mod.RK1!Q$2</f>
        <v>6.3869784007445651E+19</v>
      </c>
      <c r="Q32" s="127">
        <f>I32/I$2*mod.RK1!S$2</f>
        <v>2.9222145639424102E+19</v>
      </c>
      <c r="R32" s="127">
        <f>J32/J$2*mod.RK1!Y$2</f>
        <v>1.3782454757765079E+22</v>
      </c>
      <c r="S32" s="127">
        <f>K32/K$2*mod.RK1!W$2</f>
        <v>2.0530223565620511E+19</v>
      </c>
    </row>
    <row r="33" spans="2:19">
      <c r="B33" s="126">
        <v>2263</v>
      </c>
      <c r="C33" s="126">
        <f t="shared" si="0"/>
        <v>6.2</v>
      </c>
      <c r="D33" s="129">
        <v>2.1702E-5</v>
      </c>
      <c r="E33" s="129">
        <v>1.8638000000000001E-3</v>
      </c>
      <c r="F33" s="129">
        <v>8.7392999999999998E-4</v>
      </c>
      <c r="G33" s="129">
        <v>1.1857E-4</v>
      </c>
      <c r="H33" s="129">
        <v>6.4337000000000004E-5</v>
      </c>
      <c r="I33" s="129">
        <v>2.9133999999999999E-5</v>
      </c>
      <c r="J33" s="129">
        <v>1.3697000000000001E-2</v>
      </c>
      <c r="K33" s="129">
        <v>1.9505999999999999E-5</v>
      </c>
      <c r="L33" s="127">
        <f>D33/D$2*mod.RK1!I$2</f>
        <v>2.1771366057384571E+19</v>
      </c>
      <c r="M33" s="127">
        <f>E33/E$2*mod.RK1!K$2</f>
        <v>1.8638000000000003E+21</v>
      </c>
      <c r="N33" s="127">
        <f>F33/F$2*mod.RK1!M$2</f>
        <v>8.7406296869280075E+20</v>
      </c>
      <c r="O33" s="127">
        <f>G33/G$2*mod.RK1!O$2</f>
        <v>1.1866514368313275E+20</v>
      </c>
      <c r="P33" s="127">
        <f>H33/H$2*mod.RK1!Q$2</f>
        <v>6.4151970114076115E+19</v>
      </c>
      <c r="Q33" s="127">
        <f>I33/I$2*mod.RK1!S$2</f>
        <v>2.905063778949641E+19</v>
      </c>
      <c r="R33" s="127">
        <f>J33/J$2*mod.RK1!Y$2</f>
        <v>1.3685535944403965E+22</v>
      </c>
      <c r="S33" s="127">
        <f>K33/K$2*mod.RK1!W$2</f>
        <v>1.9490073532437516E+19</v>
      </c>
    </row>
    <row r="34" spans="2:19">
      <c r="B34" s="126">
        <v>2336</v>
      </c>
      <c r="C34" s="126">
        <f t="shared" ref="C34:C65" si="1">B34/365</f>
        <v>6.4</v>
      </c>
      <c r="D34" s="129">
        <v>2.1988999999999999E-5</v>
      </c>
      <c r="E34" s="129">
        <v>1.8522E-3</v>
      </c>
      <c r="F34" s="129">
        <v>8.7622999999999998E-4</v>
      </c>
      <c r="G34" s="129">
        <v>1.187E-4</v>
      </c>
      <c r="H34" s="129">
        <v>6.4616000000000006E-5</v>
      </c>
      <c r="I34" s="129">
        <v>2.8963999999999999E-5</v>
      </c>
      <c r="J34" s="129">
        <v>1.3599E-2</v>
      </c>
      <c r="K34" s="129">
        <v>1.8513999999999999E-5</v>
      </c>
      <c r="L34" s="127">
        <f>D34/D$2*mod.RK1!I$2</f>
        <v>2.2059283394886615E+19</v>
      </c>
      <c r="M34" s="127">
        <f>E34/E$2*mod.RK1!K$2</f>
        <v>1.8522E+21</v>
      </c>
      <c r="N34" s="127">
        <f>F34/F$2*mod.RK1!M$2</f>
        <v>8.7636331863844101E+20</v>
      </c>
      <c r="O34" s="127">
        <f>G34/G$2*mod.RK1!O$2</f>
        <v>1.1879524799854816E+20</v>
      </c>
      <c r="P34" s="127">
        <f>H34/H$2*mod.RK1!Q$2</f>
        <v>6.4430167724499788E+19</v>
      </c>
      <c r="Q34" s="127">
        <f>I34/I$2*mod.RK1!S$2</f>
        <v>2.888112421689346E+19</v>
      </c>
      <c r="R34" s="127">
        <f>J34/J$2*mod.RK1!Y$2</f>
        <v>1.3587617968018508E+22</v>
      </c>
      <c r="S34" s="127">
        <f>K34/K$2*mod.RK1!W$2</f>
        <v>1.8498883491210301E+19</v>
      </c>
    </row>
    <row r="35" spans="2:19">
      <c r="B35" s="126">
        <v>2409</v>
      </c>
      <c r="C35" s="126">
        <f t="shared" si="1"/>
        <v>6.6</v>
      </c>
      <c r="D35" s="129">
        <v>2.2266E-5</v>
      </c>
      <c r="E35" s="129">
        <v>1.8404999999999999E-3</v>
      </c>
      <c r="F35" s="129">
        <v>8.7836999999999995E-4</v>
      </c>
      <c r="G35" s="129">
        <v>1.1885E-4</v>
      </c>
      <c r="H35" s="129">
        <v>6.4893000000000004E-5</v>
      </c>
      <c r="I35" s="129">
        <v>2.8796999999999999E-5</v>
      </c>
      <c r="J35" s="129">
        <v>1.3502E-2</v>
      </c>
      <c r="K35" s="129">
        <v>1.7567999999999998E-5</v>
      </c>
      <c r="L35" s="127">
        <f>D35/D$2*mod.RK1!I$2</f>
        <v>2.2337168769409495E+19</v>
      </c>
      <c r="M35" s="127">
        <f>E35/E$2*mod.RK1!K$2</f>
        <v>1.8404999999999999E+21</v>
      </c>
      <c r="N35" s="127">
        <f>F35/F$2*mod.RK1!M$2</f>
        <v>8.7850364424003663E+20</v>
      </c>
      <c r="O35" s="127">
        <f>G35/G$2*mod.RK1!O$2</f>
        <v>1.1894536836248905E+20</v>
      </c>
      <c r="P35" s="127">
        <f>H35/H$2*mod.RK1!Q$2</f>
        <v>6.4706371086820041E+19</v>
      </c>
      <c r="Q35" s="127">
        <f>I35/I$2*mod.RK1!S$2</f>
        <v>2.8714602060277617E+19</v>
      </c>
      <c r="R35" s="127">
        <f>J35/J$2*mod.RK1!Y$2</f>
        <v>1.3490699154657395E+22</v>
      </c>
      <c r="S35" s="127">
        <f>K35/K$2*mod.RK1!W$2</f>
        <v>1.7553655891410964E+19</v>
      </c>
    </row>
    <row r="36" spans="2:19">
      <c r="B36" s="126">
        <v>2482</v>
      </c>
      <c r="C36" s="126">
        <f t="shared" si="1"/>
        <v>6.8</v>
      </c>
      <c r="D36" s="129">
        <v>2.2535E-5</v>
      </c>
      <c r="E36" s="129">
        <v>1.8288E-3</v>
      </c>
      <c r="F36" s="129">
        <v>8.8035999999999995E-4</v>
      </c>
      <c r="G36" s="129">
        <v>1.1902E-4</v>
      </c>
      <c r="H36" s="129">
        <v>6.5166999999999995E-5</v>
      </c>
      <c r="I36" s="129">
        <v>2.8632999999999998E-5</v>
      </c>
      <c r="J36" s="129">
        <v>1.3406E-2</v>
      </c>
      <c r="K36" s="129">
        <v>1.6668E-5</v>
      </c>
      <c r="L36" s="127">
        <f>D36/D$2*mod.RK1!I$2</f>
        <v>2.2607028573549044E+19</v>
      </c>
      <c r="M36" s="127">
        <f>E36/E$2*mod.RK1!K$2</f>
        <v>1.8288E+21</v>
      </c>
      <c r="N36" s="127">
        <f>F36/F$2*mod.RK1!M$2</f>
        <v>8.8049394701909059E+20</v>
      </c>
      <c r="O36" s="127">
        <f>G36/G$2*mod.RK1!O$2</f>
        <v>1.1911550477495538E+20</v>
      </c>
      <c r="P36" s="127">
        <f>H36/H$2*mod.RK1!Q$2</f>
        <v>6.4979583076985209E+19</v>
      </c>
      <c r="Q36" s="127">
        <f>I36/I$2*mod.RK1!S$2</f>
        <v>2.8551071319648887E+19</v>
      </c>
      <c r="R36" s="127">
        <f>J36/J$2*mod.RK1!Y$2</f>
        <v>1.3394779504320621E+22</v>
      </c>
      <c r="S36" s="127">
        <f>K36/K$2*mod.RK1!W$2</f>
        <v>1.6654390733039501E+19</v>
      </c>
    </row>
    <row r="37" spans="2:19">
      <c r="B37" s="126">
        <v>2555</v>
      </c>
      <c r="C37" s="126">
        <f t="shared" si="1"/>
        <v>7</v>
      </c>
      <c r="D37" s="129">
        <v>2.2795000000000001E-5</v>
      </c>
      <c r="E37" s="129">
        <v>1.8171000000000001E-3</v>
      </c>
      <c r="F37" s="129">
        <v>8.8221000000000003E-4</v>
      </c>
      <c r="G37" s="129">
        <v>1.192E-4</v>
      </c>
      <c r="H37" s="129">
        <v>6.5438999999999995E-5</v>
      </c>
      <c r="I37" s="129">
        <v>2.8470999999999999E-5</v>
      </c>
      <c r="J37" s="129">
        <v>1.3309E-2</v>
      </c>
      <c r="K37" s="129">
        <v>1.5811000000000002E-5</v>
      </c>
      <c r="L37" s="127">
        <f>D37/D$2*mod.RK1!I$2</f>
        <v>2.2867859611007345E+19</v>
      </c>
      <c r="M37" s="127">
        <f>E37/E$2*mod.RK1!K$2</f>
        <v>1.8171000000000001E+21</v>
      </c>
      <c r="N37" s="127">
        <f>F37/F$2*mod.RK1!M$2</f>
        <v>8.8234422849710575E+20</v>
      </c>
      <c r="O37" s="127">
        <f>G37/G$2*mod.RK1!O$2</f>
        <v>1.1929564921168444E+20</v>
      </c>
      <c r="P37" s="127">
        <f>H37/H$2*mod.RK1!Q$2</f>
        <v>6.525080081904699E+19</v>
      </c>
      <c r="Q37" s="127">
        <f>I37/I$2*mod.RK1!S$2</f>
        <v>2.83895348563449E+19</v>
      </c>
      <c r="R37" s="127">
        <f>J37/J$2*mod.RK1!Y$2</f>
        <v>1.3297860690959506E+22</v>
      </c>
      <c r="S37" s="127">
        <f>K37/K$2*mod.RK1!W$2</f>
        <v>1.579809046556801E+19</v>
      </c>
    </row>
    <row r="38" spans="2:19">
      <c r="B38" s="126">
        <v>2628</v>
      </c>
      <c r="C38" s="126">
        <f t="shared" si="1"/>
        <v>7.2</v>
      </c>
      <c r="D38" s="129">
        <v>2.3045E-5</v>
      </c>
      <c r="E38" s="129">
        <v>1.8052999999999999E-3</v>
      </c>
      <c r="F38" s="129">
        <v>8.8389999999999996E-4</v>
      </c>
      <c r="G38" s="129">
        <v>1.1938999999999999E-4</v>
      </c>
      <c r="H38" s="129">
        <v>6.5708000000000002E-5</v>
      </c>
      <c r="I38" s="129">
        <v>2.8313000000000001E-5</v>
      </c>
      <c r="J38" s="129">
        <v>1.3213000000000001E-2</v>
      </c>
      <c r="K38" s="129">
        <v>1.4995E-5</v>
      </c>
      <c r="L38" s="127">
        <f>D38/D$2*mod.RK1!I$2</f>
        <v>2.3118658685486473E+19</v>
      </c>
      <c r="M38" s="127">
        <f>E38/E$2*mod.RK1!K$2</f>
        <v>1.8052999999999999E+21</v>
      </c>
      <c r="N38" s="127">
        <f>F38/F$2*mod.RK1!M$2</f>
        <v>8.8403448563107627E+20</v>
      </c>
      <c r="O38" s="127">
        <f>G38/G$2*mod.RK1!O$2</f>
        <v>1.194858016726762E+20</v>
      </c>
      <c r="P38" s="127">
        <f>H38/H$2*mod.RK1!Q$2</f>
        <v>6.5519027188953686E+19</v>
      </c>
      <c r="Q38" s="127">
        <f>I38/I$2*mod.RK1!S$2</f>
        <v>2.8231986947690394E+19</v>
      </c>
      <c r="R38" s="127">
        <f>J38/J$2*mod.RK1!Y$2</f>
        <v>1.3201941040622733E+22</v>
      </c>
      <c r="S38" s="127">
        <f>K38/K$2*mod.RK1!W$2</f>
        <v>1.4982756721977881E+19</v>
      </c>
    </row>
    <row r="39" spans="2:19">
      <c r="B39" s="126">
        <v>2701</v>
      </c>
      <c r="C39" s="126">
        <f t="shared" si="1"/>
        <v>7.4</v>
      </c>
      <c r="D39" s="129">
        <v>2.3286999999999999E-5</v>
      </c>
      <c r="E39" s="129">
        <v>1.7935E-3</v>
      </c>
      <c r="F39" s="129">
        <v>8.8544000000000003E-4</v>
      </c>
      <c r="G39" s="129">
        <v>1.1959E-4</v>
      </c>
      <c r="H39" s="129">
        <v>6.5975000000000004E-5</v>
      </c>
      <c r="I39" s="129">
        <v>2.8155999999999999E-5</v>
      </c>
      <c r="J39" s="129">
        <v>1.3115999999999999E-2</v>
      </c>
      <c r="K39" s="129">
        <v>1.4218E-5</v>
      </c>
      <c r="L39" s="127">
        <f>D39/D$2*mod.RK1!I$2</f>
        <v>2.3361432189582275E+19</v>
      </c>
      <c r="M39" s="127">
        <f>E39/E$2*mod.RK1!K$2</f>
        <v>1.7934999999999999E+21</v>
      </c>
      <c r="N39" s="127">
        <f>F39/F$2*mod.RK1!M$2</f>
        <v>8.8557471994250501E+20</v>
      </c>
      <c r="O39" s="127">
        <f>G39/G$2*mod.RK1!O$2</f>
        <v>1.1968596215793073E+20</v>
      </c>
      <c r="P39" s="127">
        <f>H39/H$2*mod.RK1!Q$2</f>
        <v>6.5785259310756979E+19</v>
      </c>
      <c r="Q39" s="127">
        <f>I39/I$2*mod.RK1!S$2</f>
        <v>2.8075436177698251E+19</v>
      </c>
      <c r="R39" s="127">
        <f>J39/J$2*mod.RK1!Y$2</f>
        <v>1.3105022227261619E+22</v>
      </c>
      <c r="S39" s="127">
        <f>K39/K$2*mod.RK1!W$2</f>
        <v>1.4206391135250518E+19</v>
      </c>
    </row>
    <row r="40" spans="2:19">
      <c r="B40" s="126">
        <v>2774</v>
      </c>
      <c r="C40" s="126">
        <f t="shared" si="1"/>
        <v>7.6</v>
      </c>
      <c r="D40" s="129">
        <v>2.3521000000000001E-5</v>
      </c>
      <c r="E40" s="129">
        <v>1.7817E-3</v>
      </c>
      <c r="F40" s="129">
        <v>8.8683999999999996E-4</v>
      </c>
      <c r="G40" s="129">
        <v>1.198E-4</v>
      </c>
      <c r="H40" s="129">
        <v>6.6241000000000005E-5</v>
      </c>
      <c r="I40" s="129">
        <v>2.8002999999999999E-5</v>
      </c>
      <c r="J40" s="129">
        <v>1.3021E-2</v>
      </c>
      <c r="K40" s="129">
        <v>1.3478999999999999E-5</v>
      </c>
      <c r="L40" s="127">
        <f>D40/D$2*mod.RK1!I$2</f>
        <v>2.359618012329474E+19</v>
      </c>
      <c r="M40" s="127">
        <f>E40/E$2*mod.RK1!K$2</f>
        <v>1.7816999999999999E+21</v>
      </c>
      <c r="N40" s="127">
        <f>F40/F$2*mod.RK1!M$2</f>
        <v>8.8697493295289467E+20</v>
      </c>
      <c r="O40" s="127">
        <f>G40/G$2*mod.RK1!O$2</f>
        <v>1.1989613066744794E+20</v>
      </c>
      <c r="P40" s="127">
        <f>H40/H$2*mod.RK1!Q$2</f>
        <v>6.6050494308508574E+19</v>
      </c>
      <c r="Q40" s="127">
        <f>I40/I$2*mod.RK1!S$2</f>
        <v>2.7922873962355597E+19</v>
      </c>
      <c r="R40" s="127">
        <f>J40/J$2*mod.RK1!Y$2</f>
        <v>1.3010101739949188E+22</v>
      </c>
      <c r="S40" s="127">
        <f>K40/K$2*mod.RK1!W$2</f>
        <v>1.3467994521876617E+19</v>
      </c>
    </row>
    <row r="41" spans="2:19">
      <c r="B41" s="126">
        <v>2847</v>
      </c>
      <c r="C41" s="126">
        <f t="shared" si="1"/>
        <v>7.8</v>
      </c>
      <c r="D41" s="129">
        <v>2.3745000000000001E-5</v>
      </c>
      <c r="E41" s="129">
        <v>1.7698E-3</v>
      </c>
      <c r="F41" s="129">
        <v>8.8809000000000002E-4</v>
      </c>
      <c r="G41" s="129">
        <v>1.2001E-4</v>
      </c>
      <c r="H41" s="129">
        <v>6.6503999999999999E-5</v>
      </c>
      <c r="I41" s="129">
        <v>2.7852E-5</v>
      </c>
      <c r="J41" s="129">
        <v>1.2925000000000001E-2</v>
      </c>
      <c r="K41" s="129">
        <v>1.2775999999999999E-5</v>
      </c>
      <c r="L41" s="127">
        <f>D41/D$2*mod.RK1!I$2</f>
        <v>2.3820896094028046E+19</v>
      </c>
      <c r="M41" s="127">
        <f>E41/E$2*mod.RK1!K$2</f>
        <v>1.7698E+21</v>
      </c>
      <c r="N41" s="127">
        <f>F41/F$2*mod.RK1!M$2</f>
        <v>8.8822512314074281E+20</v>
      </c>
      <c r="O41" s="127">
        <f>G41/G$2*mod.RK1!O$2</f>
        <v>1.2010629917696518E+20</v>
      </c>
      <c r="P41" s="127">
        <f>H41/H$2*mod.RK1!Q$2</f>
        <v>6.6312737934105068E+19</v>
      </c>
      <c r="Q41" s="127">
        <f>I41/I$2*mod.RK1!S$2</f>
        <v>2.7772306024337682E+19</v>
      </c>
      <c r="R41" s="127">
        <f>J41/J$2*mod.RK1!Y$2</f>
        <v>1.2914182089612414E+22</v>
      </c>
      <c r="S41" s="127">
        <f>K41/K$2*mod.RK1!W$2</f>
        <v>1.2765568514837572E+19</v>
      </c>
    </row>
    <row r="42" spans="2:19">
      <c r="B42" s="126">
        <v>2920</v>
      </c>
      <c r="C42" s="126">
        <f t="shared" si="1"/>
        <v>8</v>
      </c>
      <c r="D42" s="129">
        <v>2.3961E-5</v>
      </c>
      <c r="E42" s="129">
        <v>1.7579E-3</v>
      </c>
      <c r="F42" s="129">
        <v>8.8920000000000004E-4</v>
      </c>
      <c r="G42" s="129">
        <v>1.2023000000000001E-4</v>
      </c>
      <c r="H42" s="129">
        <v>6.6765000000000002E-5</v>
      </c>
      <c r="I42" s="129">
        <v>2.7702999999999999E-5</v>
      </c>
      <c r="J42" s="129">
        <v>1.2829E-2</v>
      </c>
      <c r="K42" s="129">
        <v>1.2108E-5</v>
      </c>
      <c r="L42" s="127">
        <f>D42/D$2*mod.RK1!I$2</f>
        <v>2.4037586494378017E+19</v>
      </c>
      <c r="M42" s="127">
        <f>E42/E$2*mod.RK1!K$2</f>
        <v>1.7579000000000001E+21</v>
      </c>
      <c r="N42" s="127">
        <f>F42/F$2*mod.RK1!M$2</f>
        <v>8.8933529202755174E+20</v>
      </c>
      <c r="O42" s="127">
        <f>G42/G$2*mod.RK1!O$2</f>
        <v>1.2032647571074513E+20</v>
      </c>
      <c r="P42" s="127">
        <f>H42/H$2*mod.RK1!Q$2</f>
        <v>6.6572987311598182E+19</v>
      </c>
      <c r="Q42" s="127">
        <f>I42/I$2*mod.RK1!S$2</f>
        <v>2.7623732363644506E+19</v>
      </c>
      <c r="R42" s="127">
        <f>J42/J$2*mod.RK1!Y$2</f>
        <v>1.2818262439275641E+22</v>
      </c>
      <c r="S42" s="127">
        <f>K42/K$2*mod.RK1!W$2</f>
        <v>1.2098113930624088E+19</v>
      </c>
    </row>
    <row r="43" spans="2:19">
      <c r="B43" s="126">
        <v>2993</v>
      </c>
      <c r="C43" s="126">
        <f t="shared" si="1"/>
        <v>8.1999999999999993</v>
      </c>
      <c r="D43" s="129">
        <v>2.4168E-5</v>
      </c>
      <c r="E43" s="129">
        <v>1.7459000000000001E-3</v>
      </c>
      <c r="F43" s="129">
        <v>8.9015999999999997E-4</v>
      </c>
      <c r="G43" s="129">
        <v>1.2044000000000001E-4</v>
      </c>
      <c r="H43" s="129">
        <v>6.7024000000000001E-5</v>
      </c>
      <c r="I43" s="129">
        <v>2.7555999999999998E-5</v>
      </c>
      <c r="J43" s="129">
        <v>1.2734000000000001E-2</v>
      </c>
      <c r="K43" s="129">
        <v>1.1473E-5</v>
      </c>
      <c r="L43" s="127">
        <f>D43/D$2*mod.RK1!I$2</f>
        <v>2.4245248128046739E+19</v>
      </c>
      <c r="M43" s="127">
        <f>E43/E$2*mod.RK1!K$2</f>
        <v>1.7459000000000001E+21</v>
      </c>
      <c r="N43" s="127">
        <f>F43/F$2*mod.RK1!M$2</f>
        <v>8.9029543809181902E+20</v>
      </c>
      <c r="O43" s="127">
        <f>G43/G$2*mod.RK1!O$2</f>
        <v>1.2053664422026237E+20</v>
      </c>
      <c r="P43" s="127">
        <f>H43/H$2*mod.RK1!Q$2</f>
        <v>6.6831242440987886E+19</v>
      </c>
      <c r="Q43" s="127">
        <f>I43/I$2*mod.RK1!S$2</f>
        <v>2.7477152980276072E+19</v>
      </c>
      <c r="R43" s="127">
        <f>J43/J$2*mod.RK1!Y$2</f>
        <v>1.2723341951963209E+22</v>
      </c>
      <c r="S43" s="127">
        <f>K43/K$2*mod.RK1!W$2</f>
        <v>1.1463632402217556E+19</v>
      </c>
    </row>
    <row r="44" spans="2:19">
      <c r="B44" s="126">
        <v>3066</v>
      </c>
      <c r="C44" s="126">
        <f t="shared" si="1"/>
        <v>8.4</v>
      </c>
      <c r="D44" s="129">
        <v>2.4366999999999999E-5</v>
      </c>
      <c r="E44" s="129">
        <v>1.7339E-3</v>
      </c>
      <c r="F44" s="129">
        <v>8.9097999999999998E-4</v>
      </c>
      <c r="G44" s="129">
        <v>1.2066E-4</v>
      </c>
      <c r="H44" s="129">
        <v>6.7281999999999997E-5</v>
      </c>
      <c r="I44" s="129">
        <v>2.7412000000000001E-5</v>
      </c>
      <c r="J44" s="129">
        <v>1.2638999999999999E-2</v>
      </c>
      <c r="K44" s="129">
        <v>1.0869E-5</v>
      </c>
      <c r="L44" s="127">
        <f>D44/D$2*mod.RK1!I$2</f>
        <v>2.4444884191332127E+19</v>
      </c>
      <c r="M44" s="127">
        <f>E44/E$2*mod.RK1!K$2</f>
        <v>1.7339000000000001E+21</v>
      </c>
      <c r="N44" s="127">
        <f>F44/F$2*mod.RK1!M$2</f>
        <v>8.9111556285504723E+20</v>
      </c>
      <c r="O44" s="127">
        <f>G44/G$2*mod.RK1!O$2</f>
        <v>1.2075682075404232E+20</v>
      </c>
      <c r="P44" s="127">
        <f>H44/H$2*mod.RK1!Q$2</f>
        <v>6.7088500446325899E+19</v>
      </c>
      <c r="Q44" s="127">
        <f>I44/I$2*mod.RK1!S$2</f>
        <v>2.7333565012894749E+19</v>
      </c>
      <c r="R44" s="127">
        <f>J44/J$2*mod.RK1!Y$2</f>
        <v>1.2628421464650777E+22</v>
      </c>
      <c r="S44" s="127">
        <f>K44/K$2*mod.RK1!W$2</f>
        <v>1.0860125562599373E+19</v>
      </c>
    </row>
    <row r="45" spans="2:19">
      <c r="B45" s="126">
        <v>3139</v>
      </c>
      <c r="C45" s="126">
        <f t="shared" si="1"/>
        <v>8.6</v>
      </c>
      <c r="D45" s="129">
        <v>2.4556999999999999E-5</v>
      </c>
      <c r="E45" s="129">
        <v>1.7218999999999999E-3</v>
      </c>
      <c r="F45" s="129">
        <v>8.9165999999999996E-4</v>
      </c>
      <c r="G45" s="129">
        <v>1.2087999999999999E-4</v>
      </c>
      <c r="H45" s="129">
        <v>6.7538000000000003E-5</v>
      </c>
      <c r="I45" s="129">
        <v>2.7270000000000001E-5</v>
      </c>
      <c r="J45" s="129">
        <v>1.2544E-2</v>
      </c>
      <c r="K45" s="129">
        <v>1.0295000000000001E-5</v>
      </c>
      <c r="L45" s="127">
        <f>D45/D$2*mod.RK1!I$2</f>
        <v>2.4635491487936266E+19</v>
      </c>
      <c r="M45" s="127">
        <f>E45/E$2*mod.RK1!K$2</f>
        <v>1.7218999999999999E+21</v>
      </c>
      <c r="N45" s="127">
        <f>F45/F$2*mod.RK1!M$2</f>
        <v>8.9179566631723663E+20</v>
      </c>
      <c r="O45" s="127">
        <f>G45/G$2*mod.RK1!O$2</f>
        <v>1.2097699728782226E+20</v>
      </c>
      <c r="P45" s="127">
        <f>H45/H$2*mod.RK1!Q$2</f>
        <v>6.7343764203560509E+19</v>
      </c>
      <c r="Q45" s="127">
        <f>I45/I$2*mod.RK1!S$2</f>
        <v>2.7191971322838168E+19</v>
      </c>
      <c r="R45" s="127">
        <f>J45/J$2*mod.RK1!Y$2</f>
        <v>1.2533500977338347E+22</v>
      </c>
      <c r="S45" s="127">
        <f>K45/K$2*mod.RK1!W$2</f>
        <v>1.0286594228260241E+19</v>
      </c>
    </row>
    <row r="46" spans="2:19">
      <c r="B46" s="126">
        <v>3212</v>
      </c>
      <c r="C46" s="126">
        <f t="shared" si="1"/>
        <v>8.8000000000000007</v>
      </c>
      <c r="D46" s="129">
        <v>2.4739000000000001E-5</v>
      </c>
      <c r="E46" s="129">
        <v>1.7099000000000001E-3</v>
      </c>
      <c r="F46" s="129">
        <v>8.922E-4</v>
      </c>
      <c r="G46" s="129">
        <v>1.2108999999999999E-4</v>
      </c>
      <c r="H46" s="129">
        <v>6.7792000000000004E-5</v>
      </c>
      <c r="I46" s="129">
        <v>2.7129999999999999E-5</v>
      </c>
      <c r="J46" s="129">
        <v>1.2449E-2</v>
      </c>
      <c r="K46" s="129">
        <v>9.7491999999999998E-6</v>
      </c>
      <c r="L46" s="127">
        <f>D46/D$2*mod.RK1!I$2</f>
        <v>2.4818073214157083E+19</v>
      </c>
      <c r="M46" s="127">
        <f>E46/E$2*mod.RK1!K$2</f>
        <v>1.7099000000000001E+21</v>
      </c>
      <c r="N46" s="127">
        <f>F46/F$2*mod.RK1!M$2</f>
        <v>8.9233574847838696E+20</v>
      </c>
      <c r="O46" s="127">
        <f>G46/G$2*mod.RK1!O$2</f>
        <v>1.211871657973395E+20</v>
      </c>
      <c r="P46" s="127">
        <f>H46/H$2*mod.RK1!Q$2</f>
        <v>6.7597033712691741E+19</v>
      </c>
      <c r="Q46" s="127">
        <f>I46/I$2*mod.RK1!S$2</f>
        <v>2.7052371910106321E+19</v>
      </c>
      <c r="R46" s="127">
        <f>J46/J$2*mod.RK1!Y$2</f>
        <v>1.2438580490025914E+22</v>
      </c>
      <c r="S46" s="127">
        <f>K46/K$2*mod.RK1!W$2</f>
        <v>9.7412398688834109E+18</v>
      </c>
    </row>
    <row r="47" spans="2:19">
      <c r="B47" s="126">
        <v>3285</v>
      </c>
      <c r="C47" s="126">
        <f t="shared" si="1"/>
        <v>9</v>
      </c>
      <c r="D47" s="129">
        <v>2.4912000000000001E-5</v>
      </c>
      <c r="E47" s="129">
        <v>1.6979E-3</v>
      </c>
      <c r="F47" s="129">
        <v>8.9260000000000001E-4</v>
      </c>
      <c r="G47" s="129">
        <v>1.2129999999999999E-4</v>
      </c>
      <c r="H47" s="129">
        <v>6.8044000000000001E-5</v>
      </c>
      <c r="I47" s="129">
        <v>2.6991E-5</v>
      </c>
      <c r="J47" s="129">
        <v>1.2355E-2</v>
      </c>
      <c r="K47" s="129">
        <v>9.2312999999999992E-6</v>
      </c>
      <c r="L47" s="127">
        <f>D47/D$2*mod.RK1!I$2</f>
        <v>2.4991626173696639E+19</v>
      </c>
      <c r="M47" s="127">
        <f>E47/E$2*mod.RK1!K$2</f>
        <v>1.6979000000000001E+21</v>
      </c>
      <c r="N47" s="127">
        <f>F47/F$2*mod.RK1!M$2</f>
        <v>8.9273580933849835E+20</v>
      </c>
      <c r="O47" s="127">
        <f>G47/G$2*mod.RK1!O$2</f>
        <v>1.2139733430685673E+20</v>
      </c>
      <c r="P47" s="127">
        <f>H47/H$2*mod.RK1!Q$2</f>
        <v>6.7848308973719552E+19</v>
      </c>
      <c r="Q47" s="127">
        <f>I47/I$2*mod.RK1!S$2</f>
        <v>2.691376963603685E+19</v>
      </c>
      <c r="R47" s="127">
        <f>J47/J$2*mod.RK1!Y$2</f>
        <v>1.2344659165737824E+22</v>
      </c>
      <c r="S47" s="127">
        <f>K47/K$2*mod.RK1!W$2</f>
        <v>9.2237627294160998E+18</v>
      </c>
    </row>
    <row r="48" spans="2:19">
      <c r="B48" s="126">
        <v>3358</v>
      </c>
      <c r="C48" s="126">
        <f t="shared" si="1"/>
        <v>9.1999999999999993</v>
      </c>
      <c r="D48" s="129">
        <v>2.5077999999999999E-5</v>
      </c>
      <c r="E48" s="129">
        <v>1.6858000000000001E-3</v>
      </c>
      <c r="F48" s="129">
        <v>8.9285999999999999E-4</v>
      </c>
      <c r="G48" s="129">
        <v>1.215E-4</v>
      </c>
      <c r="H48" s="129">
        <v>6.8294999999999996E-5</v>
      </c>
      <c r="I48" s="129">
        <v>2.6854000000000001E-5</v>
      </c>
      <c r="J48" s="129">
        <v>1.2260999999999999E-2</v>
      </c>
      <c r="K48" s="129">
        <v>8.7396000000000001E-6</v>
      </c>
      <c r="L48" s="127">
        <f>D48/D$2*mod.RK1!I$2</f>
        <v>2.5158156759150785E+19</v>
      </c>
      <c r="M48" s="127">
        <f>E48/E$2*mod.RK1!K$2</f>
        <v>1.6858000000000003E+21</v>
      </c>
      <c r="N48" s="127">
        <f>F48/F$2*mod.RK1!M$2</f>
        <v>8.9299584889757067E+20</v>
      </c>
      <c r="O48" s="127">
        <f>G48/G$2*mod.RK1!O$2</f>
        <v>1.2159749479211123E+20</v>
      </c>
      <c r="P48" s="127">
        <f>H48/H$2*mod.RK1!Q$2</f>
        <v>6.8098587110695674E+19</v>
      </c>
      <c r="Q48" s="127">
        <f>I48/I$2*mod.RK1!S$2</f>
        <v>2.6777161639292121E+19</v>
      </c>
      <c r="R48" s="127">
        <f>J48/J$2*mod.RK1!Y$2</f>
        <v>1.2250737841449734E+22</v>
      </c>
      <c r="S48" s="127">
        <f>K48/K$2*mod.RK1!W$2</f>
        <v>8.7324641978924913E+18</v>
      </c>
    </row>
    <row r="49" spans="2:19">
      <c r="B49" s="126">
        <v>3431</v>
      </c>
      <c r="C49" s="126">
        <f t="shared" si="1"/>
        <v>9.4</v>
      </c>
      <c r="D49" s="129">
        <v>2.5235000000000001E-5</v>
      </c>
      <c r="E49" s="129">
        <v>1.6737E-3</v>
      </c>
      <c r="F49" s="129">
        <v>8.9298000000000003E-4</v>
      </c>
      <c r="G49" s="129">
        <v>1.217E-4</v>
      </c>
      <c r="H49" s="129">
        <v>6.8542999999999997E-5</v>
      </c>
      <c r="I49" s="129">
        <v>2.6718999999999999E-5</v>
      </c>
      <c r="J49" s="129">
        <v>1.2167000000000001E-2</v>
      </c>
      <c r="K49" s="129">
        <v>8.2727999999999998E-6</v>
      </c>
      <c r="L49" s="127">
        <f>D49/D$2*mod.RK1!I$2</f>
        <v>2.5315658577923682E+19</v>
      </c>
      <c r="M49" s="127">
        <f>E49/E$2*mod.RK1!K$2</f>
        <v>1.6736999999999999E+21</v>
      </c>
      <c r="N49" s="127">
        <f>F49/F$2*mod.RK1!M$2</f>
        <v>8.9311586715560418E+20</v>
      </c>
      <c r="O49" s="127">
        <f>G49/G$2*mod.RK1!O$2</f>
        <v>1.2179765527736574E+20</v>
      </c>
      <c r="P49" s="127">
        <f>H49/H$2*mod.RK1!Q$2</f>
        <v>6.8345873875516719E+19</v>
      </c>
      <c r="Q49" s="127">
        <f>I49/I$2*mod.RK1!S$2</f>
        <v>2.6642547919872127E+19</v>
      </c>
      <c r="R49" s="127">
        <f>J49/J$2*mod.RK1!Y$2</f>
        <v>1.2156816517161644E+22</v>
      </c>
      <c r="S49" s="127">
        <f>K49/K$2*mod.RK1!W$2</f>
        <v>8.2660453357504911E+18</v>
      </c>
    </row>
    <row r="50" spans="2:19">
      <c r="B50" s="126">
        <v>3504</v>
      </c>
      <c r="C50" s="126">
        <f t="shared" si="1"/>
        <v>9.6</v>
      </c>
      <c r="D50" s="129">
        <v>2.5384E-5</v>
      </c>
      <c r="E50" s="129">
        <v>1.6616000000000001E-3</v>
      </c>
      <c r="F50" s="129">
        <v>8.9296999999999998E-4</v>
      </c>
      <c r="G50" s="129">
        <v>1.2188000000000001E-4</v>
      </c>
      <c r="H50" s="129">
        <v>6.8789999999999997E-5</v>
      </c>
      <c r="I50" s="129">
        <v>2.6585E-5</v>
      </c>
      <c r="J50" s="129">
        <v>1.2073E-2</v>
      </c>
      <c r="K50" s="129">
        <v>7.8298999999999994E-6</v>
      </c>
      <c r="L50" s="127">
        <f>D50/D$2*mod.RK1!I$2</f>
        <v>2.5465134826313241E+19</v>
      </c>
      <c r="M50" s="127">
        <f>E50/E$2*mod.RK1!K$2</f>
        <v>1.6616000000000003E+21</v>
      </c>
      <c r="N50" s="127">
        <f>F50/F$2*mod.RK1!M$2</f>
        <v>8.9310586563410133E+20</v>
      </c>
      <c r="O50" s="127">
        <f>G50/G$2*mod.RK1!O$2</f>
        <v>1.2197779971409479E+20</v>
      </c>
      <c r="P50" s="127">
        <f>H50/H$2*mod.RK1!Q$2</f>
        <v>6.8592163516286042E+19</v>
      </c>
      <c r="Q50" s="127">
        <f>I50/I$2*mod.RK1!S$2</f>
        <v>2.6508931339114508E+19</v>
      </c>
      <c r="R50" s="127">
        <f>J50/J$2*mod.RK1!Y$2</f>
        <v>1.2062895192873554E+22</v>
      </c>
      <c r="S50" s="127">
        <f>K50/K$2*mod.RK1!W$2</f>
        <v>7.8235069594808013E+18</v>
      </c>
    </row>
    <row r="51" spans="2:19">
      <c r="B51" s="126">
        <v>3577</v>
      </c>
      <c r="C51" s="126">
        <f t="shared" si="1"/>
        <v>9.8000000000000007</v>
      </c>
      <c r="D51" s="129">
        <v>2.5524000000000002E-5</v>
      </c>
      <c r="E51" s="129">
        <v>1.6494999999999999E-3</v>
      </c>
      <c r="F51" s="129">
        <v>8.9282000000000001E-4</v>
      </c>
      <c r="G51" s="129">
        <v>1.2207E-4</v>
      </c>
      <c r="H51" s="129">
        <v>6.9035000000000006E-5</v>
      </c>
      <c r="I51" s="129">
        <v>2.6452E-5</v>
      </c>
      <c r="J51" s="129">
        <v>1.1979E-2</v>
      </c>
      <c r="K51" s="129">
        <v>7.4096000000000002E-6</v>
      </c>
      <c r="L51" s="127">
        <f>D51/D$2*mod.RK1!I$2</f>
        <v>2.5605582308021555E+19</v>
      </c>
      <c r="M51" s="127">
        <f>E51/E$2*mod.RK1!K$2</f>
        <v>1.6494999999999999E+21</v>
      </c>
      <c r="N51" s="127">
        <f>F51/F$2*mod.RK1!M$2</f>
        <v>8.9295584281155967E+20</v>
      </c>
      <c r="O51" s="127">
        <f>G51/G$2*mod.RK1!O$2</f>
        <v>1.2216795217508657E+20</v>
      </c>
      <c r="P51" s="127">
        <f>H51/H$2*mod.RK1!Q$2</f>
        <v>6.8836458908951994E+19</v>
      </c>
      <c r="Q51" s="127">
        <f>I51/I$2*mod.RK1!S$2</f>
        <v>2.6376311897019257E+19</v>
      </c>
      <c r="R51" s="127">
        <f>J51/J$2*mod.RK1!Y$2</f>
        <v>1.1968973868585464E+22</v>
      </c>
      <c r="S51" s="127">
        <f>K51/K$2*mod.RK1!W$2</f>
        <v>7.4035501305213286E+18</v>
      </c>
    </row>
    <row r="52" spans="2:19">
      <c r="D52" s="129"/>
    </row>
    <row r="53" spans="2:19">
      <c r="D53" s="129"/>
    </row>
    <row r="54" spans="2:19">
      <c r="D54" s="129"/>
    </row>
    <row r="55" spans="2:19">
      <c r="D55" s="129"/>
    </row>
    <row r="56" spans="2:19">
      <c r="D56" s="129"/>
    </row>
    <row r="57" spans="2:19">
      <c r="D57" s="129"/>
    </row>
    <row r="58" spans="2:19">
      <c r="D58" s="129"/>
    </row>
    <row r="59" spans="2:19">
      <c r="D59" s="129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184"/>
  <sheetViews>
    <sheetView workbookViewId="0">
      <selection activeCell="Y3" sqref="Y3"/>
    </sheetView>
  </sheetViews>
  <sheetFormatPr baseColWidth="10" defaultRowHeight="12"/>
  <cols>
    <col min="1" max="1" width="11.125" style="146" bestFit="1" customWidth="1"/>
    <col min="2" max="2" width="23.75" style="146" bestFit="1" customWidth="1"/>
    <col min="3" max="3" width="25.75" style="146" bestFit="1" customWidth="1"/>
    <col min="4" max="5" width="24.75" style="146" bestFit="1" customWidth="1"/>
    <col min="6" max="8" width="23.75" style="146" bestFit="1" customWidth="1"/>
    <col min="9" max="9" width="26.875" style="146" bestFit="1" customWidth="1"/>
    <col min="10" max="10" width="9.625" style="153" customWidth="1"/>
    <col min="11" max="17" width="9.625" style="146" customWidth="1"/>
    <col min="18" max="18" width="26.875" style="146" bestFit="1" customWidth="1"/>
    <col min="19" max="19" width="15.5" style="146"/>
    <col min="20" max="20" width="10.75" style="146" bestFit="1" customWidth="1"/>
    <col min="21" max="21" width="9.25" style="146" bestFit="1" customWidth="1"/>
    <col min="22" max="22" width="11.5" style="146" bestFit="1" customWidth="1"/>
    <col min="23" max="27" width="12" style="146" bestFit="1" customWidth="1"/>
    <col min="28" max="28" width="12.25" style="146" bestFit="1" customWidth="1"/>
    <col min="29" max="30" width="11" style="146" bestFit="1" customWidth="1"/>
    <col min="31" max="39" width="15.625" style="146" bestFit="1" customWidth="1"/>
    <col min="40" max="40" width="15.5" style="146"/>
    <col min="41" max="49" width="15.625" style="146" bestFit="1" customWidth="1"/>
    <col min="50" max="50" width="15.5" style="146"/>
    <col min="51" max="16384" width="11" style="145"/>
  </cols>
  <sheetData>
    <row r="1" spans="1:50" ht="24.75" thickBot="1">
      <c r="A1" s="138" t="s">
        <v>24</v>
      </c>
      <c r="B1" s="139" t="s">
        <v>244</v>
      </c>
      <c r="C1" s="139" t="s">
        <v>245</v>
      </c>
      <c r="D1" s="140" t="s">
        <v>246</v>
      </c>
      <c r="E1" s="139" t="s">
        <v>247</v>
      </c>
      <c r="F1" s="139" t="s">
        <v>248</v>
      </c>
      <c r="G1" s="139" t="s">
        <v>249</v>
      </c>
      <c r="H1" s="139" t="s">
        <v>250</v>
      </c>
      <c r="I1" s="139" t="s">
        <v>251</v>
      </c>
      <c r="J1" s="141" t="s">
        <v>24</v>
      </c>
      <c r="K1" s="139" t="s">
        <v>300</v>
      </c>
      <c r="L1" s="139" t="s">
        <v>301</v>
      </c>
      <c r="M1" s="140" t="s">
        <v>298</v>
      </c>
      <c r="N1" s="139" t="s">
        <v>302</v>
      </c>
      <c r="O1" s="139" t="s">
        <v>303</v>
      </c>
      <c r="P1" s="139" t="s">
        <v>304</v>
      </c>
      <c r="Q1" s="139" t="s">
        <v>305</v>
      </c>
      <c r="R1" s="139" t="s">
        <v>306</v>
      </c>
      <c r="S1" s="138"/>
      <c r="T1" s="140" t="s">
        <v>23</v>
      </c>
      <c r="U1" s="139" t="s">
        <v>24</v>
      </c>
      <c r="V1" s="142" t="s">
        <v>25</v>
      </c>
      <c r="W1" s="139" t="s">
        <v>307</v>
      </c>
      <c r="X1" s="139" t="s">
        <v>308</v>
      </c>
      <c r="Y1" s="140" t="s">
        <v>309</v>
      </c>
      <c r="Z1" s="139" t="s">
        <v>310</v>
      </c>
      <c r="AA1" s="139" t="s">
        <v>311</v>
      </c>
      <c r="AB1" s="139" t="s">
        <v>312</v>
      </c>
      <c r="AC1" s="139" t="s">
        <v>313</v>
      </c>
      <c r="AD1" s="139" t="s">
        <v>314</v>
      </c>
      <c r="AE1" s="138" t="s">
        <v>24</v>
      </c>
      <c r="AF1" s="143" t="s">
        <v>214</v>
      </c>
      <c r="AG1" s="143" t="s">
        <v>213</v>
      </c>
      <c r="AH1" s="143" t="s">
        <v>212</v>
      </c>
      <c r="AI1" s="143" t="s">
        <v>211</v>
      </c>
      <c r="AJ1" s="143" t="s">
        <v>210</v>
      </c>
      <c r="AK1" s="143" t="s">
        <v>209</v>
      </c>
      <c r="AL1" s="143" t="s">
        <v>207</v>
      </c>
      <c r="AM1" s="143" t="s">
        <v>208</v>
      </c>
      <c r="AN1" s="143"/>
      <c r="AO1" s="138" t="s">
        <v>24</v>
      </c>
      <c r="AP1" s="144" t="s">
        <v>218</v>
      </c>
      <c r="AQ1" s="144" t="s">
        <v>219</v>
      </c>
      <c r="AR1" s="144" t="s">
        <v>220</v>
      </c>
      <c r="AS1" s="144" t="s">
        <v>221</v>
      </c>
      <c r="AT1" s="144" t="s">
        <v>222</v>
      </c>
      <c r="AU1" s="144" t="s">
        <v>223</v>
      </c>
      <c r="AV1" s="144" t="s">
        <v>224</v>
      </c>
      <c r="AW1" s="144" t="s">
        <v>225</v>
      </c>
      <c r="AX1" s="138"/>
    </row>
    <row r="2" spans="1:50" ht="12.75" thickBot="1">
      <c r="A2" s="146" t="e">
        <f>mod. -[3]RK1!F2</f>
        <v>#NAME?</v>
      </c>
      <c r="B2" s="147">
        <f>mod.RK1!I2</f>
        <v>1.2032336397210882E+19</v>
      </c>
      <c r="C2" s="148">
        <f>mod.RK1!K2</f>
        <v>2.1782E+21</v>
      </c>
      <c r="D2" s="147">
        <f>mod.RK1!M2</f>
        <v>7.2346005790387942E+20</v>
      </c>
      <c r="E2" s="148">
        <f>mod.RK1!O2</f>
        <v>1.5072084539664158E+20</v>
      </c>
      <c r="F2" s="147">
        <f>mod.RK1!Q2</f>
        <v>5.1070699679853748E+19</v>
      </c>
      <c r="G2" s="148">
        <f>mod.RK1!S2</f>
        <v>3.2520680334545068E+19</v>
      </c>
      <c r="H2" s="147">
        <f>mod.RK1!W2</f>
        <v>8.8937324162937733E+19</v>
      </c>
      <c r="I2" s="148">
        <f>mod.RK1!Y2</f>
        <v>1.6799927091276064E+22</v>
      </c>
      <c r="J2" s="149">
        <f>mod.O5!U2</f>
        <v>0</v>
      </c>
      <c r="K2" s="150">
        <f>mod.O5!AC2</f>
        <v>1.2032336397210882E+19</v>
      </c>
      <c r="L2" s="150">
        <f>mod.O5!AD2</f>
        <v>2.1782E+21</v>
      </c>
      <c r="M2" s="150">
        <f>mod.O5!AE2</f>
        <v>7.2346005790387942E+20</v>
      </c>
      <c r="N2" s="150">
        <f>mod.O5!AF2</f>
        <v>1.5072084539664158E+20</v>
      </c>
      <c r="O2" s="150">
        <f>mod.O5!AG2</f>
        <v>5.1070699679853748E+19</v>
      </c>
      <c r="P2" s="150">
        <f>mod.O5!AH2</f>
        <v>3.2520680334545068E+19</v>
      </c>
      <c r="Q2" s="150">
        <f>mod.O5!AI2</f>
        <v>8.8937324162937733E+19</v>
      </c>
      <c r="R2" s="150">
        <f>mod.O5!AJ2</f>
        <v>1.6799927091276064E+22</v>
      </c>
      <c r="T2" s="151">
        <f>mod.math.!Q2</f>
        <v>0</v>
      </c>
      <c r="U2" s="151">
        <f>mod.math.!R2</f>
        <v>0</v>
      </c>
      <c r="V2" s="151">
        <f>mod.math.!S2</f>
        <v>0</v>
      </c>
      <c r="W2" s="151">
        <f>mod.math.!T2</f>
        <v>1.2032336397210911E+19</v>
      </c>
      <c r="X2" s="151">
        <f>mod.math.!U2</f>
        <v>2.1782E+21</v>
      </c>
      <c r="Y2" s="151">
        <f>mod.math.!V2</f>
        <v>7.2346005790387942E+20</v>
      </c>
      <c r="Z2" s="151">
        <f>mod.math.!W2</f>
        <v>1.5072084539664164E+20</v>
      </c>
      <c r="AA2" s="151">
        <f>mod.math.!X2</f>
        <v>5.1070699679853543E+19</v>
      </c>
      <c r="AB2" s="151">
        <f>mod.math.!Y2</f>
        <v>3.2520680334545175E+19</v>
      </c>
      <c r="AC2" s="151">
        <f>mod.math.!Z2</f>
        <v>8.8937324162937733E+19</v>
      </c>
      <c r="AD2" s="151">
        <f>mod.math.!AA2</f>
        <v>1.6799927091276066E+22</v>
      </c>
      <c r="AE2" s="146">
        <f>dragon!C2</f>
        <v>0</v>
      </c>
      <c r="AF2" s="144">
        <f>dragon!L2</f>
        <v>1.2032336397210882E+19</v>
      </c>
      <c r="AG2" s="144">
        <f>dragon!M2</f>
        <v>2.1782E+21</v>
      </c>
      <c r="AH2" s="144">
        <f>dragon!N2</f>
        <v>7.2346005790387942E+20</v>
      </c>
      <c r="AI2" s="144">
        <f>dragon!O2</f>
        <v>1.5072084539664158E+20</v>
      </c>
      <c r="AJ2" s="144">
        <f>dragon!P2</f>
        <v>5.1070699679853748E+19</v>
      </c>
      <c r="AK2" s="144">
        <f>dragon!Q2</f>
        <v>3.2520680334545068E+19</v>
      </c>
      <c r="AL2" s="144">
        <f>dragon!S2</f>
        <v>8.8937324162937733E+19</v>
      </c>
      <c r="AM2" s="144">
        <f>dragon!R2</f>
        <v>1.6799927091276064E+22</v>
      </c>
      <c r="AN2" s="152"/>
      <c r="AO2" s="146">
        <f>vesta!A2</f>
        <v>0</v>
      </c>
      <c r="AP2" s="146">
        <f>vesta!K2</f>
        <v>8.8937324162937733E+19</v>
      </c>
      <c r="AQ2" s="146">
        <f>vesta!L2</f>
        <v>1.6799927091276064E+22</v>
      </c>
      <c r="AR2" s="146">
        <f>vesta!M2</f>
        <v>1.2032336397210882E+19</v>
      </c>
      <c r="AS2" s="146">
        <f>vesta!N2</f>
        <v>2.1782E+21</v>
      </c>
      <c r="AT2" s="146">
        <f>vesta!O2</f>
        <v>7.2346005790387942E+20</v>
      </c>
      <c r="AU2" s="146">
        <f>vesta!P2</f>
        <v>1.5072084539664158E+20</v>
      </c>
      <c r="AV2" s="146">
        <f>vesta!Q2</f>
        <v>5.1070699679853748E+19</v>
      </c>
      <c r="AW2" s="146">
        <f>vesta!R2</f>
        <v>3.2520680334545068E+19</v>
      </c>
    </row>
    <row r="3" spans="1:50" ht="12.75" thickBot="1">
      <c r="A3" s="146">
        <f>mod.RK1!F3</f>
        <v>8.3333333333333329E-2</v>
      </c>
      <c r="B3" s="147">
        <f>mod.RK1!I3</f>
        <v>1.2605633712629205E+19</v>
      </c>
      <c r="C3" s="148">
        <f>mod.RK1!K3</f>
        <v>2.1746804294197565E+21</v>
      </c>
      <c r="D3" s="147">
        <f>mod.RK1!M3</f>
        <v>7.2684881001631986E+20</v>
      </c>
      <c r="E3" s="148">
        <f>mod.RK1!O3</f>
        <v>1.4915920363728739E+20</v>
      </c>
      <c r="F3" s="147">
        <f>mod.RK1!Q3</f>
        <v>5.1407310007414563E+19</v>
      </c>
      <c r="G3" s="148">
        <f>mod.RK1!S3</f>
        <v>3.2534653574734283E+19</v>
      </c>
      <c r="H3" s="147">
        <f>mod.RK1!W3</f>
        <v>8.7038360898539028E+19</v>
      </c>
      <c r="I3" s="148">
        <f>mod.RK1!Y3</f>
        <v>1.6751996671558376E+22</v>
      </c>
      <c r="J3" s="149">
        <f>mod.O5!U3</f>
        <v>8.3333333333333329E-2</v>
      </c>
      <c r="K3" s="150">
        <f>mod.O5!AC3</f>
        <v>1.2596543937684191E+19</v>
      </c>
      <c r="L3" s="150">
        <f>mod.O5!AD3</f>
        <v>2.1746598337089951E+21</v>
      </c>
      <c r="M3" s="150">
        <f>mod.O5!AE3</f>
        <v>7.2682807612617982E+20</v>
      </c>
      <c r="N3" s="150">
        <f>mod.O5!AF3</f>
        <v>1.4918954580360685E+20</v>
      </c>
      <c r="O3" s="150">
        <f>mod.O5!AG3</f>
        <v>5.1403038210650227E+19</v>
      </c>
      <c r="P3" s="150">
        <f>mod.O5!AH3</f>
        <v>3.2531438086500602E+19</v>
      </c>
      <c r="Q3" s="150">
        <f>mod.O5!AI3</f>
        <v>8.7058541148012282E+19</v>
      </c>
      <c r="R3" s="150">
        <f>mod.O5!AJ3</f>
        <v>1.675206497968709E+22</v>
      </c>
      <c r="T3" s="151">
        <f>mod.math.!Q3</f>
        <v>1</v>
      </c>
      <c r="U3" s="151">
        <f>mod.math.!R3</f>
        <v>8.3333333333333329E-2</v>
      </c>
      <c r="V3" s="151">
        <f>mod.math.!S3</f>
        <v>2628000</v>
      </c>
      <c r="W3" s="151">
        <f>mod.math.!T3</f>
        <v>1.2244524625048338E+19</v>
      </c>
      <c r="X3" s="151">
        <f>mod.math.!U3</f>
        <v>2.1746594988127137E+21</v>
      </c>
      <c r="Y3" s="151">
        <f>mod.math.!V3</f>
        <v>7.2682807598096056E+20</v>
      </c>
      <c r="Z3" s="151">
        <f>mod.math.!W3</f>
        <v>1.4918954580386575E+20</v>
      </c>
      <c r="AA3" s="151">
        <f>mod.math.!X3</f>
        <v>5.1403038210638676E+19</v>
      </c>
      <c r="AB3" s="151">
        <f>mod.math.!Y3</f>
        <v>3.2531438086477447E+19</v>
      </c>
      <c r="AC3" s="151">
        <f>mod.math.!Z3</f>
        <v>8.7053382330057064E+19</v>
      </c>
      <c r="AD3" s="151">
        <f>mod.math.!AA3</f>
        <v>1.6752064971806066E+22</v>
      </c>
      <c r="AE3" s="146">
        <f>dragon!C3</f>
        <v>0.2</v>
      </c>
      <c r="AF3" s="144">
        <f>dragon!L3</f>
        <v>1.1745422256006754E+19</v>
      </c>
      <c r="AG3" s="144">
        <f>dragon!M3</f>
        <v>2.1667000000000004E+21</v>
      </c>
      <c r="AH3" s="144">
        <f>dragon!N3</f>
        <v>7.3075116707940899E+20</v>
      </c>
      <c r="AI3" s="144">
        <f>dragon!O3</f>
        <v>1.4735814924436591E+20</v>
      </c>
      <c r="AJ3" s="144">
        <f>dragon!P3</f>
        <v>5.1783643376817611E+19</v>
      </c>
      <c r="AK3" s="144">
        <f>dragon!Q3</f>
        <v>3.267224541122535E+19</v>
      </c>
      <c r="AL3" s="144">
        <f>dragon!S3</f>
        <v>8.4943587676259123E+19</v>
      </c>
      <c r="AM3" s="144">
        <f>dragon!R3</f>
        <v>1.669601413674456E+22</v>
      </c>
      <c r="AN3" s="152"/>
      <c r="AO3" s="146">
        <f>vesta!A3</f>
        <v>0.13689999999999999</v>
      </c>
      <c r="AP3" s="146">
        <f>vesta!K3</f>
        <v>8.58863158607495E+19</v>
      </c>
      <c r="AQ3" s="146">
        <f>vesta!L3</f>
        <v>1.6722149651038675E+22</v>
      </c>
      <c r="AR3" s="146">
        <f>vesta!M3</f>
        <v>1.1798109228699929E+19</v>
      </c>
      <c r="AS3" s="146">
        <f>vesta!N3</f>
        <v>2.1686844320889595E+21</v>
      </c>
      <c r="AT3" s="146">
        <f>vesta!O3</f>
        <v>7.3064015892098122E+20</v>
      </c>
      <c r="AU3" s="146">
        <f>vesta!P3</f>
        <v>1.4846998842920177E+20</v>
      </c>
      <c r="AV3" s="146">
        <f>vesta!Q3</f>
        <v>5.1691620040703025E+19</v>
      </c>
      <c r="AW3" s="146">
        <f>vesta!R3</f>
        <v>3.2520680334545068E+19</v>
      </c>
    </row>
    <row r="4" spans="1:50" ht="12.75" thickBot="1">
      <c r="A4" s="146">
        <f>mod.RK1!F4</f>
        <v>0.16666666666666666</v>
      </c>
      <c r="B4" s="147">
        <f>mod.RK1!I4</f>
        <v>1.3160610560125557E+19</v>
      </c>
      <c r="C4" s="148">
        <f>mod.RK1!K4</f>
        <v>2.1711193080469499E+21</v>
      </c>
      <c r="D4" s="147">
        <f>mod.RK1!M4</f>
        <v>7.3019604255202043E+20</v>
      </c>
      <c r="E4" s="148">
        <f>mod.RK1!O4</f>
        <v>1.4765891785442329E+20</v>
      </c>
      <c r="F4" s="147">
        <f>mod.RK1!Q4</f>
        <v>5.1735278932703445E+19</v>
      </c>
      <c r="G4" s="148">
        <f>mod.RK1!S4</f>
        <v>3.2542074725729509E+19</v>
      </c>
      <c r="H4" s="147">
        <f>mod.RK1!W4</f>
        <v>8.5180046723846177E+19</v>
      </c>
      <c r="I4" s="148">
        <f>mod.RK1!Y4</f>
        <v>1.6704202998052142E+22</v>
      </c>
      <c r="J4" s="149">
        <f>mod.O5!U4</f>
        <v>0.16666666666666666</v>
      </c>
      <c r="K4" s="150">
        <f>mod.O5!AC4</f>
        <v>1.314285138892204E+19</v>
      </c>
      <c r="L4" s="150">
        <f>mod.O5!AD4</f>
        <v>2.1710791878641288E+21</v>
      </c>
      <c r="M4" s="150">
        <f>mod.O5!AE4</f>
        <v>7.3015473124125757E+20</v>
      </c>
      <c r="N4" s="150">
        <f>mod.O5!AF4</f>
        <v>1.4771760759109075E+20</v>
      </c>
      <c r="O4" s="150">
        <f>mod.O5!AG4</f>
        <v>5.1727025642489274E+19</v>
      </c>
      <c r="P4" s="150">
        <f>mod.O5!AH4</f>
        <v>3.2536002229100179E+19</v>
      </c>
      <c r="Q4" s="150">
        <f>mod.O5!AI4</f>
        <v>8.5219547583508103E+19</v>
      </c>
      <c r="R4" s="150">
        <f>mod.O5!AJ4</f>
        <v>1.6704339224817908E+22</v>
      </c>
      <c r="T4" s="151">
        <f>mod.math.!Q4</f>
        <v>2</v>
      </c>
      <c r="U4" s="151">
        <f>mod.math.!R4</f>
        <v>0.16666666666666666</v>
      </c>
      <c r="V4" s="151">
        <f>mod.math.!S4</f>
        <v>5256000</v>
      </c>
      <c r="W4" s="151">
        <f>mod.math.!T4</f>
        <v>1.2444513376394756E+19</v>
      </c>
      <c r="X4" s="151">
        <f>mod.math.!U4</f>
        <v>2.1710769531702089E+21</v>
      </c>
      <c r="Y4" s="151">
        <f>mod.math.!V4</f>
        <v>7.3015472627317447E+20</v>
      </c>
      <c r="Z4" s="151">
        <f>mod.math.!W4</f>
        <v>1.4771760758840413E+20</v>
      </c>
      <c r="AA4" s="151">
        <f>mod.math.!X4</f>
        <v>5.1727025641732014E+19</v>
      </c>
      <c r="AB4" s="151">
        <f>mod.math.!Y4</f>
        <v>3.2536002227588538E+19</v>
      </c>
      <c r="AC4" s="151">
        <f>mod.math.!Z4</f>
        <v>8.5209347666220237E+19</v>
      </c>
      <c r="AD4" s="151">
        <f>mod.math.!AA4</f>
        <v>1.6704339209027838E+22</v>
      </c>
      <c r="AE4" s="146">
        <f>dragon!C4</f>
        <v>0.4</v>
      </c>
      <c r="AF4" s="144">
        <f>dragon!L4</f>
        <v>1.1663160159577598E+19</v>
      </c>
      <c r="AG4" s="144">
        <f>dragon!M4</f>
        <v>2.1588000000000003E+21</v>
      </c>
      <c r="AH4" s="144">
        <f>dragon!N4</f>
        <v>7.3788225191089393E+20</v>
      </c>
      <c r="AI4" s="144">
        <f>dragon!O4</f>
        <v>1.4426566974718383E+20</v>
      </c>
      <c r="AJ4" s="144">
        <f>dragon!P4</f>
        <v>5.2460690607920366E+19</v>
      </c>
      <c r="AK4" s="144">
        <f>dragon!Q4</f>
        <v>3.27849220800732E+19</v>
      </c>
      <c r="AL4" s="144">
        <f>dragon!S4</f>
        <v>8.1117714019143205E+19</v>
      </c>
      <c r="AM4" s="144">
        <f>dragon!R4</f>
        <v>1.6593100345237398E+22</v>
      </c>
      <c r="AN4" s="152"/>
      <c r="AO4" s="146">
        <f>vesta!A4</f>
        <v>0.41070000000000001</v>
      </c>
      <c r="AP4" s="146">
        <f>vesta!K4</f>
        <v>8.0086807161689129E+19</v>
      </c>
      <c r="AQ4" s="146">
        <f>vesta!L4</f>
        <v>1.6583878646172205E+22</v>
      </c>
      <c r="AR4" s="146">
        <f>vesta!M4</f>
        <v>1.1676658104286841E+19</v>
      </c>
      <c r="AS4" s="146">
        <f>vesta!N4</f>
        <v>2.1574387609213665E+21</v>
      </c>
      <c r="AT4" s="146">
        <f>vesta!O4</f>
        <v>7.4439481026699539E+20</v>
      </c>
      <c r="AU4" s="146">
        <f>vesta!P4</f>
        <v>1.4440113160344522E+20</v>
      </c>
      <c r="AV4" s="146">
        <f>vesta!Q4</f>
        <v>5.2873093505096802E+19</v>
      </c>
      <c r="AW4" s="146">
        <f>vesta!R4</f>
        <v>3.2494808671589978E+19</v>
      </c>
    </row>
    <row r="5" spans="1:50" ht="12.75" thickBot="1">
      <c r="A5" s="146">
        <f>mod.RK1!F5</f>
        <v>0.25</v>
      </c>
      <c r="B5" s="147">
        <f>mod.RK1!I5</f>
        <v>1.3697691479775232E+19</v>
      </c>
      <c r="C5" s="148">
        <f>mod.RK1!K5</f>
        <v>2.167517719189603E+21</v>
      </c>
      <c r="D5" s="147">
        <f>mod.RK1!M5</f>
        <v>7.335019100789164E+20</v>
      </c>
      <c r="E5" s="148">
        <f>mod.RK1!O5</f>
        <v>1.4621795767804166E+20</v>
      </c>
      <c r="F5" s="147">
        <f>mod.RK1!Q5</f>
        <v>5.2054902252901179E+19</v>
      </c>
      <c r="G5" s="148">
        <f>mod.RK1!S5</f>
        <v>3.2543310821702263E+19</v>
      </c>
      <c r="H5" s="147">
        <f>mod.RK1!W5</f>
        <v>8.3361511226925384E+19</v>
      </c>
      <c r="I5" s="148">
        <f>mod.RK1!Y5</f>
        <v>1.665654568061717E+22</v>
      </c>
      <c r="J5" s="149">
        <f>mod.O5!U5</f>
        <v>0.25</v>
      </c>
      <c r="K5" s="150">
        <f>mod.O5!AC5</f>
        <v>1.3671672617136284E+19</v>
      </c>
      <c r="L5" s="150">
        <f>mod.O5!AD5</f>
        <v>2.1674591149753316E+21</v>
      </c>
      <c r="M5" s="150">
        <f>mod.O5!AE5</f>
        <v>7.3344018263798107E+20</v>
      </c>
      <c r="N5" s="150">
        <f>mod.O5!AF5</f>
        <v>1.4630309124551837E+20</v>
      </c>
      <c r="O5" s="150">
        <f>mod.O5!AG5</f>
        <v>5.2042943820107784E+19</v>
      </c>
      <c r="P5" s="150">
        <f>mod.O5!AH5</f>
        <v>3.2534718116800365E+19</v>
      </c>
      <c r="Q5" s="150">
        <f>mod.O5!AI5</f>
        <v>8.3419500516275012E+19</v>
      </c>
      <c r="R5" s="150">
        <f>mod.O5!AJ5</f>
        <v>1.6656749438194034E+22</v>
      </c>
      <c r="T5" s="151">
        <f>mod.math.!Q5</f>
        <v>3</v>
      </c>
      <c r="U5" s="151">
        <f>mod.math.!R5</f>
        <v>0.25</v>
      </c>
      <c r="V5" s="151">
        <f>mod.math.!S5</f>
        <v>7884000</v>
      </c>
      <c r="W5" s="151">
        <f>mod.math.!T5</f>
        <v>1.2632688167675199E+19</v>
      </c>
      <c r="X5" s="151">
        <f>mod.math.!U5</f>
        <v>2.1674534724010474E+21</v>
      </c>
      <c r="Y5" s="151">
        <f>mod.math.!V5</f>
        <v>7.3344016180784988E+20</v>
      </c>
      <c r="Z5" s="151">
        <f>mod.math.!W5</f>
        <v>1.4630309124609373E+20</v>
      </c>
      <c r="AA5" s="151">
        <f>mod.math.!X5</f>
        <v>5.2042943811497558E+19</v>
      </c>
      <c r="AB5" s="151">
        <f>mod.math.!Y5</f>
        <v>3.2534718099636453E+19</v>
      </c>
      <c r="AC5" s="151">
        <f>mod.math.!Z5</f>
        <v>8.3404374825720037E+19</v>
      </c>
      <c r="AD5" s="151">
        <f>mod.math.!AA5</f>
        <v>1.6656749414468249E+22</v>
      </c>
      <c r="AE5" s="146">
        <f>dragon!C5</f>
        <v>0.6</v>
      </c>
      <c r="AF5" s="144">
        <f>dragon!L5</f>
        <v>1.1728367918942173E+19</v>
      </c>
      <c r="AG5" s="144">
        <f>dragon!M5</f>
        <v>2.1508E+21</v>
      </c>
      <c r="AH5" s="144">
        <f>dragon!N5</f>
        <v>7.4485331239833449E+20</v>
      </c>
      <c r="AI5" s="144">
        <f>dragon!O5</f>
        <v>1.4142339085656985E+20</v>
      </c>
      <c r="AJ5" s="144">
        <f>dragon!P5</f>
        <v>5.3105829869368795E+19</v>
      </c>
      <c r="AK5" s="144">
        <f>dragon!Q5</f>
        <v>3.2859707479750967E+19</v>
      </c>
      <c r="AL5" s="144">
        <f>dragon!S5</f>
        <v>7.7447712989478322E+19</v>
      </c>
      <c r="AM5" s="144">
        <f>dragon!R5</f>
        <v>1.6490186553730236E+22</v>
      </c>
      <c r="AN5" s="152"/>
      <c r="AO5" s="146">
        <f>vesta!A5</f>
        <v>0.99929999999999997</v>
      </c>
      <c r="AP5" s="146">
        <f>vesta!K5</f>
        <v>6.8945873163047076E+19</v>
      </c>
      <c r="AQ5" s="146">
        <f>vesta!L5</f>
        <v>1.6272768885222648E+22</v>
      </c>
      <c r="AR5" s="146">
        <f>vesta!M5</f>
        <v>1.2301263886982719E+19</v>
      </c>
      <c r="AS5" s="146">
        <f>vesta!N5</f>
        <v>2.1323522637013506E+21</v>
      </c>
      <c r="AT5" s="146">
        <f>vesta!O5</f>
        <v>7.7207712744136363E+20</v>
      </c>
      <c r="AU5" s="146">
        <f>vesta!P5</f>
        <v>1.3738884643565204E+20</v>
      </c>
      <c r="AV5" s="146">
        <f>vesta!Q5</f>
        <v>5.5149801494877528E+19</v>
      </c>
      <c r="AW5" s="146">
        <f>vesta!R5</f>
        <v>3.2305083143252664E+19</v>
      </c>
    </row>
    <row r="6" spans="1:50" ht="12.75" thickBot="1">
      <c r="A6" s="146">
        <f>mod.RK1!F6</f>
        <v>0.33333333333333331</v>
      </c>
      <c r="B6" s="147">
        <f>mod.RK1!I6</f>
        <v>1.4217293858890809E+19</v>
      </c>
      <c r="C6" s="148">
        <f>mod.RK1!K6</f>
        <v>2.1638767252979618E+21</v>
      </c>
      <c r="D6" s="147">
        <f>mod.RK1!M6</f>
        <v>7.3676657047339794E+20</v>
      </c>
      <c r="E6" s="148">
        <f>mod.RK1!O6</f>
        <v>1.4483435486548625E+20</v>
      </c>
      <c r="F6" s="147">
        <f>mod.RK1!Q6</f>
        <v>5.2366466223856083E+19</v>
      </c>
      <c r="G6" s="148">
        <f>mod.RK1!S6</f>
        <v>3.2538714008387015E+19</v>
      </c>
      <c r="H6" s="147">
        <f>mod.RK1!W6</f>
        <v>8.1581902634287006E+19</v>
      </c>
      <c r="I6" s="148">
        <f>mod.RK1!Y6</f>
        <v>1.6609024330226393E+22</v>
      </c>
      <c r="J6" s="149">
        <f>mod.O5!U6</f>
        <v>0.33333333333333331</v>
      </c>
      <c r="K6" s="150">
        <f>mod.O5!AC6</f>
        <v>1.418341442422512E+19</v>
      </c>
      <c r="L6" s="150">
        <f>mod.O5!AD6</f>
        <v>2.1638006474764777E+21</v>
      </c>
      <c r="M6" s="150">
        <f>mod.O5!AE6</f>
        <v>7.3668459278687352E+20</v>
      </c>
      <c r="N6" s="150">
        <f>mod.O5!AF6</f>
        <v>1.4494411564531561E+20</v>
      </c>
      <c r="O6" s="150">
        <f>mod.O5!AG6</f>
        <v>5.2351065622197903E+19</v>
      </c>
      <c r="P6" s="150">
        <f>mod.O5!AH6</f>
        <v>3.2527917260325671E+19</v>
      </c>
      <c r="Q6" s="150">
        <f>mod.O5!AI6</f>
        <v>8.1657574833394631E+19</v>
      </c>
      <c r="R6" s="150">
        <f>mod.O5!AJ6</f>
        <v>1.6609295232447757E+22</v>
      </c>
      <c r="T6" s="151">
        <f>mod.math.!Q6</f>
        <v>4</v>
      </c>
      <c r="U6" s="151">
        <f>mod.math.!R6</f>
        <v>0.33333333333333331</v>
      </c>
      <c r="V6" s="151">
        <f>mod.math.!S6</f>
        <v>10512000</v>
      </c>
      <c r="W6" s="151">
        <f>mod.math.!T6</f>
        <v>1.2809424252398715E+19</v>
      </c>
      <c r="X6" s="151">
        <f>mod.math.!U6</f>
        <v>2.1637901444719205E+21</v>
      </c>
      <c r="Y6" s="151">
        <f>mod.math.!V6</f>
        <v>7.3668453898356916E+20</v>
      </c>
      <c r="Z6" s="151">
        <f>mod.math.!W6</f>
        <v>1.4494411575906207E+20</v>
      </c>
      <c r="AA6" s="151">
        <f>mod.math.!X6</f>
        <v>5.2351065574077039E+19</v>
      </c>
      <c r="AB6" s="151">
        <f>mod.math.!Y6</f>
        <v>3.2527917164369732E+19</v>
      </c>
      <c r="AC6" s="151">
        <f>mod.math.!Z6</f>
        <v>8.1637636369640964E+19</v>
      </c>
      <c r="AD6" s="151">
        <f>mod.math.!AA6</f>
        <v>1.660929520076091E+22</v>
      </c>
      <c r="AE6" s="146">
        <f>dragon!C6</f>
        <v>0.8</v>
      </c>
      <c r="AF6" s="144">
        <f>dragon!L6</f>
        <v>1.1899914485885899E+19</v>
      </c>
      <c r="AG6" s="144">
        <f>dragon!M6</f>
        <v>2.1424999999999999E+21</v>
      </c>
      <c r="AH6" s="144">
        <f>dragon!N6</f>
        <v>7.5166434854173016E+20</v>
      </c>
      <c r="AI6" s="144">
        <f>dragon!O6</f>
        <v>1.3882130454826131E+20</v>
      </c>
      <c r="AJ6" s="144">
        <f>dragon!P6</f>
        <v>5.3721055409266278E+19</v>
      </c>
      <c r="AK6" s="144">
        <f>dragon!Q6</f>
        <v>3.2900590164908151E+19</v>
      </c>
      <c r="AL6" s="144">
        <f>dragon!S6</f>
        <v>7.3928588669718004E+19</v>
      </c>
      <c r="AM6" s="144">
        <f>dragon!R6</f>
        <v>1.6387272762223072E+22</v>
      </c>
      <c r="AN6" s="152"/>
      <c r="AO6" s="146">
        <f>vesta!A6</f>
        <v>1.9990000000000001</v>
      </c>
      <c r="AP6" s="146">
        <f>vesta!K6</f>
        <v>5.3561185406970372E+19</v>
      </c>
      <c r="AQ6" s="146">
        <f>vesta!L6</f>
        <v>1.5754252616973387E+22</v>
      </c>
      <c r="AR6" s="146">
        <f>vesta!M6</f>
        <v>1.4400633323266089E+19</v>
      </c>
      <c r="AS6" s="146">
        <f>vesta!N6</f>
        <v>2.0882346306592535E+21</v>
      </c>
      <c r="AT6" s="146">
        <f>vesta!O6</f>
        <v>8.1351409596174592E+20</v>
      </c>
      <c r="AU6" s="146">
        <f>vesta!P6</f>
        <v>1.2994370415873578E+20</v>
      </c>
      <c r="AV6" s="146">
        <f>vesta!Q6</f>
        <v>5.837513781373354E+19</v>
      </c>
      <c r="AW6" s="146">
        <f>vesta!R6</f>
        <v>3.1761778221195825E+19</v>
      </c>
    </row>
    <row r="7" spans="1:50" ht="12.75" thickBot="1">
      <c r="A7" s="146">
        <f>mod.RK1!F7</f>
        <v>0.41666666666666669</v>
      </c>
      <c r="B7" s="147">
        <f>mod.RK1!I7</f>
        <v>1.4719827976246669E+19</v>
      </c>
      <c r="C7" s="148">
        <f>mod.RK1!K7</f>
        <v>2.1601973683553546E+21</v>
      </c>
      <c r="D7" s="147">
        <f>mod.RK1!M7</f>
        <v>7.3999018480691079E+20</v>
      </c>
      <c r="E7" s="148">
        <f>mod.RK1!O7</f>
        <v>1.435062014337768E+20</v>
      </c>
      <c r="F7" s="147">
        <f>mod.RK1!Q7</f>
        <v>5.2670247847727866E+19</v>
      </c>
      <c r="G7" s="148">
        <f>mod.RK1!S7</f>
        <v>3.2528622065433682E+19</v>
      </c>
      <c r="H7" s="147">
        <f>mod.RK1!W7</f>
        <v>7.9840387411779437E+19</v>
      </c>
      <c r="I7" s="148">
        <f>mod.RK1!Y7</f>
        <v>1.6561638558962685E+22</v>
      </c>
      <c r="J7" s="149">
        <f>mod.O5!U7</f>
        <v>0.41666666666666669</v>
      </c>
      <c r="K7" s="150">
        <f>mod.O5!AC7</f>
        <v>1.4678476591997563E+19</v>
      </c>
      <c r="L7" s="150">
        <f>mod.O5!AD7</f>
        <v>2.160104798116242E+21</v>
      </c>
      <c r="M7" s="150">
        <f>mod.O5!AE7</f>
        <v>7.3988812712671406E+20</v>
      </c>
      <c r="N7" s="150">
        <f>mod.O5!AF7</f>
        <v>1.4363885619323345E+20</v>
      </c>
      <c r="O7" s="150">
        <f>mod.O5!AG7</f>
        <v>5.2651655249050952E+19</v>
      </c>
      <c r="P7" s="150">
        <f>mod.O5!AH7</f>
        <v>3.2515917849021063E+19</v>
      </c>
      <c r="Q7" s="150">
        <f>mod.O5!AI7</f>
        <v>7.9932962863074492E+19</v>
      </c>
      <c r="R7" s="150">
        <f>mod.O5!AJ7</f>
        <v>1.6561976221314947E+22</v>
      </c>
      <c r="T7" s="151">
        <f>mod.math.!Q7</f>
        <v>5</v>
      </c>
      <c r="U7" s="151">
        <f>mod.math.!R7</f>
        <v>0.41666666666666669</v>
      </c>
      <c r="V7" s="151">
        <f>mod.math.!S7</f>
        <v>13140000</v>
      </c>
      <c r="W7" s="151">
        <f>mod.math.!T7</f>
        <v>1.2975086873141232E+19</v>
      </c>
      <c r="X7" s="151">
        <f>mod.math.!U7</f>
        <v>2.1600880363712251E+21</v>
      </c>
      <c r="Y7" s="151">
        <f>mod.math.!V7</f>
        <v>7.3988801745542329E+20</v>
      </c>
      <c r="Z7" s="151">
        <f>mod.math.!W7</f>
        <v>1.4363885686467772E+20</v>
      </c>
      <c r="AA7" s="151">
        <f>mod.math.!X7</f>
        <v>5.2651655066511081E+19</v>
      </c>
      <c r="AB7" s="151">
        <f>mod.math.!Y7</f>
        <v>3.2515917484860047E+19</v>
      </c>
      <c r="AC7" s="151">
        <f>mod.math.!Z7</f>
        <v>7.9908322386543198E+19</v>
      </c>
      <c r="AD7" s="151">
        <f>mod.math.!AA7</f>
        <v>1.6561976181643016E+22</v>
      </c>
      <c r="AE7" s="146">
        <f>dragon!C7</f>
        <v>1</v>
      </c>
      <c r="AF7" s="144">
        <f>dragon!L7</f>
        <v>1.2148707167769199E+19</v>
      </c>
      <c r="AG7" s="144">
        <f>dragon!M7</f>
        <v>2.134E+21</v>
      </c>
      <c r="AH7" s="144">
        <f>dragon!N7</f>
        <v>7.5831536034108159E+20</v>
      </c>
      <c r="AI7" s="144">
        <f>dragon!O7</f>
        <v>1.364393947737327E+20</v>
      </c>
      <c r="AJ7" s="144">
        <f>dragon!P7</f>
        <v>5.4307364351664538E+19</v>
      </c>
      <c r="AK7" s="144">
        <f>dragon!Q7</f>
        <v>3.290956441286948E+19</v>
      </c>
      <c r="AL7" s="144">
        <f>dragon!S7</f>
        <v>7.0555345142315713E+19</v>
      </c>
      <c r="AM7" s="144">
        <f>dragon!R7</f>
        <v>1.6285358133740252E+22</v>
      </c>
      <c r="AN7" s="152"/>
      <c r="AO7" s="146">
        <f>vesta!A7</f>
        <v>4.9989999999999997</v>
      </c>
      <c r="AP7" s="146">
        <f>vesta!K7</f>
        <v>2.5168657722300748E+19</v>
      </c>
      <c r="AQ7" s="146">
        <f>vesta!L7</f>
        <v>1.4302407065875455E+22</v>
      </c>
      <c r="AR7" s="146">
        <f>vesta!M7</f>
        <v>2.0776817354953179E+19</v>
      </c>
      <c r="AS7" s="146">
        <f>vesta!N7</f>
        <v>1.9446360603653696E+21</v>
      </c>
      <c r="AT7" s="146">
        <f>vesta!O7</f>
        <v>9.0573081504886017E+20</v>
      </c>
      <c r="AU7" s="146">
        <f>vesta!P7</f>
        <v>1.2596141875480386E+20</v>
      </c>
      <c r="AV7" s="146">
        <f>vesta!Q7</f>
        <v>6.5765814886620176E+19</v>
      </c>
      <c r="AW7" s="146">
        <f>vesta!R7</f>
        <v>2.9916266263732916E+19</v>
      </c>
    </row>
    <row r="8" spans="1:50" ht="12.75" thickBot="1">
      <c r="A8" s="146">
        <f>mod.RK1!F8</f>
        <v>0.5</v>
      </c>
      <c r="B8" s="147">
        <f>mod.RK1!I8</f>
        <v>1.5205697049389722E+19</v>
      </c>
      <c r="C8" s="148">
        <f>mod.RK1!K8</f>
        <v>2.156480670261362E+21</v>
      </c>
      <c r="D8" s="147">
        <f>mod.RK1!M8</f>
        <v>7.4317291723508744E+20</v>
      </c>
      <c r="E8" s="148">
        <f>mod.RK1!O8</f>
        <v>1.4223164784802193E+20</v>
      </c>
      <c r="F8" s="147">
        <f>mod.RK1!Q8</f>
        <v>5.2966515152135119E+19</v>
      </c>
      <c r="G8" s="148">
        <f>mod.RK1!S8</f>
        <v>3.251335891169187E+19</v>
      </c>
      <c r="H8" s="147">
        <f>mod.RK1!W8</f>
        <v>7.8136149874028872E+19</v>
      </c>
      <c r="I8" s="148">
        <f>mod.RK1!Y8</f>
        <v>1.6514387980015695E+22</v>
      </c>
      <c r="J8" s="149">
        <f>mod.O5!U8</f>
        <v>0.5</v>
      </c>
      <c r="K8" s="150">
        <f>mod.O5!AC8</f>
        <v>1.5157251926397983E+19</v>
      </c>
      <c r="L8" s="150">
        <f>mod.O5!AD8</f>
        <v>2.1563725603489603E+21</v>
      </c>
      <c r="M8" s="150">
        <f>mod.O5!AE8</f>
        <v>7.4305095395113737E+20</v>
      </c>
      <c r="N8" s="150">
        <f>mod.O5!AF8</f>
        <v>1.423855429486727E+20</v>
      </c>
      <c r="O8" s="150">
        <f>mod.O5!AG8</f>
        <v>5.2944968510201225E+19</v>
      </c>
      <c r="P8" s="150">
        <f>mod.O5!AH8</f>
        <v>3.2499025273204437E+19</v>
      </c>
      <c r="Q8" s="150">
        <f>mod.O5!AI8</f>
        <v>7.8244873975541776E+19</v>
      </c>
      <c r="R8" s="150">
        <f>mod.O5!AJ8</f>
        <v>1.6514792019631901E+22</v>
      </c>
      <c r="T8" s="151">
        <f>mod.math.!Q8</f>
        <v>6</v>
      </c>
      <c r="U8" s="151">
        <f>mod.math.!R8</f>
        <v>0.5</v>
      </c>
      <c r="V8" s="151">
        <f>mod.math.!S8</f>
        <v>15768000</v>
      </c>
      <c r="W8" s="151">
        <f>mod.math.!T8</f>
        <v>1.3130031507619987E+19</v>
      </c>
      <c r="X8" s="151">
        <f>mod.math.!U8</f>
        <v>2.1563481944860902E+21</v>
      </c>
      <c r="Y8" s="151">
        <f>mod.math.!V8</f>
        <v>7.4305076002275328E+20</v>
      </c>
      <c r="Z8" s="151">
        <f>mod.math.!W8</f>
        <v>1.423855453756725E+20</v>
      </c>
      <c r="AA8" s="151">
        <f>mod.math.!X8</f>
        <v>5.2944967968094093E+19</v>
      </c>
      <c r="AB8" s="151">
        <f>mod.math.!Y8</f>
        <v>3.2499024191312675E+19</v>
      </c>
      <c r="AC8" s="151">
        <f>mod.math.!Z8</f>
        <v>7.8215640121181553E+19</v>
      </c>
      <c r="AD8" s="151">
        <f>mod.math.!AA8</f>
        <v>1.6514791971952207E+22</v>
      </c>
      <c r="AE8" s="146">
        <f>dragon!C8</f>
        <v>1.2</v>
      </c>
      <c r="AF8" s="144">
        <f>dragon!L8</f>
        <v>1.2452675646037907E+19</v>
      </c>
      <c r="AG8" s="144">
        <f>dragon!M8</f>
        <v>2.1253000000000004E+21</v>
      </c>
      <c r="AH8" s="144">
        <f>dragon!N8</f>
        <v>7.6480634779638851E+20</v>
      </c>
      <c r="AI8" s="144">
        <f>dragon!O8</f>
        <v>1.3426765350872134E+20</v>
      </c>
      <c r="AJ8" s="144">
        <f>dragon!P8</f>
        <v>5.4868745192770347E+19</v>
      </c>
      <c r="AK8" s="144">
        <f>dragon!Q8</f>
        <v>3.2891615916946821E+19</v>
      </c>
      <c r="AL8" s="144">
        <f>dragon!S8</f>
        <v>6.7320988122706354E+19</v>
      </c>
      <c r="AM8" s="144">
        <f>dragon!R8</f>
        <v>1.6182444342233088E+22</v>
      </c>
      <c r="AN8" s="152"/>
      <c r="AO8" s="146">
        <f>vesta!A8</f>
        <v>9.9990000000000006</v>
      </c>
      <c r="AP8" s="146">
        <f>vesta!K8</f>
        <v>7.4529304786881649E+18</v>
      </c>
      <c r="AQ8" s="146">
        <f>vesta!L8</f>
        <v>1.2167848428249331E+22</v>
      </c>
      <c r="AR8" s="146">
        <f>vesta!M8</f>
        <v>2.7387228555151225E+19</v>
      </c>
      <c r="AS8" s="146">
        <f>vesta!N8</f>
        <v>1.705016759332804E+21</v>
      </c>
      <c r="AT8" s="146">
        <f>vesta!O8</f>
        <v>9.7320646316138273E+20</v>
      </c>
      <c r="AU8" s="146">
        <f>vesta!P8</f>
        <v>1.3280056107894782E+20</v>
      </c>
      <c r="AV8" s="146">
        <f>vesta!Q8</f>
        <v>7.5148611450564936E+19</v>
      </c>
      <c r="AW8" s="146">
        <f>vesta!R8</f>
        <v>2.9269474689855726E+19</v>
      </c>
    </row>
    <row r="9" spans="1:50" ht="12.75" thickBot="1">
      <c r="A9" s="146">
        <f>mod.RK1!F9</f>
        <v>0.58333333333333337</v>
      </c>
      <c r="B9" s="147">
        <f>mod.RK1!I9</f>
        <v>1.5675297284838984E+19</v>
      </c>
      <c r="C9" s="148">
        <f>mod.RK1!K9</f>
        <v>2.1527276332074646E+21</v>
      </c>
      <c r="D9" s="147">
        <f>mod.RK1!M9</f>
        <v>7.463149348893583E+20</v>
      </c>
      <c r="E9" s="148">
        <f>mod.RK1!O9</f>
        <v>1.4100890126423232E+20</v>
      </c>
      <c r="F9" s="147">
        <f>mod.RK1!Q9</f>
        <v>5.32555274610577E+19</v>
      </c>
      <c r="G9" s="148">
        <f>mod.RK1!S9</f>
        <v>3.2493235093964632E+19</v>
      </c>
      <c r="H9" s="147">
        <f>mod.RK1!W9</f>
        <v>7.646839180224222E+19</v>
      </c>
      <c r="I9" s="148">
        <f>mod.RK1!Y9</f>
        <v>1.6467272207678692E+22</v>
      </c>
      <c r="J9" s="149">
        <f>mod.O5!U9</f>
        <v>0.58333333333333337</v>
      </c>
      <c r="K9" s="150">
        <f>mod.O5!AC9</f>
        <v>1.5620126301730623E+19</v>
      </c>
      <c r="L9" s="150">
        <f>mod.O5!AD9</f>
        <v>2.1526049087254873E+21</v>
      </c>
      <c r="M9" s="150">
        <f>mod.O5!AE9</f>
        <v>7.4617324429523367E+20</v>
      </c>
      <c r="N9" s="150">
        <f>mod.O5!AF9</f>
        <v>1.411824587600086E+20</v>
      </c>
      <c r="O9" s="150">
        <f>mod.O5!AG9</f>
        <v>5.3231253112069841E+19</v>
      </c>
      <c r="P9" s="150">
        <f>mod.O5!AH9</f>
        <v>3.2477532646519136E+19</v>
      </c>
      <c r="Q9" s="150">
        <f>mod.O5!AI9</f>
        <v>7.6592534183937196E+19</v>
      </c>
      <c r="R9" s="150">
        <f>mod.O5!AJ9</f>
        <v>1.646774224333214E+22</v>
      </c>
      <c r="T9" s="151">
        <f>mod.math.!Q9</f>
        <v>7</v>
      </c>
      <c r="U9" s="151">
        <f>mod.math.!R9</f>
        <v>0.58333333333333337</v>
      </c>
      <c r="V9" s="151">
        <f>mod.math.!S9</f>
        <v>18396000</v>
      </c>
      <c r="W9" s="151">
        <f>mod.math.!T9</f>
        <v>1.3274604108994576E+19</v>
      </c>
      <c r="X9" s="151">
        <f>mod.math.!U9</f>
        <v>2.1525716449729619E+21</v>
      </c>
      <c r="Y9" s="151">
        <f>mod.math.!V9</f>
        <v>7.4617293251933753E+20</v>
      </c>
      <c r="Z9" s="151">
        <f>mod.math.!W9</f>
        <v>1.4118246554991917E+20</v>
      </c>
      <c r="AA9" s="151">
        <f>mod.math.!X9</f>
        <v>5.3231251752183923E+19</v>
      </c>
      <c r="AB9" s="151">
        <f>mod.math.!Y9</f>
        <v>3.2477529931837759E+19</v>
      </c>
      <c r="AC9" s="151">
        <f>mod.math.!Z9</f>
        <v>7.6558813611089199E+19</v>
      </c>
      <c r="AD9" s="151">
        <f>mod.math.!AA9</f>
        <v>1.6467742187623425E+22</v>
      </c>
      <c r="AE9" s="146">
        <f>dragon!C9</f>
        <v>1.4</v>
      </c>
      <c r="AF9" s="144">
        <f>dragon!L9</f>
        <v>1.2795768779925363E+19</v>
      </c>
      <c r="AG9" s="144">
        <f>dragon!M9</f>
        <v>2.1164000000000003E+21</v>
      </c>
      <c r="AH9" s="144">
        <f>dragon!N9</f>
        <v>7.7113731090765054E+20</v>
      </c>
      <c r="AI9" s="144">
        <f>dragon!O9</f>
        <v>1.3229607272896446E+20</v>
      </c>
      <c r="AJ9" s="144">
        <f>dragon!P9</f>
        <v>5.5404200808532034E+19</v>
      </c>
      <c r="AK9" s="144">
        <f>dragon!Q9</f>
        <v>3.284774181580252E+19</v>
      </c>
      <c r="AL9" s="144">
        <f>dragon!S9</f>
        <v>6.4222520060362015E+19</v>
      </c>
      <c r="AM9" s="144">
        <f>dragon!R9</f>
        <v>1.6080529713750266E+22</v>
      </c>
      <c r="AN9" s="152"/>
      <c r="AP9" s="144"/>
      <c r="AQ9" s="144"/>
      <c r="AR9" s="144"/>
      <c r="AS9" s="144"/>
      <c r="AT9" s="144"/>
      <c r="AU9" s="144"/>
      <c r="AV9" s="144"/>
      <c r="AW9" s="144"/>
    </row>
    <row r="10" spans="1:50" ht="12.75" thickBot="1">
      <c r="A10" s="146">
        <f>mod.RK1!F10</f>
        <v>0.66666666666666663</v>
      </c>
      <c r="B10" s="147">
        <f>mod.RK1!I10</f>
        <v>1.6129017930984909E+19</v>
      </c>
      <c r="C10" s="148">
        <f>mod.RK1!K10</f>
        <v>2.1489392400453363E+21</v>
      </c>
      <c r="D10" s="147">
        <f>mod.RK1!M10</f>
        <v>7.4941640777099117E+20</v>
      </c>
      <c r="E10" s="148">
        <f>mod.RK1!O10</f>
        <v>1.3983622382489697E+20</v>
      </c>
      <c r="F10" s="147">
        <f>mod.RK1!Q10</f>
        <v>5.3537535657737888E+19</v>
      </c>
      <c r="G10" s="148">
        <f>mod.RK1!S10</f>
        <v>3.246854825975296E+19</v>
      </c>
      <c r="H10" s="147">
        <f>mod.RK1!W10</f>
        <v>7.4836332070193693E+19</v>
      </c>
      <c r="I10" s="148">
        <f>mod.RK1!Y10</f>
        <v>1.6420290857345409E+22</v>
      </c>
      <c r="J10" s="149">
        <f>mod.O5!U10</f>
        <v>0.66666666666666663</v>
      </c>
      <c r="K10" s="150">
        <f>mod.O5!AC10</f>
        <v>1.6067478704884113E+19</v>
      </c>
      <c r="L10" s="150">
        <f>mod.O5!AD10</f>
        <v>2.1488027992840575E+21</v>
      </c>
      <c r="M10" s="150">
        <f>mod.O5!AE10</f>
        <v>7.492551718221493E+20</v>
      </c>
      <c r="N10" s="150">
        <f>mod.O5!AF10</f>
        <v>1.400279373969154E+20</v>
      </c>
      <c r="O10" s="150">
        <f>mod.O5!AG10</f>
        <v>5.3510748945608696E+19</v>
      </c>
      <c r="P10" s="150">
        <f>mod.O5!AH10</f>
        <v>3.2451721328286433E+19</v>
      </c>
      <c r="Q10" s="150">
        <f>mod.O5!AI10</f>
        <v>7.4975185745208984E+19</v>
      </c>
      <c r="R10" s="150">
        <f>mod.O5!AJ10</f>
        <v>1.6420826509443242E+22</v>
      </c>
      <c r="T10" s="151">
        <f>mod.math.!Q10</f>
        <v>8</v>
      </c>
      <c r="U10" s="151">
        <f>mod.math.!R10</f>
        <v>0.66666666666666663</v>
      </c>
      <c r="V10" s="151">
        <f>mod.math.!S10</f>
        <v>21024000</v>
      </c>
      <c r="W10" s="151">
        <f>mod.math.!T10</f>
        <v>1.3409141340525773E+19</v>
      </c>
      <c r="X10" s="151">
        <f>mod.math.!U10</f>
        <v>2.1487593941218519E+21</v>
      </c>
      <c r="Y10" s="151">
        <f>mod.math.!V10</f>
        <v>7.4925470370597044E+20</v>
      </c>
      <c r="Z10" s="151">
        <f>mod.math.!W10</f>
        <v>1.4002795350839352E+20</v>
      </c>
      <c r="AA10" s="151">
        <f>mod.math.!X10</f>
        <v>5.351074593069151E+19</v>
      </c>
      <c r="AB10" s="151">
        <f>mod.math.!Y10</f>
        <v>3.245171530864744E+19</v>
      </c>
      <c r="AC10" s="151">
        <f>mod.math.!Z10</f>
        <v>7.493708333085945E+19</v>
      </c>
      <c r="AD10" s="151">
        <f>mod.math.!AA10</f>
        <v>1.6420826445685803E+22</v>
      </c>
      <c r="AE10" s="146">
        <f>dragon!C10</f>
        <v>1.6</v>
      </c>
      <c r="AF10" s="144">
        <f>dragon!L10</f>
        <v>1.316695141015448E+19</v>
      </c>
      <c r="AG10" s="144">
        <f>dragon!M10</f>
        <v>2.1073000000000001E+21</v>
      </c>
      <c r="AH10" s="144">
        <f>dragon!N10</f>
        <v>7.7729824815336561E+20</v>
      </c>
      <c r="AI10" s="144">
        <f>dragon!O10</f>
        <v>1.3049462836167395E+20</v>
      </c>
      <c r="AJ10" s="144">
        <f>dragon!P10</f>
        <v>5.5917719695156363E+19</v>
      </c>
      <c r="AK10" s="144">
        <f>dragon!Q10</f>
        <v>3.2782927802748453E+19</v>
      </c>
      <c r="AL10" s="144">
        <f>dragon!S10</f>
        <v>6.1252946670717583E+19</v>
      </c>
      <c r="AM10" s="144">
        <f>dragon!R10</f>
        <v>1.5978615085267444E+22</v>
      </c>
      <c r="AN10" s="152"/>
    </row>
    <row r="11" spans="1:50" ht="12.75" thickBot="1">
      <c r="A11" s="146">
        <f>mod.RK1!F11</f>
        <v>0.75</v>
      </c>
      <c r="B11" s="147">
        <f>mod.RK1!I11</f>
        <v>1.6567241333507404E+19</v>
      </c>
      <c r="C11" s="148">
        <f>mod.RK1!K11</f>
        <v>2.1451164546479418E+21</v>
      </c>
      <c r="D11" s="147">
        <f>mod.RK1!M11</f>
        <v>7.5247750864750851E+20</v>
      </c>
      <c r="E11" s="148">
        <f>mod.RK1!O11</f>
        <v>1.3871193100573498E+20</v>
      </c>
      <c r="F11" s="147">
        <f>mod.RK1!Q11</f>
        <v>5.3812782439816823E+19</v>
      </c>
      <c r="G11" s="148">
        <f>mod.RK1!S11</f>
        <v>3.2439583614496035E+19</v>
      </c>
      <c r="H11" s="147">
        <f>mod.RK1!W11</f>
        <v>7.3239206278220169E+19</v>
      </c>
      <c r="I11" s="148">
        <f>mod.RK1!Y11</f>
        <v>1.6373443545506907E+22</v>
      </c>
      <c r="J11" s="149">
        <f>mod.O5!U11</f>
        <v>0.75</v>
      </c>
      <c r="K11" s="150">
        <f>mod.O5!AC11</f>
        <v>1.6499681279555987E+19</v>
      </c>
      <c r="L11" s="150">
        <f>mod.O5!AD11</f>
        <v>2.1449671699411454E+21</v>
      </c>
      <c r="M11" s="150">
        <f>mod.O5!AE11</f>
        <v>7.5229691270968653E+20</v>
      </c>
      <c r="N11" s="150">
        <f>mod.O5!AF11</f>
        <v>1.3892036168269103E+20</v>
      </c>
      <c r="O11" s="150">
        <f>mod.O5!AG11</f>
        <v>5.3783688373944222E+19</v>
      </c>
      <c r="P11" s="150">
        <f>mod.O5!AH11</f>
        <v>3.2421861445858046E+19</v>
      </c>
      <c r="Q11" s="150">
        <f>mod.O5!AI11</f>
        <v>7.3392086761006711E+19</v>
      </c>
      <c r="R11" s="150">
        <f>mod.O5!AJ11</f>
        <v>1.637404443608366E+22</v>
      </c>
      <c r="T11" s="151">
        <f>mod.math.!Q11</f>
        <v>9</v>
      </c>
      <c r="U11" s="151">
        <f>mod.math.!R11</f>
        <v>0.75</v>
      </c>
      <c r="V11" s="151">
        <f>mod.math.!S11</f>
        <v>23652000</v>
      </c>
      <c r="W11" s="151">
        <f>mod.math.!T11</f>
        <v>1.3533970804720689E+19</v>
      </c>
      <c r="X11" s="151">
        <f>mod.math.!U11</f>
        <v>2.1449124287143451E+21</v>
      </c>
      <c r="Y11" s="151">
        <f>mod.math.!V11</f>
        <v>7.52296245165392E+20</v>
      </c>
      <c r="Z11" s="151">
        <f>mod.math.!W11</f>
        <v>1.3892039569989236E+20</v>
      </c>
      <c r="AA11" s="151">
        <f>mod.math.!X11</f>
        <v>5.3783682291456147E+19</v>
      </c>
      <c r="AB11" s="151">
        <f>mod.math.!Y11</f>
        <v>3.2421849300135911E+19</v>
      </c>
      <c r="AC11" s="151">
        <f>mod.math.!Z11</f>
        <v>7.3349705843962864E+19</v>
      </c>
      <c r="AD11" s="151">
        <f>mod.math.!AA11</f>
        <v>1.6374044364259528E+22</v>
      </c>
      <c r="AE11" s="146">
        <f>dragon!C11</f>
        <v>1.8</v>
      </c>
      <c r="AF11" s="144">
        <f>dragon!L11</f>
        <v>1.3557194770044008E+19</v>
      </c>
      <c r="AG11" s="144">
        <f>dragon!M11</f>
        <v>2.0981000000000001E+21</v>
      </c>
      <c r="AH11" s="144">
        <f>dragon!N11</f>
        <v>7.8329916105503592E+20</v>
      </c>
      <c r="AI11" s="144">
        <f>dragon!O11</f>
        <v>1.2887332843111247E+20</v>
      </c>
      <c r="AJ11" s="144">
        <f>dragon!P11</f>
        <v>5.6410298976695026E+19</v>
      </c>
      <c r="AK11" s="144">
        <f>dragon!Q11</f>
        <v>3.2697173877784605E+19</v>
      </c>
      <c r="AL11" s="144">
        <f>dragon!S11</f>
        <v>5.8409270403245154E+19</v>
      </c>
      <c r="AM11" s="144">
        <f>dragon!R11</f>
        <v>1.5876700456784625E+22</v>
      </c>
      <c r="AN11" s="152"/>
    </row>
    <row r="12" spans="1:50" ht="12.75" thickBot="1">
      <c r="A12" s="146">
        <f>mod.RK1!F12</f>
        <v>0.83333333333333337</v>
      </c>
      <c r="B12" s="147">
        <f>mod.RK1!I12</f>
        <v>1.6990342993139104E+19</v>
      </c>
      <c r="C12" s="148">
        <f>mod.RK1!K12</f>
        <v>2.1412602222635951E+21</v>
      </c>
      <c r="D12" s="147">
        <f>mod.RK1!M12</f>
        <v>7.5549841295143482E+20</v>
      </c>
      <c r="E12" s="148">
        <f>mod.RK1!O12</f>
        <v>1.3763439001208273E+20</v>
      </c>
      <c r="F12" s="147">
        <f>mod.RK1!Q12</f>
        <v>5.4081502566935757E+19</v>
      </c>
      <c r="G12" s="148">
        <f>mod.RK1!S12</f>
        <v>3.2406614363796681E+19</v>
      </c>
      <c r="H12" s="147">
        <f>mod.RK1!W12</f>
        <v>7.1676266395053728E+19</v>
      </c>
      <c r="I12" s="148">
        <f>mod.RK1!Y12</f>
        <v>1.6326729889748437E+22</v>
      </c>
      <c r="J12" s="149">
        <f>mod.O5!U12</f>
        <v>0.83333333333333337</v>
      </c>
      <c r="K12" s="150">
        <f>mod.O5!AC12</f>
        <v>1.6917099370477197E+19</v>
      </c>
      <c r="L12" s="150">
        <f>mod.O5!AD12</f>
        <v>2.1410989408823232E+21</v>
      </c>
      <c r="M12" s="150">
        <f>mod.O5!AE12</f>
        <v>7.5529864553690431E+20</v>
      </c>
      <c r="N12" s="150">
        <f>mod.O5!AF12</f>
        <v>1.3785816162658163E+20</v>
      </c>
      <c r="O12" s="150">
        <f>mod.O5!AG12</f>
        <v>5.4050296520021344E+19</v>
      </c>
      <c r="P12" s="150">
        <f>mod.O5!AH12</f>
        <v>3.238821241696861E+19</v>
      </c>
      <c r="Q12" s="150">
        <f>mod.O5!AI12</f>
        <v>7.18425107785752E+19</v>
      </c>
      <c r="R12" s="150">
        <f>mod.O5!AJ12</f>
        <v>1.6327395642459575E+22</v>
      </c>
      <c r="T12" s="151">
        <f>mod.math.!Q12</f>
        <v>10</v>
      </c>
      <c r="U12" s="151">
        <f>mod.math.!R12</f>
        <v>0.83333333333333337</v>
      </c>
      <c r="V12" s="151">
        <f>mod.math.!S12</f>
        <v>26280000</v>
      </c>
      <c r="W12" s="151">
        <f>mod.math.!T12</f>
        <v>1.3649411267090612E+19</v>
      </c>
      <c r="X12" s="151">
        <f>mod.math.!U12</f>
        <v>2.1410317163754716E+21</v>
      </c>
      <c r="Y12" s="151">
        <f>mod.math.!V12</f>
        <v>7.5529773119952742E+20</v>
      </c>
      <c r="Z12" s="151">
        <f>mod.math.!W12</f>
        <v>1.3785822741112339E+20</v>
      </c>
      <c r="AA12" s="151">
        <f>mod.math.!X12</f>
        <v>5.4050285128719401E+19</v>
      </c>
      <c r="AB12" s="151">
        <f>mod.math.!Y12</f>
        <v>3.2388189669278155E+19</v>
      </c>
      <c r="AC12" s="151">
        <f>mod.math.!Z12</f>
        <v>7.1795953461939675E+19</v>
      </c>
      <c r="AD12" s="151">
        <f>mod.math.!AA12</f>
        <v>1.6327395562552748E+22</v>
      </c>
      <c r="AE12" s="146">
        <f>dragon!C12</f>
        <v>2</v>
      </c>
      <c r="AF12" s="144">
        <f>dragon!L12</f>
        <v>1.3960479681806457E+19</v>
      </c>
      <c r="AG12" s="144">
        <f>dragon!M12</f>
        <v>2.0887000000000004E+21</v>
      </c>
      <c r="AH12" s="144">
        <f>dragon!N12</f>
        <v>7.8914004961266185E+20</v>
      </c>
      <c r="AI12" s="144">
        <f>dragon!O12</f>
        <v>1.2741215688875457E+20</v>
      </c>
      <c r="AJ12" s="144">
        <f>dragon!P12</f>
        <v>5.6882935777199751E+19</v>
      </c>
      <c r="AK12" s="144">
        <f>dragon!Q12</f>
        <v>3.2595465734222836E+19</v>
      </c>
      <c r="AL12" s="144">
        <f>dragon!S12</f>
        <v>5.5685496156888916E+19</v>
      </c>
      <c r="AM12" s="144">
        <f>dragon!R12</f>
        <v>1.5774785828301803E+22</v>
      </c>
      <c r="AN12" s="152"/>
    </row>
    <row r="13" spans="1:50" ht="12.75" thickBot="1">
      <c r="A13" s="146">
        <f>mod.RK1!F13</f>
        <v>0.91666666666666663</v>
      </c>
      <c r="B13" s="147">
        <f>mod.RK1!I13</f>
        <v>1.7398691625607973E+19</v>
      </c>
      <c r="C13" s="148">
        <f>mod.RK1!K13</f>
        <v>2.1373714698631315E+21</v>
      </c>
      <c r="D13" s="147">
        <f>mod.RK1!M13</f>
        <v>7.5847929868132509E+20</v>
      </c>
      <c r="E13" s="148">
        <f>mod.RK1!O13</f>
        <v>1.3660201822342323E+20</v>
      </c>
      <c r="F13" s="147">
        <f>mod.RK1!Q13</f>
        <v>5.4343923101024846E+19</v>
      </c>
      <c r="G13" s="148">
        <f>mod.RK1!S13</f>
        <v>3.2369902141106323E+19</v>
      </c>
      <c r="H13" s="147">
        <f>mod.RK1!W13</f>
        <v>7.0146780407323435E+19</v>
      </c>
      <c r="I13" s="148">
        <f>mod.RK1!Y13</f>
        <v>1.6280149508746325E+22</v>
      </c>
      <c r="J13" s="149">
        <f>mod.O5!U13</f>
        <v>0.91666666666666663</v>
      </c>
      <c r="K13" s="150">
        <f>mod.O5!AC13</f>
        <v>1.732009156763664E+19</v>
      </c>
      <c r="L13" s="150">
        <f>mod.O5!AD13</f>
        <v>2.1371990149531194E+21</v>
      </c>
      <c r="M13" s="150">
        <f>mod.O5!AE13</f>
        <v>7.582605511707166E+20</v>
      </c>
      <c r="N13" s="150">
        <f>mod.O5!AF13</f>
        <v>1.368398125561062E+20</v>
      </c>
      <c r="O13" s="150">
        <f>mod.O5!AG13</f>
        <v>5.431079155424727E+19</v>
      </c>
      <c r="P13" s="150">
        <f>mod.O5!AH13</f>
        <v>3.2351023472088191E+19</v>
      </c>
      <c r="Q13" s="150">
        <f>mod.O5!AI13</f>
        <v>7.0325746391648403E+19</v>
      </c>
      <c r="R13" s="150">
        <f>mod.O5!AJ13</f>
        <v>1.6280879748861668E+22</v>
      </c>
      <c r="T13" s="151">
        <f>mod.math.!Q13</f>
        <v>11</v>
      </c>
      <c r="U13" s="151">
        <f>mod.math.!R13</f>
        <v>0.91666666666666663</v>
      </c>
      <c r="V13" s="151">
        <f>mod.math.!S13</f>
        <v>28908000</v>
      </c>
      <c r="W13" s="151">
        <f>mod.math.!T13</f>
        <v>1.3755772874643669E+19</v>
      </c>
      <c r="X13" s="151">
        <f>mod.math.!U13</f>
        <v>2.1371182059195403E+21</v>
      </c>
      <c r="Y13" s="151">
        <f>mod.math.!V13</f>
        <v>7.5825933872898428E+20</v>
      </c>
      <c r="Z13" s="151">
        <f>mod.math.!W13</f>
        <v>1.3683993132082201E+20</v>
      </c>
      <c r="AA13" s="151">
        <f>mod.math.!X13</f>
        <v>5.431077146689808E+19</v>
      </c>
      <c r="AB13" s="151">
        <f>mod.math.!Y13</f>
        <v>3.2350983358775943E+19</v>
      </c>
      <c r="AC13" s="151">
        <f>mod.math.!Z13</f>
        <v>7.0275113910811517E+19</v>
      </c>
      <c r="AD13" s="151">
        <f>mod.math.!AA13</f>
        <v>1.6280879660858471E+22</v>
      </c>
      <c r="AE13" s="146">
        <f>dragon!C13</f>
        <v>2.2000000000000002</v>
      </c>
      <c r="AF13" s="144">
        <f>dragon!L13</f>
        <v>1.4371790163952232E+19</v>
      </c>
      <c r="AG13" s="144">
        <f>dragon!M13</f>
        <v>2.0790999999999999E+21</v>
      </c>
      <c r="AH13" s="144">
        <f>dragon!N13</f>
        <v>7.9481091230474043E+20</v>
      </c>
      <c r="AI13" s="144">
        <f>dragon!O13</f>
        <v>1.2609109768607487E+20</v>
      </c>
      <c r="AJ13" s="144">
        <f>dragon!P13</f>
        <v>5.7337624344773911E+19</v>
      </c>
      <c r="AK13" s="144">
        <f>dragon!Q13</f>
        <v>3.2478800510725509E+19</v>
      </c>
      <c r="AL13" s="144">
        <f>dragon!S13</f>
        <v>5.3078626381120979E+19</v>
      </c>
      <c r="AM13" s="144">
        <f>dragon!R13</f>
        <v>1.5672871199818979E+22</v>
      </c>
      <c r="AN13" s="152"/>
    </row>
    <row r="14" spans="1:50" ht="12.75" thickBot="1">
      <c r="A14" s="146">
        <f>mod.RK1!F14</f>
        <v>1</v>
      </c>
      <c r="B14" s="147">
        <f>mod.RK1!I14</f>
        <v>1.7792649223600368E+19</v>
      </c>
      <c r="C14" s="148">
        <f>mod.RK1!K14</f>
        <v>2.1334511064803437E+21</v>
      </c>
      <c r="D14" s="147">
        <f>mod.RK1!M14</f>
        <v>7.6142034630502777E+20</v>
      </c>
      <c r="E14" s="148">
        <f>mod.RK1!O14</f>
        <v>1.3561328168460904E+20</v>
      </c>
      <c r="F14" s="147">
        <f>mod.RK1!Q14</f>
        <v>5.46002636394955E+19</v>
      </c>
      <c r="G14" s="148">
        <f>mod.RK1!S14</f>
        <v>3.2329697421329052E+19</v>
      </c>
      <c r="H14" s="147">
        <f>mod.RK1!W14</f>
        <v>6.8650031976562369E+19</v>
      </c>
      <c r="I14" s="148">
        <f>mod.RK1!Y14</f>
        <v>1.6233702022264849E+22</v>
      </c>
      <c r="J14" s="149">
        <f>mod.O5!U14</f>
        <v>1</v>
      </c>
      <c r="K14" s="150">
        <f>mod.O5!AC14</f>
        <v>1.7709009750505669E+19</v>
      </c>
      <c r="L14" s="150">
        <f>mod.O5!AD14</f>
        <v>2.1332682780498812E+21</v>
      </c>
      <c r="M14" s="150">
        <f>mod.O5!AE14</f>
        <v>7.6118281265249518E+20</v>
      </c>
      <c r="N14" s="150">
        <f>mod.O5!AF14</f>
        <v>1.3586383324938127E+20</v>
      </c>
      <c r="O14" s="150">
        <f>mod.O5!AG14</f>
        <v>5.4565384982135439E+19</v>
      </c>
      <c r="P14" s="150">
        <f>mod.O5!AH14</f>
        <v>3.2310534176774779E+19</v>
      </c>
      <c r="Q14" s="150">
        <f>mod.O5!AI14</f>
        <v>6.8841096841343312E+19</v>
      </c>
      <c r="R14" s="150">
        <f>mod.O5!AJ14</f>
        <v>1.6234496376661975E+22</v>
      </c>
      <c r="T14" s="151">
        <f>mod.math.!Q14</f>
        <v>12</v>
      </c>
      <c r="U14" s="151">
        <f>mod.math.!R14</f>
        <v>1</v>
      </c>
      <c r="V14" s="151">
        <f>mod.math.!S14</f>
        <v>31536000</v>
      </c>
      <c r="W14" s="151">
        <f>mod.math.!T14</f>
        <v>1.3853357369232957E+19</v>
      </c>
      <c r="X14" s="151">
        <f>mod.math.!U14</f>
        <v>2.1331728276900298E+21</v>
      </c>
      <c r="Y14" s="151">
        <f>mod.math.!V14</f>
        <v>7.6118124719477306E+20</v>
      </c>
      <c r="Z14" s="151">
        <f>mod.math.!W14</f>
        <v>1.3586403609659148E+20</v>
      </c>
      <c r="AA14" s="151">
        <f>mod.math.!X14</f>
        <v>5.4565351277845283E+19</v>
      </c>
      <c r="AB14" s="151">
        <f>mod.math.!Y14</f>
        <v>3.231046687336294E+19</v>
      </c>
      <c r="AC14" s="151">
        <f>mod.math.!Z14</f>
        <v>6.878649000455952E+19</v>
      </c>
      <c r="AD14" s="151">
        <f>mod.math.!AA14</f>
        <v>1.6234496280551462E+22</v>
      </c>
      <c r="AE14" s="146">
        <f>dragon!C14</f>
        <v>2.4</v>
      </c>
      <c r="AF14" s="144">
        <f>dragon!L14</f>
        <v>1.4788116627587594E+19</v>
      </c>
      <c r="AG14" s="144">
        <f>dragon!M14</f>
        <v>2.0694E+21</v>
      </c>
      <c r="AH14" s="144">
        <f>dragon!N14</f>
        <v>8.0031174913127154E+20</v>
      </c>
      <c r="AI14" s="144">
        <f>dragon!O14</f>
        <v>1.2491015082307328E+20</v>
      </c>
      <c r="AJ14" s="144">
        <f>dragon!P14</f>
        <v>5.777536180346921E+19</v>
      </c>
      <c r="AK14" s="144">
        <f>dragon!Q14</f>
        <v>3.2348175345955004E+19</v>
      </c>
      <c r="AL14" s="144">
        <f>dragon!S14</f>
        <v>5.0582665974885515E+19</v>
      </c>
      <c r="AM14" s="144">
        <f>dragon!R14</f>
        <v>1.5571955734360502E+22</v>
      </c>
      <c r="AN14" s="152"/>
    </row>
    <row r="15" spans="1:50" ht="12.75" thickBot="1">
      <c r="A15" s="146">
        <f>mod.RK1!F15</f>
        <v>1.0833333333333333</v>
      </c>
      <c r="B15" s="147">
        <f>mod.RK1!I15</f>
        <v>1.817257112059264E+19</v>
      </c>
      <c r="C15" s="148">
        <f>mod.RK1!K15</f>
        <v>2.1295000235458243E+21</v>
      </c>
      <c r="D15" s="147">
        <f>mod.RK1!M15</f>
        <v>7.6432173866513754E+20</v>
      </c>
      <c r="E15" s="148">
        <f>mod.RK1!O15</f>
        <v>1.3466669364237418E+20</v>
      </c>
      <c r="F15" s="147">
        <f>mod.RK1!Q15</f>
        <v>5.4850736541545923E+19</v>
      </c>
      <c r="G15" s="148">
        <f>mod.RK1!S15</f>
        <v>3.2286239920790135E+19</v>
      </c>
      <c r="H15" s="147">
        <f>mod.RK1!W15</f>
        <v>6.7185320103559004E+19</v>
      </c>
      <c r="I15" s="148">
        <f>mod.RK1!Y15</f>
        <v>1.6187387051153144E+22</v>
      </c>
      <c r="J15" s="149">
        <f>mod.O5!U15</f>
        <v>1.0833333333333333</v>
      </c>
      <c r="K15" s="150">
        <f>mod.O5!AC15</f>
        <v>1.8084206790398081E+19</v>
      </c>
      <c r="L15" s="150">
        <f>mod.O5!AD15</f>
        <v>2.129307580049966E+21</v>
      </c>
      <c r="M15" s="150">
        <f>mod.O5!AE15</f>
        <v>7.640656214951896E+20</v>
      </c>
      <c r="N15" s="150">
        <f>mod.O5!AF15</f>
        <v>1.34928925473288E+20</v>
      </c>
      <c r="O15" s="150">
        <f>mod.O5!AG15</f>
        <v>5.4814260506297049E+19</v>
      </c>
      <c r="P15" s="150">
        <f>mod.O5!AH15</f>
        <v>3.2266931951070454E+19</v>
      </c>
      <c r="Q15" s="150">
        <f>mod.O5!AI15</f>
        <v>6.7387901249598177E+19</v>
      </c>
      <c r="R15" s="150">
        <f>mod.O5!AJ15</f>
        <v>1.618824514833397E+22</v>
      </c>
      <c r="T15" s="151">
        <f>mod.math.!Q15</f>
        <v>13</v>
      </c>
      <c r="U15" s="151">
        <f>mod.math.!R15</f>
        <v>1.0833333333333333</v>
      </c>
      <c r="V15" s="151">
        <f>mod.math.!S15</f>
        <v>34164000</v>
      </c>
      <c r="W15" s="151">
        <f>mod.math.!T15</f>
        <v>1.3942458295877673E+19</v>
      </c>
      <c r="X15" s="151">
        <f>mod.math.!U15</f>
        <v>2.1291964938936344E+21</v>
      </c>
      <c r="Y15" s="151">
        <f>mod.math.!V15</f>
        <v>7.6406363846220487E+20</v>
      </c>
      <c r="Z15" s="151">
        <f>mod.math.!W15</f>
        <v>1.3492911503320053E+20</v>
      </c>
      <c r="AA15" s="151">
        <f>mod.math.!X15</f>
        <v>5.4814227691796496E+19</v>
      </c>
      <c r="AB15" s="151">
        <f>mod.math.!Y15</f>
        <v>3.2266866649670263E+19</v>
      </c>
      <c r="AC15" s="151">
        <f>mod.math.!Z15</f>
        <v>6.7329399325519053E+19</v>
      </c>
      <c r="AD15" s="151">
        <f>mod.math.!AA15</f>
        <v>1.6188245044085173E+22</v>
      </c>
      <c r="AE15" s="146">
        <f>dragon!C15</f>
        <v>2.6</v>
      </c>
      <c r="AF15" s="144">
        <f>dragon!L15</f>
        <v>1.5205446287520872E+19</v>
      </c>
      <c r="AG15" s="144">
        <f>dragon!M15</f>
        <v>2.0595000000000001E+21</v>
      </c>
      <c r="AH15" s="144">
        <f>dragon!N15</f>
        <v>8.0565256161375814E+20</v>
      </c>
      <c r="AI15" s="144">
        <f>dragon!O15</f>
        <v>1.2386931629974985E+20</v>
      </c>
      <c r="AJ15" s="144">
        <f>dragon!P15</f>
        <v>5.8197145277337346E+19</v>
      </c>
      <c r="AK15" s="144">
        <f>dragon!Q15</f>
        <v>3.2207578794560786E+19</v>
      </c>
      <c r="AL15" s="144">
        <f>dragon!S15</f>
        <v>4.8194617387654627E+19</v>
      </c>
      <c r="AM15" s="144">
        <f>dragon!R15</f>
        <v>1.547004110587768E+22</v>
      </c>
      <c r="AN15" s="152"/>
    </row>
    <row r="16" spans="1:50" ht="12.75" thickBot="1">
      <c r="A16" s="146">
        <f>mod.RK1!F16</f>
        <v>1.1666666666666667</v>
      </c>
      <c r="B16" s="147">
        <f>mod.RK1!I16</f>
        <v>1.8538806056405967E+19</v>
      </c>
      <c r="C16" s="148">
        <f>mod.RK1!K16</f>
        <v>2.1255190952143581E+21</v>
      </c>
      <c r="D16" s="147">
        <f>mod.RK1!M16</f>
        <v>7.6718366088659101E+20</v>
      </c>
      <c r="E16" s="148">
        <f>mod.RK1!O16</f>
        <v>1.3376081312577246E+20</v>
      </c>
      <c r="F16" s="147">
        <f>mod.RK1!Q16</f>
        <v>5.5095547147783324E+19</v>
      </c>
      <c r="G16" s="148">
        <f>mod.RK1!S16</f>
        <v>3.2239758984000618E+19</v>
      </c>
      <c r="H16" s="147">
        <f>mod.RK1!W16</f>
        <v>6.5751958799895765E+19</v>
      </c>
      <c r="I16" s="148">
        <f>mod.RK1!Y16</f>
        <v>1.6141204217342097E+22</v>
      </c>
      <c r="J16" s="149">
        <f>mod.O5!U16</f>
        <v>1.1666666666666667</v>
      </c>
      <c r="K16" s="150">
        <f>mod.O5!AC16</f>
        <v>1.8446016719520647E+19</v>
      </c>
      <c r="L16" s="150">
        <f>mod.O5!AD16</f>
        <v>2.1253177848968239E+21</v>
      </c>
      <c r="M16" s="150">
        <f>mod.O5!AE16</f>
        <v>7.6690916120853873E+20</v>
      </c>
      <c r="N16" s="150">
        <f>mod.O5!AF16</f>
        <v>1.3403360989595522E+20</v>
      </c>
      <c r="O16" s="150">
        <f>mod.O5!AG16</f>
        <v>5.5057629186330255E+19</v>
      </c>
      <c r="P16" s="150">
        <f>mod.O5!AH16</f>
        <v>3.2220462806552199E+19</v>
      </c>
      <c r="Q16" s="150">
        <f>mod.O5!AI16</f>
        <v>6.5965478990608884E+19</v>
      </c>
      <c r="R16" s="150">
        <f>mod.O5!AJ16</f>
        <v>1.6142125687390417E+22</v>
      </c>
      <c r="T16" s="151">
        <f>mod.math.!Q16</f>
        <v>14</v>
      </c>
      <c r="U16" s="151">
        <f>mod.math.!R16</f>
        <v>1.1666666666666667</v>
      </c>
      <c r="V16" s="151">
        <f>mod.math.!S16</f>
        <v>36792000</v>
      </c>
      <c r="W16" s="151">
        <f>mod.math.!T16</f>
        <v>1.4023361206171812E+19</v>
      </c>
      <c r="X16" s="151">
        <f>mod.math.!U16</f>
        <v>2.1251900989285576E+21</v>
      </c>
      <c r="Y16" s="151">
        <f>mod.math.!V16</f>
        <v>7.6690669672692554E+20</v>
      </c>
      <c r="Z16" s="151">
        <f>mod.math.!W16</f>
        <v>1.3403378473111129E+20</v>
      </c>
      <c r="AA16" s="151">
        <f>mod.math.!X16</f>
        <v>5.5057597202179129E+19</v>
      </c>
      <c r="AB16" s="151">
        <f>mod.math.!Y16</f>
        <v>3.2220399414039675E+19</v>
      </c>
      <c r="AC16" s="151">
        <f>mod.math.!Z16</f>
        <v>6.5903173911544521E+19</v>
      </c>
      <c r="AD16" s="151">
        <f>mod.math.!AA16</f>
        <v>1.6142125574988667E+22</v>
      </c>
      <c r="AE16" s="146">
        <f>dragon!C16</f>
        <v>2.8</v>
      </c>
      <c r="AF16" s="144">
        <f>dragon!L16</f>
        <v>1.5621772751156232E+19</v>
      </c>
      <c r="AG16" s="144">
        <f>dragon!M16</f>
        <v>2.0495000000000001E+21</v>
      </c>
      <c r="AH16" s="144">
        <f>dragon!N16</f>
        <v>8.1083334975220023E+20</v>
      </c>
      <c r="AI16" s="144">
        <f>dragon!O16</f>
        <v>1.2293857004331642E+20</v>
      </c>
      <c r="AJ16" s="144">
        <f>dragon!P16</f>
        <v>5.8604969014481699E+19</v>
      </c>
      <c r="AK16" s="144">
        <f>dragon!Q16</f>
        <v>3.2057010856542876E+19</v>
      </c>
      <c r="AL16" s="144">
        <f>dragon!S16</f>
        <v>4.5909484701881811E+19</v>
      </c>
      <c r="AM16" s="144">
        <f>dragon!R16</f>
        <v>1.5369125640419198E+22</v>
      </c>
      <c r="AN16" s="152"/>
    </row>
    <row r="17" spans="1:50" ht="12.75" thickBot="1">
      <c r="A17" s="146">
        <f>mod.RK1!F17</f>
        <v>1.25</v>
      </c>
      <c r="B17" s="147">
        <f>mod.RK1!I17</f>
        <v>1.8891696244345467E+19</v>
      </c>
      <c r="C17" s="148">
        <f>mod.RK1!K17</f>
        <v>2.1215091786860022E+21</v>
      </c>
      <c r="D17" s="147">
        <f>mod.RK1!M17</f>
        <v>7.7000630028636298E+20</v>
      </c>
      <c r="E17" s="148">
        <f>mod.RK1!O17</f>
        <v>1.3289424356922099E+20</v>
      </c>
      <c r="F17" s="147">
        <f>mod.RK1!Q17</f>
        <v>5.5334893993360032E+19</v>
      </c>
      <c r="G17" s="148">
        <f>mod.RK1!S17</f>
        <v>3.219047395763619E+19</v>
      </c>
      <c r="H17" s="147">
        <f>mod.RK1!W17</f>
        <v>6.4349276766520877E+19</v>
      </c>
      <c r="I17" s="148">
        <f>mod.RK1!Y17</f>
        <v>1.6095153143841265E+22</v>
      </c>
      <c r="J17" s="149">
        <f>mod.O5!U17</f>
        <v>1.25</v>
      </c>
      <c r="K17" s="150">
        <f>mod.O5!AC17</f>
        <v>1.8794772575702479E+19</v>
      </c>
      <c r="L17" s="150">
        <f>mod.O5!AD17</f>
        <v>2.1212997270427148E+21</v>
      </c>
      <c r="M17" s="150">
        <f>mod.O5!AE17</f>
        <v>7.6971362164908543E+20</v>
      </c>
      <c r="N17" s="150">
        <f>mod.O5!AF17</f>
        <v>1.3317654533745525E+20</v>
      </c>
      <c r="O17" s="150">
        <f>mod.O5!AG17</f>
        <v>5.5295681088236462E+19</v>
      </c>
      <c r="P17" s="150">
        <f>mod.O5!AH17</f>
        <v>3.2171334118576828E+19</v>
      </c>
      <c r="Q17" s="150">
        <f>mod.O5!AI17</f>
        <v>6.4573178126032019E+19</v>
      </c>
      <c r="R17" s="150">
        <f>mod.O5!AJ17</f>
        <v>1.6096137618432041E+22</v>
      </c>
      <c r="T17" s="151">
        <f>mod.math.!Q17</f>
        <v>15</v>
      </c>
      <c r="U17" s="151">
        <f>mod.math.!R17</f>
        <v>1.25</v>
      </c>
      <c r="V17" s="151">
        <f>mod.math.!S17</f>
        <v>39420000</v>
      </c>
      <c r="W17" s="151">
        <f>mod.math.!T17</f>
        <v>1.4096343856893092E+19</v>
      </c>
      <c r="X17" s="151">
        <f>mod.math.!U17</f>
        <v>2.1211545197071497E+21</v>
      </c>
      <c r="Y17" s="151">
        <f>mod.math.!V17</f>
        <v>7.6971060842304478E+20</v>
      </c>
      <c r="Z17" s="151">
        <f>mod.math.!W17</f>
        <v>1.3317670381404568E+20</v>
      </c>
      <c r="AA17" s="151">
        <f>mod.math.!X17</f>
        <v>5.5295649864464466E+19</v>
      </c>
      <c r="AB17" s="151">
        <f>mod.math.!Y17</f>
        <v>3.2171272528662151E+19</v>
      </c>
      <c r="AC17" s="151">
        <f>mod.math.!Z17</f>
        <v>6.4507159949801021E+19</v>
      </c>
      <c r="AD17" s="151">
        <f>mod.math.!AA17</f>
        <v>1.6096137497863558E+22</v>
      </c>
      <c r="AE17" s="146">
        <f>dragon!C17</f>
        <v>3</v>
      </c>
      <c r="AF17" s="144">
        <f>dragon!L17</f>
        <v>1.6036092822195759E+19</v>
      </c>
      <c r="AG17" s="144">
        <f>dragon!M17</f>
        <v>2.0394E+21</v>
      </c>
      <c r="AH17" s="144">
        <f>dragon!N17</f>
        <v>8.1584411202509511E+20</v>
      </c>
      <c r="AI17" s="144">
        <f>dragon!O17</f>
        <v>1.2211791205377294E+20</v>
      </c>
      <c r="AJ17" s="144">
        <f>dragon!P17</f>
        <v>5.8998833014902301E+19</v>
      </c>
      <c r="AK17" s="144">
        <f>dragon!Q17</f>
        <v>3.1897468670563627E+19</v>
      </c>
      <c r="AL17" s="144">
        <f>dragon!S17</f>
        <v>4.3724270367039152E+19</v>
      </c>
      <c r="AM17" s="144">
        <f>dragon!R17</f>
        <v>1.5269209337985061E+22</v>
      </c>
      <c r="AN17" s="152"/>
      <c r="AO17" s="145"/>
      <c r="AP17" s="145"/>
      <c r="AQ17" s="145"/>
      <c r="AR17" s="145"/>
      <c r="AS17" s="145"/>
      <c r="AT17" s="145"/>
      <c r="AU17" s="145"/>
      <c r="AV17" s="145"/>
      <c r="AW17" s="145"/>
      <c r="AX17" s="145"/>
    </row>
    <row r="18" spans="1:50" ht="12.75" thickBot="1">
      <c r="A18" s="146">
        <f>mod.RK1!F18</f>
        <v>1.3333333333333333</v>
      </c>
      <c r="B18" s="147">
        <f>mod.RK1!I18</f>
        <v>1.9231577439790854E+19</v>
      </c>
      <c r="C18" s="148">
        <f>mod.RK1!K18</f>
        <v>2.1174711145209861E+21</v>
      </c>
      <c r="D18" s="147">
        <f>mod.RK1!M18</f>
        <v>7.7278984628521966E+20</v>
      </c>
      <c r="E18" s="148">
        <f>mod.RK1!O18</f>
        <v>1.3206563147686745E+20</v>
      </c>
      <c r="F18" s="147">
        <f>mod.RK1!Q18</f>
        <v>5.5568969014815105E+19</v>
      </c>
      <c r="G18" s="148">
        <f>mod.RK1!S18</f>
        <v>3.2138594552135512E+19</v>
      </c>
      <c r="H18" s="147">
        <f>mod.RK1!W18</f>
        <v>6.2976617079202865E+19</v>
      </c>
      <c r="I18" s="148">
        <f>mod.RK1!Y18</f>
        <v>1.6049233454735791E+22</v>
      </c>
      <c r="J18" s="149">
        <f>mod.O5!U18</f>
        <v>1.3333333333333333</v>
      </c>
      <c r="K18" s="150">
        <f>mod.O5!AC18</f>
        <v>1.9130801085002007E+19</v>
      </c>
      <c r="L18" s="150">
        <f>mod.O5!AD18</f>
        <v>2.117254224883242E+21</v>
      </c>
      <c r="M18" s="150">
        <f>mod.O5!AE18</f>
        <v>7.7247919461622691E+20</v>
      </c>
      <c r="N18" s="150">
        <f>mod.O5!AF18</f>
        <v>1.3235643132065641E+20</v>
      </c>
      <c r="O18" s="150">
        <f>mod.O5!AG18</f>
        <v>5.5528600046657716E+19</v>
      </c>
      <c r="P18" s="150">
        <f>mod.O5!AH18</f>
        <v>3.2119744258704642E+19</v>
      </c>
      <c r="Q18" s="150">
        <f>mod.O5!AI18</f>
        <v>6.3210360515172794E+19</v>
      </c>
      <c r="R18" s="150">
        <f>mod.O5!AJ18</f>
        <v>1.6050280567129082E+22</v>
      </c>
      <c r="T18" s="151">
        <f>mod.math.!Q18</f>
        <v>16</v>
      </c>
      <c r="U18" s="151">
        <f>mod.math.!R18</f>
        <v>1.3333333333333333</v>
      </c>
      <c r="V18" s="151">
        <f>mod.math.!S18</f>
        <v>42048000</v>
      </c>
      <c r="W18" s="151">
        <f>mod.math.!T18</f>
        <v>1.4161676403921428E+19</v>
      </c>
      <c r="X18" s="151">
        <f>mod.math.!U18</f>
        <v>2.1170906159729727E+21</v>
      </c>
      <c r="Y18" s="151">
        <f>mod.math.!V18</f>
        <v>7.7247556213332273E+20</v>
      </c>
      <c r="Z18" s="151">
        <f>mod.math.!W18</f>
        <v>1.3235657168443367E+20</v>
      </c>
      <c r="AA18" s="151">
        <f>mod.math.!X18</f>
        <v>5.552856948923895E+19</v>
      </c>
      <c r="AB18" s="151">
        <f>mod.math.!Y18</f>
        <v>3.2119684326404997E+19</v>
      </c>
      <c r="AC18" s="151">
        <f>mod.math.!Z18</f>
        <v>6.3140717477042233E+19</v>
      </c>
      <c r="AD18" s="151">
        <f>mod.math.!AA18</f>
        <v>1.6050280438380938E+22</v>
      </c>
      <c r="AE18" s="146">
        <f>dragon!C18</f>
        <v>3.2</v>
      </c>
      <c r="AF18" s="144">
        <f>dragon!L18</f>
        <v>1.6447403304341539E+19</v>
      </c>
      <c r="AG18" s="144">
        <f>dragon!M18</f>
        <v>2.0290999999999999E+21</v>
      </c>
      <c r="AH18" s="144">
        <f>dragon!N18</f>
        <v>8.2069484995394522E+20</v>
      </c>
      <c r="AI18" s="144">
        <f>dragon!O18</f>
        <v>1.2139733430685673E+20</v>
      </c>
      <c r="AJ18" s="144">
        <f>dragon!P18</f>
        <v>5.9380731526702531E+19</v>
      </c>
      <c r="AK18" s="144">
        <f>dragon!Q18</f>
        <v>3.173194365261015E+19</v>
      </c>
      <c r="AL18" s="144">
        <f>dragon!S18</f>
        <v>4.1634977649089454E+19</v>
      </c>
      <c r="AM18" s="144">
        <f>dragon!R18</f>
        <v>1.5168293872526581E+22</v>
      </c>
      <c r="AN18" s="152"/>
      <c r="AO18" s="145"/>
      <c r="AP18" s="145"/>
      <c r="AQ18" s="145"/>
      <c r="AR18" s="145"/>
      <c r="AS18" s="145"/>
      <c r="AT18" s="145"/>
      <c r="AU18" s="145"/>
      <c r="AV18" s="145"/>
      <c r="AW18" s="145"/>
      <c r="AX18" s="145"/>
    </row>
    <row r="19" spans="1:50" ht="12.75" thickBot="1">
      <c r="A19" s="146">
        <f>mod.RK1!F19</f>
        <v>1.4166666666666667</v>
      </c>
      <c r="B19" s="147">
        <f>mod.RK1!I19</f>
        <v>1.9558779010111738E+19</v>
      </c>
      <c r="C19" s="148">
        <f>mod.RK1!K19</f>
        <v>2.1134057269485673E+21</v>
      </c>
      <c r="D19" s="147">
        <f>mod.RK1!M19</f>
        <v>7.75534490321487E+20</v>
      </c>
      <c r="E19" s="148">
        <f>mod.RK1!O19</f>
        <v>1.3127366512703803E+20</v>
      </c>
      <c r="F19" s="147">
        <f>mod.RK1!Q19</f>
        <v>5.5797957750807183E+19</v>
      </c>
      <c r="G19" s="148">
        <f>mod.RK1!S19</f>
        <v>3.2084321191310774E+19</v>
      </c>
      <c r="H19" s="147">
        <f>mod.RK1!W19</f>
        <v>6.1633336880720347E+19</v>
      </c>
      <c r="I19" s="148">
        <f>mod.RK1!Y19</f>
        <v>1.6003444775183343E+22</v>
      </c>
      <c r="J19" s="149">
        <f>mod.O5!U19</f>
        <v>1.4166666666666667</v>
      </c>
      <c r="K19" s="150">
        <f>mod.O5!AC19</f>
        <v>1.9454422730904166E+19</v>
      </c>
      <c r="L19" s="150">
        <f>mod.O5!AD19</f>
        <v>2.113182081066967E+21</v>
      </c>
      <c r="M19" s="150">
        <f>mod.O5!AE19</f>
        <v>7.7520607376573871E+20</v>
      </c>
      <c r="N19" s="150">
        <f>mod.O5!AF19</f>
        <v>1.315720067684982E+20</v>
      </c>
      <c r="O19" s="150">
        <f>mod.O5!AG19</f>
        <v>5.5756563866682458E+19</v>
      </c>
      <c r="P19" s="150">
        <f>mod.O5!AH19</f>
        <v>3.206588294657373E+19</v>
      </c>
      <c r="Q19" s="150">
        <f>mod.O5!AI19</f>
        <v>6.1876401506314822E+19</v>
      </c>
      <c r="R19" s="150">
        <f>mod.O5!AJ19</f>
        <v>1.60045541602182E+22</v>
      </c>
      <c r="T19" s="151">
        <f>mod.math.!Q19</f>
        <v>17</v>
      </c>
      <c r="U19" s="151">
        <f>mod.math.!R19</f>
        <v>1.4166666666666667</v>
      </c>
      <c r="V19" s="151">
        <f>mod.math.!S19</f>
        <v>44676000</v>
      </c>
      <c r="W19" s="151">
        <f>mod.math.!T19</f>
        <v>1.4219621591574815E+19</v>
      </c>
      <c r="X19" s="151">
        <f>mod.math.!U19</f>
        <v>2.1129992306123987E+21</v>
      </c>
      <c r="Y19" s="151">
        <f>mod.math.!V19</f>
        <v>7.7520174850137365E+20</v>
      </c>
      <c r="Z19" s="151">
        <f>mod.math.!W19</f>
        <v>1.3157212731562353E+20</v>
      </c>
      <c r="AA19" s="151">
        <f>mod.math.!X19</f>
        <v>5.5756533829655003E+19</v>
      </c>
      <c r="AB19" s="151">
        <f>mod.math.!Y19</f>
        <v>3.2065824434683339E+19</v>
      </c>
      <c r="AC19" s="151">
        <f>mod.math.!Z19</f>
        <v>6.1803220086237323E+19</v>
      </c>
      <c r="AD19" s="151">
        <f>mod.math.!AA19</f>
        <v>1.6004554023278358E+22</v>
      </c>
      <c r="AE19" s="146">
        <f>dragon!C19</f>
        <v>3.4</v>
      </c>
      <c r="AF19" s="144">
        <f>dragon!L19</f>
        <v>1.6853697804997732E+19</v>
      </c>
      <c r="AG19" s="144">
        <f>dragon!M19</f>
        <v>2.0188E+21</v>
      </c>
      <c r="AH19" s="144">
        <f>dragon!N19</f>
        <v>8.2538556353875083E+20</v>
      </c>
      <c r="AI19" s="144">
        <f>dragon!O19</f>
        <v>1.2077683680256777E+20</v>
      </c>
      <c r="AJ19" s="144">
        <f>dragon!P19</f>
        <v>5.9751661673934078E+19</v>
      </c>
      <c r="AK19" s="144">
        <f>dragon!Q19</f>
        <v>3.1561432941344834E+19</v>
      </c>
      <c r="AL19" s="144">
        <f>dragon!S19</f>
        <v>3.9636610630486204E+19</v>
      </c>
      <c r="AM19" s="144">
        <f>dragon!R19</f>
        <v>1.50673784070681E+22</v>
      </c>
      <c r="AN19" s="152"/>
      <c r="AO19" s="145"/>
      <c r="AP19" s="145"/>
      <c r="AQ19" s="145"/>
      <c r="AR19" s="145"/>
      <c r="AS19" s="145"/>
      <c r="AT19" s="145"/>
      <c r="AU19" s="145"/>
      <c r="AV19" s="145"/>
      <c r="AW19" s="145"/>
      <c r="AX19" s="145"/>
    </row>
    <row r="20" spans="1:50" ht="12.75" thickBot="1">
      <c r="A20" s="146">
        <f>mod.RK1!F20</f>
        <v>1.5</v>
      </c>
      <c r="B20" s="147">
        <f>mod.RK1!I20</f>
        <v>1.9873624005786468E+19</v>
      </c>
      <c r="C20" s="148">
        <f>mod.RK1!K20</f>
        <v>2.1093138241699654E+21</v>
      </c>
      <c r="D20" s="147">
        <f>mod.RK1!M20</f>
        <v>7.7824042576679233E+20</v>
      </c>
      <c r="E20" s="148">
        <f>mod.RK1!O20</f>
        <v>1.3051707331556083E+20</v>
      </c>
      <c r="F20" s="147">
        <f>mod.RK1!Q20</f>
        <v>5.6022039536918823E+19</v>
      </c>
      <c r="G20" s="148">
        <f>mod.RK1!S20</f>
        <v>3.2027845350350897E+19</v>
      </c>
      <c r="H20" s="147">
        <f>mod.RK1!W20</f>
        <v>6.0318807079642907E+19</v>
      </c>
      <c r="I20" s="148">
        <f>mod.RK1!Y20</f>
        <v>1.5957786731411046E+22</v>
      </c>
      <c r="J20" s="149">
        <f>mod.O5!U20</f>
        <v>1.5</v>
      </c>
      <c r="K20" s="150">
        <f>mod.O5!AC20</f>
        <v>1.9765951823517495E+19</v>
      </c>
      <c r="L20" s="150">
        <f>mod.O5!AD20</f>
        <v>2.1090840828050284E+21</v>
      </c>
      <c r="M20" s="150">
        <f>mod.O5!AE20</f>
        <v>7.7789445452329412E+20</v>
      </c>
      <c r="N20" s="150">
        <f>mod.O5!AF20</f>
        <v>1.308220487012659E+20</v>
      </c>
      <c r="O20" s="150">
        <f>mod.O5!AG20</f>
        <v>5.5979744525651198E+19</v>
      </c>
      <c r="P20" s="150">
        <f>mod.O5!AH20</f>
        <v>3.2009931601774174E+19</v>
      </c>
      <c r="Q20" s="150">
        <f>mod.O5!AI20</f>
        <v>6.0570689628049744E+19</v>
      </c>
      <c r="R20" s="150">
        <f>mod.O5!AJ20</f>
        <v>1.5958958025499415E+22</v>
      </c>
      <c r="T20" s="151">
        <f>mod.math.!Q20</f>
        <v>18</v>
      </c>
      <c r="U20" s="151">
        <f>mod.math.!R20</f>
        <v>1.5</v>
      </c>
      <c r="V20" s="151">
        <f>mod.math.!S20</f>
        <v>47304000</v>
      </c>
      <c r="W20" s="151">
        <f>mod.math.!T20</f>
        <v>1.4270434937467093E+19</v>
      </c>
      <c r="X20" s="151">
        <f>mod.math.!U20</f>
        <v>2.1088811899608092E+21</v>
      </c>
      <c r="Y20" s="151">
        <f>mod.math.!V20</f>
        <v>7.7788936014584676E+20</v>
      </c>
      <c r="Z20" s="151">
        <f>mod.math.!W20</f>
        <v>1.3082214807976354E+20</v>
      </c>
      <c r="AA20" s="151">
        <f>mod.math.!X20</f>
        <v>5.5979714763434426E+19</v>
      </c>
      <c r="AB20" s="151">
        <f>mod.math.!Y20</f>
        <v>3.2009874088717091E+19</v>
      </c>
      <c r="AC20" s="151">
        <f>mod.math.!Z20</f>
        <v>6.0494054639412314E+19</v>
      </c>
      <c r="AD20" s="151">
        <f>mod.math.!AA20</f>
        <v>1.5958957880356763E+22</v>
      </c>
      <c r="AE20" s="146">
        <f>dragon!C20</f>
        <v>3.6</v>
      </c>
      <c r="AF20" s="144">
        <f>dragon!L20</f>
        <v>1.7253973127866427E+19</v>
      </c>
      <c r="AG20" s="144">
        <f>dragon!M20</f>
        <v>2.0083000000000004E+21</v>
      </c>
      <c r="AH20" s="144">
        <f>dragon!N20</f>
        <v>8.2990625125800949E+20</v>
      </c>
      <c r="AI20" s="144">
        <f>dragon!O20</f>
        <v>1.2024641151664334E+20</v>
      </c>
      <c r="AJ20" s="144">
        <f>dragon!P20</f>
        <v>6.0111623456596967E+19</v>
      </c>
      <c r="AK20" s="144">
        <f>dragon!Q20</f>
        <v>3.1385936536767664E+19</v>
      </c>
      <c r="AL20" s="144">
        <f>dragon!S20</f>
        <v>3.7726171760701489E+19</v>
      </c>
      <c r="AM20" s="144">
        <f>dragon!R20</f>
        <v>1.4967462104633962E+22</v>
      </c>
      <c r="AN20" s="152"/>
      <c r="AO20" s="145"/>
      <c r="AP20" s="145"/>
      <c r="AQ20" s="145"/>
      <c r="AR20" s="145"/>
      <c r="AS20" s="145"/>
      <c r="AT20" s="145"/>
      <c r="AU20" s="145"/>
      <c r="AV20" s="145"/>
      <c r="AW20" s="145"/>
      <c r="AX20" s="145"/>
    </row>
    <row r="21" spans="1:50" ht="12.75" thickBot="1">
      <c r="A21" s="146">
        <f>mod.RK1!F21</f>
        <v>1.5833333333333333</v>
      </c>
      <c r="B21" s="147">
        <f>mod.RK1!I21</f>
        <v>2.0176429232608805E+19</v>
      </c>
      <c r="C21" s="148">
        <f>mod.RK1!K21</f>
        <v>2.1051961986555039E+21</v>
      </c>
      <c r="D21" s="147">
        <f>mod.RK1!M21</f>
        <v>7.8090784784373947E+20</v>
      </c>
      <c r="E21" s="148">
        <f>mod.RK1!O21</f>
        <v>1.2979462413679564E+20</v>
      </c>
      <c r="F21" s="147">
        <f>mod.RK1!Q21</f>
        <v>5.6241387694707319E+19</v>
      </c>
      <c r="G21" s="148">
        <f>mod.RK1!S21</f>
        <v>3.1969349882586104E+19</v>
      </c>
      <c r="H21" s="147">
        <f>mod.RK1!W21</f>
        <v>5.9032412055561888E+19</v>
      </c>
      <c r="I21" s="148">
        <f>mod.RK1!Y21</f>
        <v>1.591225895071243E+22</v>
      </c>
      <c r="J21" s="149">
        <f>mod.O5!U21</f>
        <v>1.5833333333333333</v>
      </c>
      <c r="K21" s="150">
        <f>mod.O5!AC21</f>
        <v>2.0065696568771265E+19</v>
      </c>
      <c r="L21" s="150">
        <f>mod.O5!AD21</f>
        <v>2.1049610021807587E+21</v>
      </c>
      <c r="M21" s="150">
        <f>mod.O5!AE21</f>
        <v>7.8054453399798966E+20</v>
      </c>
      <c r="N21" s="150">
        <f>mod.O5!AF21</f>
        <v>1.3010537093386576E+20</v>
      </c>
      <c r="O21" s="150">
        <f>mod.O5!AG21</f>
        <v>5.6198308374962225E+19</v>
      </c>
      <c r="P21" s="150">
        <f>mod.O5!AH21</f>
        <v>3.195206369572234E+19</v>
      </c>
      <c r="Q21" s="150">
        <f>mod.O5!AI21</f>
        <v>5.9292626280606876E+19</v>
      </c>
      <c r="R21" s="150">
        <f>mod.O5!AJ21</f>
        <v>1.5913491791833058E+22</v>
      </c>
      <c r="T21" s="151">
        <f>mod.math.!Q21</f>
        <v>19</v>
      </c>
      <c r="U21" s="151">
        <f>mod.math.!R21</f>
        <v>1.5833333333333333</v>
      </c>
      <c r="V21" s="151">
        <f>mod.math.!S21</f>
        <v>49932000</v>
      </c>
      <c r="W21" s="151">
        <f>mod.math.!T21</f>
        <v>1.4314364912990298E+19</v>
      </c>
      <c r="X21" s="151">
        <f>mod.math.!U21</f>
        <v>2.1047373041035059E+21</v>
      </c>
      <c r="Y21" s="151">
        <f>mod.math.!V21</f>
        <v>7.8053859157654805E+20</v>
      </c>
      <c r="Z21" s="151">
        <f>mod.math.!W21</f>
        <v>1.3010544861030072E+20</v>
      </c>
      <c r="AA21" s="151">
        <f>mod.math.!X21</f>
        <v>5.6198278469574164E+19</v>
      </c>
      <c r="AB21" s="151">
        <f>mod.math.!Y21</f>
        <v>3.1952006434506555E+19</v>
      </c>
      <c r="AC21" s="151">
        <f>mod.math.!Z21</f>
        <v>5.9212620986574242E+19</v>
      </c>
      <c r="AD21" s="151">
        <f>mod.math.!AA21</f>
        <v>1.5913491638477476E+22</v>
      </c>
      <c r="AE21" s="146">
        <f>dragon!C21</f>
        <v>3.8</v>
      </c>
      <c r="AF21" s="144">
        <f>dragon!L21</f>
        <v>1.7648229272947626E+19</v>
      </c>
      <c r="AG21" s="144">
        <f>dragon!M21</f>
        <v>1.9976999999999999E+21</v>
      </c>
      <c r="AH21" s="144">
        <f>dragon!N21</f>
        <v>8.3426691463322324E+20</v>
      </c>
      <c r="AI21" s="144">
        <f>dragon!O21</f>
        <v>1.1978604240055797E+20</v>
      </c>
      <c r="AJ21" s="144">
        <f>dragon!P21</f>
        <v>6.0462611122794562E+19</v>
      </c>
      <c r="AK21" s="144">
        <f>dragon!Q21</f>
        <v>3.1207448716203377E+19</v>
      </c>
      <c r="AL21" s="144">
        <f>dragon!S21</f>
        <v>3.5901662672716722E+19</v>
      </c>
      <c r="AM21" s="144">
        <f>dragon!R21</f>
        <v>1.4867545802199823E+22</v>
      </c>
      <c r="AN21" s="152"/>
      <c r="AO21" s="145"/>
      <c r="AP21" s="145"/>
      <c r="AQ21" s="145"/>
      <c r="AR21" s="145"/>
      <c r="AS21" s="145"/>
      <c r="AT21" s="145"/>
      <c r="AU21" s="145"/>
      <c r="AV21" s="145"/>
      <c r="AW21" s="145"/>
      <c r="AX21" s="145"/>
    </row>
    <row r="22" spans="1:50" ht="12.75" thickBot="1">
      <c r="A22" s="146">
        <f>mod.RK1!F22</f>
        <v>1.6666666666666667</v>
      </c>
      <c r="B22" s="147">
        <f>mod.RK1!I22</f>
        <v>2.0467505324872086E+19</v>
      </c>
      <c r="C22" s="148">
        <f>mod.RK1!K22</f>
        <v>2.1010536274360787E+21</v>
      </c>
      <c r="D22" s="147">
        <f>mod.RK1!M22</f>
        <v>7.8353695354547785E+20</v>
      </c>
      <c r="E22" s="148">
        <f>mod.RK1!O22</f>
        <v>1.29105123801236E+20</v>
      </c>
      <c r="F22" s="147">
        <f>mod.RK1!Q22</f>
        <v>5.6456169715171639E+19</v>
      </c>
      <c r="G22" s="148">
        <f>mod.RK1!S22</f>
        <v>3.1909009335371092E+19</v>
      </c>
      <c r="H22" s="147">
        <f>mod.RK1!W22</f>
        <v>5.7773549370633044E+19</v>
      </c>
      <c r="I22" s="148">
        <f>mod.RK1!Y22</f>
        <v>1.5866861061444389E+22</v>
      </c>
      <c r="J22" s="149">
        <f>mod.O5!U22</f>
        <v>1.6666666666666667</v>
      </c>
      <c r="K22" s="150">
        <f>mod.O5!AC22</f>
        <v>2.0353959137612653E+19</v>
      </c>
      <c r="L22" s="150">
        <f>mod.O5!AD22</f>
        <v>2.1008135964593003E+21</v>
      </c>
      <c r="M22" s="150">
        <f>mod.O5!AE22</f>
        <v>7.8315651089586507E+20</v>
      </c>
      <c r="N22" s="150">
        <f>mod.O5!AF22</f>
        <v>1.2942082277309968E+20</v>
      </c>
      <c r="O22" s="150">
        <f>mod.O5!AG22</f>
        <v>5.6412416341877375E+19</v>
      </c>
      <c r="P22" s="150">
        <f>mod.O5!AH22</f>
        <v>3.189244510353517E+19</v>
      </c>
      <c r="Q22" s="150">
        <f>mod.O5!AI22</f>
        <v>5.8041625427182952E+19</v>
      </c>
      <c r="R22" s="150">
        <f>mod.O5!AJ22</f>
        <v>1.5868155089136669E+22</v>
      </c>
      <c r="T22" s="151">
        <f>mod.math.!Q22</f>
        <v>20</v>
      </c>
      <c r="U22" s="151">
        <f>mod.math.!R22</f>
        <v>1.6666666666666667</v>
      </c>
      <c r="V22" s="151">
        <f>mod.math.!S22</f>
        <v>52560000</v>
      </c>
      <c r="W22" s="151">
        <f>mod.math.!T22</f>
        <v>1.4351653119522128E+19</v>
      </c>
      <c r="X22" s="151">
        <f>mod.math.!U22</f>
        <v>2.1005683671713983E+21</v>
      </c>
      <c r="Y22" s="151">
        <f>mod.math.!V22</f>
        <v>7.8314963911246597E+20</v>
      </c>
      <c r="Z22" s="151">
        <f>mod.math.!W22</f>
        <v>1.2942087969807119E+20</v>
      </c>
      <c r="AA22" s="151">
        <f>mod.math.!X22</f>
        <v>5.6412385599911592E+19</v>
      </c>
      <c r="AB22" s="151">
        <f>mod.math.!Y22</f>
        <v>3.1892386821849555E+19</v>
      </c>
      <c r="AC22" s="151">
        <f>mod.math.!Z22</f>
        <v>5.7958331690589307E+19</v>
      </c>
      <c r="AD22" s="151">
        <f>mod.math.!AA22</f>
        <v>1.5868154927559177E+22</v>
      </c>
      <c r="AE22" s="146">
        <f>dragon!C22</f>
        <v>4</v>
      </c>
      <c r="AF22" s="144">
        <f>dragon!L22</f>
        <v>1.8036466240241322E+19</v>
      </c>
      <c r="AG22" s="144">
        <f>dragon!M22</f>
        <v>1.987E+21</v>
      </c>
      <c r="AH22" s="144">
        <f>dragon!N22</f>
        <v>8.3845755214288965E+20</v>
      </c>
      <c r="AI22" s="144">
        <f>dragon!O22</f>
        <v>1.1941574550283713E+20</v>
      </c>
      <c r="AJ22" s="144">
        <f>dragon!P22</f>
        <v>6.0803627548475171E+19</v>
      </c>
      <c r="AK22" s="144">
        <f>dragon!Q22</f>
        <v>3.1026966618314351E+19</v>
      </c>
      <c r="AL22" s="144">
        <f>dragon!S22</f>
        <v>3.4157088265476084E+19</v>
      </c>
      <c r="AM22" s="144">
        <f>dragon!R22</f>
        <v>1.4767629499765686E+22</v>
      </c>
      <c r="AN22" s="152"/>
      <c r="AO22" s="145"/>
      <c r="AP22" s="145"/>
      <c r="AQ22" s="145"/>
      <c r="AR22" s="145"/>
      <c r="AS22" s="145"/>
      <c r="AT22" s="145"/>
      <c r="AU22" s="145"/>
      <c r="AV22" s="145"/>
      <c r="AW22" s="145"/>
      <c r="AX22" s="145"/>
    </row>
    <row r="23" spans="1:50" ht="12.75" thickBot="1">
      <c r="A23" s="146">
        <f>mod.RK1!F23</f>
        <v>1.75</v>
      </c>
      <c r="B23" s="147">
        <f>mod.RK1!I23</f>
        <v>2.0747156819425559E+19</v>
      </c>
      <c r="C23" s="148">
        <f>mod.RK1!K23</f>
        <v>2.0968868723890735E+21</v>
      </c>
      <c r="D23" s="147">
        <f>mod.RK1!M23</f>
        <v>7.8612794155712669E+20</v>
      </c>
      <c r="E23" s="148">
        <f>mod.RK1!O23</f>
        <v>1.284474154885843E+20</v>
      </c>
      <c r="F23" s="147">
        <f>mod.RK1!Q23</f>
        <v>5.6666547436800205E+19</v>
      </c>
      <c r="G23" s="148">
        <f>mod.RK1!S23</f>
        <v>3.1846990255432958E+19</v>
      </c>
      <c r="H23" s="147">
        <f>mod.RK1!W23</f>
        <v>5.6541629487295857E+19</v>
      </c>
      <c r="I23" s="148">
        <f>mod.RK1!Y23</f>
        <v>1.5821592693024148E+22</v>
      </c>
      <c r="J23" s="149">
        <f>mod.O5!U23</f>
        <v>1.75</v>
      </c>
      <c r="K23" s="150">
        <f>mod.O5!AC23</f>
        <v>2.0631035735203795E+19</v>
      </c>
      <c r="L23" s="150">
        <f>mod.O5!AD23</f>
        <v>2.0966426083972235E+21</v>
      </c>
      <c r="M23" s="150">
        <f>mod.O5!AE23</f>
        <v>7.8573058543342636E+20</v>
      </c>
      <c r="N23" s="150">
        <f>mod.O5!AF23</f>
        <v>1.2876728771494011E+20</v>
      </c>
      <c r="O23" s="150">
        <f>mod.O5!AG23</f>
        <v>5.6622224131327672E+19</v>
      </c>
      <c r="P23" s="150">
        <f>mod.O5!AH23</f>
        <v>3.1831234455904383E+19</v>
      </c>
      <c r="Q23" s="150">
        <f>mod.O5!AI23</f>
        <v>5.681711328527174E+19</v>
      </c>
      <c r="R23" s="150">
        <f>mod.O5!AJ23</f>
        <v>1.5822947548381944E+22</v>
      </c>
      <c r="T23" s="151">
        <f>mod.math.!Q23</f>
        <v>21</v>
      </c>
      <c r="U23" s="151">
        <f>mod.math.!R23</f>
        <v>1.75</v>
      </c>
      <c r="V23" s="151">
        <f>mod.math.!S23</f>
        <v>55188000</v>
      </c>
      <c r="W23" s="151">
        <f>mod.math.!T23</f>
        <v>1.438253446045592E+19</v>
      </c>
      <c r="X23" s="151">
        <f>mod.math.!U23</f>
        <v>2.0963751576315715E+21</v>
      </c>
      <c r="Y23" s="151">
        <f>mod.math.!V23</f>
        <v>7.8572270080166343E+20</v>
      </c>
      <c r="Z23" s="151">
        <f>mod.math.!W23</f>
        <v>1.2876732721998756E+20</v>
      </c>
      <c r="AA23" s="151">
        <f>mod.math.!X23</f>
        <v>5.6622191445700051E+19</v>
      </c>
      <c r="AB23" s="151">
        <f>mod.math.!Y23</f>
        <v>3.1831173087711117E+19</v>
      </c>
      <c r="AC23" s="151">
        <f>mod.math.!Z23</f>
        <v>5.6730611757888913E+19</v>
      </c>
      <c r="AD23" s="151">
        <f>mod.math.!AA23</f>
        <v>1.5822947378574892E+22</v>
      </c>
      <c r="AE23" s="146">
        <f>dragon!C23</f>
        <v>4.2</v>
      </c>
      <c r="AF23" s="144">
        <f>dragon!L23</f>
        <v>1.8416677637151689E+19</v>
      </c>
      <c r="AG23" s="144">
        <f>dragon!M23</f>
        <v>1.9762E+21</v>
      </c>
      <c r="AH23" s="144">
        <f>dragon!N23</f>
        <v>8.424981668300144E+20</v>
      </c>
      <c r="AI23" s="144">
        <f>dragon!O23</f>
        <v>1.1910549675069266E+20</v>
      </c>
      <c r="AJ23" s="144">
        <f>dragon!P23</f>
        <v>6.1137664105793913E+19</v>
      </c>
      <c r="AK23" s="144">
        <f>dragon!Q23</f>
        <v>3.0844490243100582E+19</v>
      </c>
      <c r="AL23" s="144">
        <f>dragon!S23</f>
        <v>3.2491449355470275E+19</v>
      </c>
      <c r="AM23" s="144">
        <f>dragon!R23</f>
        <v>1.4668712360355889E+22</v>
      </c>
      <c r="AN23" s="152"/>
      <c r="AO23" s="145"/>
      <c r="AP23" s="145"/>
      <c r="AQ23" s="145"/>
      <c r="AR23" s="145"/>
      <c r="AS23" s="145"/>
      <c r="AT23" s="145"/>
      <c r="AU23" s="145"/>
      <c r="AV23" s="145"/>
      <c r="AW23" s="145"/>
      <c r="AX23" s="145"/>
    </row>
    <row r="24" spans="1:50" ht="12.75" thickBot="1">
      <c r="A24" s="146">
        <f>mod.RK1!F24</f>
        <v>1.8333333333333333</v>
      </c>
      <c r="B24" s="147">
        <f>mod.RK1!I24</f>
        <v>2.1015682230502478E+19</v>
      </c>
      <c r="C24" s="148">
        <f>mod.RK1!K24</f>
        <v>2.0926966805188371E+21</v>
      </c>
      <c r="D24" s="147">
        <f>mod.RK1!M24</f>
        <v>7.8868101217901622E+20</v>
      </c>
      <c r="E24" s="148">
        <f>mod.RK1!O24</f>
        <v>1.2782037823523308E+20</v>
      </c>
      <c r="F24" s="147">
        <f>mod.RK1!Q24</f>
        <v>5.6872677218359304E+19</v>
      </c>
      <c r="G24" s="148">
        <f>mod.RK1!S24</f>
        <v>3.1783451484019261E+19</v>
      </c>
      <c r="H24" s="147">
        <f>mod.RK1!W24</f>
        <v>5.533607549203728E+19</v>
      </c>
      <c r="I24" s="148">
        <f>mod.RK1!Y24</f>
        <v>1.5776453475926234E+22</v>
      </c>
      <c r="J24" s="149">
        <f>mod.O5!U24</f>
        <v>1.8333333333333333</v>
      </c>
      <c r="K24" s="150">
        <f>mod.O5!AC24</f>
        <v>2.0897216670119018E+19</v>
      </c>
      <c r="L24" s="150">
        <f>mod.O5!AD24</f>
        <v>2.0924487665521428E+21</v>
      </c>
      <c r="M24" s="150">
        <f>mod.O5!AE24</f>
        <v>7.882669592511679E+20</v>
      </c>
      <c r="N24" s="150">
        <f>mod.O5!AF24</f>
        <v>1.281436821418051E+20</v>
      </c>
      <c r="O24" s="150">
        <f>mod.O5!AG24</f>
        <v>5.6827882427719123E+19</v>
      </c>
      <c r="P24" s="150">
        <f>mod.O5!AH24</f>
        <v>3.176858349097078E+19</v>
      </c>
      <c r="Q24" s="150">
        <f>mod.O5!AI24</f>
        <v>5.5618528017993736E+19</v>
      </c>
      <c r="R24" s="150">
        <f>mod.O5!AJ24</f>
        <v>1.5777868801591663E+22</v>
      </c>
      <c r="T24" s="151">
        <f>mod.math.!Q24</f>
        <v>22</v>
      </c>
      <c r="U24" s="151">
        <f>mod.math.!R24</f>
        <v>1.8333333333333333</v>
      </c>
      <c r="V24" s="151">
        <f>mod.math.!S24</f>
        <v>57816000</v>
      </c>
      <c r="W24" s="151">
        <f>mod.math.!T24</f>
        <v>1.44072373091497E+19</v>
      </c>
      <c r="X24" s="151">
        <f>mod.math.!U24</f>
        <v>2.0921584385728019E+21</v>
      </c>
      <c r="Y24" s="151">
        <f>mod.math.!V24</f>
        <v>7.8825797634300078E+20</v>
      </c>
      <c r="Z24" s="151">
        <f>mod.math.!W24</f>
        <v>1.281437110993592E+20</v>
      </c>
      <c r="AA24" s="151">
        <f>mod.math.!X24</f>
        <v>5.682784609933738E+19</v>
      </c>
      <c r="AB24" s="151">
        <f>mod.math.!Y24</f>
        <v>3.176851583024989E+19</v>
      </c>
      <c r="AC24" s="151">
        <f>mod.math.!Z24</f>
        <v>5.5528898374880059E+19</v>
      </c>
      <c r="AD24" s="151">
        <f>mod.math.!AA24</f>
        <v>1.5777868623548976E+22</v>
      </c>
      <c r="AE24" s="146">
        <f>dragon!C24</f>
        <v>4.4000000000000004</v>
      </c>
      <c r="AF24" s="144">
        <f>dragon!L24</f>
        <v>1.8789866659976638E+19</v>
      </c>
      <c r="AG24" s="144">
        <f>dragon!M24</f>
        <v>1.9653000000000001E+21</v>
      </c>
      <c r="AH24" s="144">
        <f>dragon!N24</f>
        <v>8.463687556515918E+20</v>
      </c>
      <c r="AI24" s="144">
        <f>dragon!O24</f>
        <v>1.1885529614412451E+20</v>
      </c>
      <c r="AJ24" s="144">
        <f>dragon!P24</f>
        <v>6.1463723670699065E+19</v>
      </c>
      <c r="AK24" s="144">
        <f>dragon!Q24</f>
        <v>3.066101672922445E+19</v>
      </c>
      <c r="AL24" s="144">
        <f>dragon!S24</f>
        <v>3.0900749208662086E+19</v>
      </c>
      <c r="AM24" s="144">
        <f>dragon!R24</f>
        <v>1.4568796057921749E+22</v>
      </c>
      <c r="AN24" s="152"/>
      <c r="AO24" s="145"/>
      <c r="AP24" s="145"/>
      <c r="AQ24" s="145"/>
      <c r="AR24" s="145"/>
      <c r="AS24" s="145"/>
      <c r="AT24" s="145"/>
      <c r="AU24" s="145"/>
      <c r="AV24" s="145"/>
      <c r="AW24" s="145"/>
      <c r="AX24" s="145"/>
    </row>
    <row r="25" spans="1:50" ht="12.75" thickBot="1">
      <c r="A25" s="146">
        <f>mod.RK1!F25</f>
        <v>1.9166666666666667</v>
      </c>
      <c r="B25" s="147">
        <f>mod.RK1!I25</f>
        <v>2.1273374125224309E+19</v>
      </c>
      <c r="C25" s="148">
        <f>mod.RK1!K25</f>
        <v>2.0884837842318375E+21</v>
      </c>
      <c r="D25" s="147">
        <f>mod.RK1!M25</f>
        <v>7.911963672517091E+20</v>
      </c>
      <c r="E25" s="148">
        <f>mod.RK1!O25</f>
        <v>1.2722292585511811E+20</v>
      </c>
      <c r="F25" s="147">
        <f>mod.RK1!Q25</f>
        <v>5.707471010657715E+19</v>
      </c>
      <c r="G25" s="148">
        <f>mod.RK1!S25</f>
        <v>3.1718544442171183E+19</v>
      </c>
      <c r="H25" s="147">
        <f>mod.RK1!W25</f>
        <v>5.4156322825070477E+19</v>
      </c>
      <c r="I25" s="148">
        <f>mod.RK1!Y25</f>
        <v>1.5731443041679459E+22</v>
      </c>
      <c r="J25" s="149">
        <f>mod.O5!U25</f>
        <v>1.9166666666666667</v>
      </c>
      <c r="K25" s="150">
        <f>mod.O5!AC25</f>
        <v>2.1152786423541907E+19</v>
      </c>
      <c r="L25" s="150">
        <f>mod.O5!AD25</f>
        <v>2.0882327855923336E+21</v>
      </c>
      <c r="M25" s="150">
        <f>mod.O5!AE25</f>
        <v>7.9076583532709544E+20</v>
      </c>
      <c r="N25" s="150">
        <f>mod.O5!AF25</f>
        <v>1.2754895401983307E+20</v>
      </c>
      <c r="O25" s="150">
        <f>mod.O5!AG25</f>
        <v>5.7029537096738398E+19</v>
      </c>
      <c r="P25" s="150">
        <f>mod.O5!AH25</f>
        <v>3.1704637406198501E+19</v>
      </c>
      <c r="Q25" s="150">
        <f>mod.O5!AI25</f>
        <v>5.4445319425425826E+19</v>
      </c>
      <c r="R25" s="150">
        <f>mod.O5!AJ25</f>
        <v>1.5732918481836627E+22</v>
      </c>
      <c r="T25" s="151">
        <f>mod.math.!Q25</f>
        <v>23</v>
      </c>
      <c r="U25" s="151">
        <f>mod.math.!R25</f>
        <v>1.9166666666666667</v>
      </c>
      <c r="V25" s="151">
        <f>mod.math.!S25</f>
        <v>60444000</v>
      </c>
      <c r="W25" s="151">
        <f>mod.math.!T25</f>
        <v>1.4425983672887386E+19</v>
      </c>
      <c r="X25" s="151">
        <f>mod.math.!U25</f>
        <v>2.0879189579861181E+21</v>
      </c>
      <c r="Y25" s="151">
        <f>mod.math.!V25</f>
        <v>7.9075566700965488E+20</v>
      </c>
      <c r="Z25" s="151">
        <f>mod.math.!W25</f>
        <v>1.2754898429690908E+20</v>
      </c>
      <c r="AA25" s="151">
        <f>mod.math.!X25</f>
        <v>5.7029494611385844E+19</v>
      </c>
      <c r="AB25" s="151">
        <f>mod.math.!Y25</f>
        <v>3.1704558673793942E+19</v>
      </c>
      <c r="AC25" s="151">
        <f>mod.math.!Z25</f>
        <v>5.4352640649939304E+19</v>
      </c>
      <c r="AD25" s="151">
        <f>mod.math.!AA25</f>
        <v>1.5732918295554135E+22</v>
      </c>
      <c r="AE25" s="146">
        <f>dragon!C25</f>
        <v>4.5999999999999996</v>
      </c>
      <c r="AF25" s="144">
        <f>dragon!L25</f>
        <v>1.9155030112418255E+19</v>
      </c>
      <c r="AG25" s="144">
        <f>dragon!M25</f>
        <v>1.9542999999999999E+21</v>
      </c>
      <c r="AH25" s="144">
        <f>dragon!N25</f>
        <v>8.500793201291247E+20</v>
      </c>
      <c r="AI25" s="144">
        <f>dragon!O25</f>
        <v>1.1866514368313275E+20</v>
      </c>
      <c r="AJ25" s="144">
        <f>dragon!P25</f>
        <v>6.1782803367242342E+19</v>
      </c>
      <c r="AK25" s="144">
        <f>dragon!Q25</f>
        <v>3.0477543215348318E+19</v>
      </c>
      <c r="AL25" s="144">
        <f>dragon!S25</f>
        <v>2.9381990274523611E+19</v>
      </c>
      <c r="AM25" s="144">
        <f>dragon!R25</f>
        <v>1.4469878918511952E+22</v>
      </c>
      <c r="AN25" s="152"/>
      <c r="AO25" s="145"/>
      <c r="AP25" s="145"/>
      <c r="AQ25" s="145"/>
      <c r="AR25" s="145"/>
      <c r="AS25" s="145"/>
      <c r="AT25" s="145"/>
      <c r="AU25" s="145"/>
      <c r="AV25" s="145"/>
      <c r="AW25" s="145"/>
      <c r="AX25" s="145"/>
    </row>
    <row r="26" spans="1:50" ht="12.75" thickBot="1">
      <c r="A26" s="146">
        <f>mod.RK1!F26</f>
        <v>2</v>
      </c>
      <c r="B26" s="147">
        <f>mod.RK1!I26</f>
        <v>2.152051919968981E+19</v>
      </c>
      <c r="C26" s="148">
        <f>mod.RK1!K26</f>
        <v>2.0842489016066019E+21</v>
      </c>
      <c r="D26" s="147">
        <f>mod.RK1!M26</f>
        <v>7.9367421008276554E+20</v>
      </c>
      <c r="E26" s="148">
        <f>mod.RK1!O26</f>
        <v>1.2665400589294041E+20</v>
      </c>
      <c r="F26" s="147">
        <f>mod.RK1!Q26</f>
        <v>5.7272791998874051E+19</v>
      </c>
      <c r="G26" s="148">
        <f>mod.RK1!S26</f>
        <v>3.165241340643668E+19</v>
      </c>
      <c r="H26" s="147">
        <f>mod.RK1!W26</f>
        <v>5.3001819015801881E+19</v>
      </c>
      <c r="I26" s="148">
        <f>mod.RK1!Y26</f>
        <v>1.5686561022863911E+22</v>
      </c>
      <c r="J26" s="149">
        <f>mod.O5!U26</f>
        <v>2</v>
      </c>
      <c r="K26" s="150">
        <f>mod.O5!AC26</f>
        <v>2.1398023718462448E+19</v>
      </c>
      <c r="L26" s="150">
        <f>mod.O5!AD26</f>
        <v>2.0839953666063511E+21</v>
      </c>
      <c r="M26" s="150">
        <f>mod.O5!AE26</f>
        <v>7.9322741789024675E+20</v>
      </c>
      <c r="N26" s="150">
        <f>mod.O5!AF26</f>
        <v>1.2698208159615767E+20</v>
      </c>
      <c r="O26" s="150">
        <f>mod.O5!AG26</f>
        <v>5.7227329387158503E+19</v>
      </c>
      <c r="P26" s="150">
        <f>mod.O5!AH26</f>
        <v>3.1639535210249282E+19</v>
      </c>
      <c r="Q26" s="150">
        <f>mod.O5!AI26</f>
        <v>5.3296948635930984E+19</v>
      </c>
      <c r="R26" s="150">
        <f>mod.O5!AJ26</f>
        <v>1.568809622323257E+22</v>
      </c>
      <c r="T26" s="151">
        <f>mod.math.!Q26</f>
        <v>24</v>
      </c>
      <c r="U26" s="151">
        <f>mod.math.!R26</f>
        <v>2</v>
      </c>
      <c r="V26" s="151">
        <f>mod.math.!S26</f>
        <v>63072000</v>
      </c>
      <c r="W26" s="151">
        <f>mod.math.!T26</f>
        <v>1.4438989352943985E+19</v>
      </c>
      <c r="X26" s="151">
        <f>mod.math.!U26</f>
        <v>2.0836574490404764E+21</v>
      </c>
      <c r="Y26" s="151">
        <f>mod.math.!V26</f>
        <v>7.9321597557439883E+20</v>
      </c>
      <c r="Z26" s="151">
        <f>mod.math.!W26</f>
        <v>1.2698213183157833E+20</v>
      </c>
      <c r="AA26" s="151">
        <f>mod.math.!X26</f>
        <v>5.7227277143026303E+19</v>
      </c>
      <c r="AB26" s="151">
        <f>mod.math.!Y26</f>
        <v>3.1639438525051093E+19</v>
      </c>
      <c r="AC26" s="151">
        <f>mod.math.!Z26</f>
        <v>5.3201299360872022E+19</v>
      </c>
      <c r="AD26" s="151">
        <f>mod.math.!AA26</f>
        <v>1.5688096028708431E+22</v>
      </c>
      <c r="AE26" s="146">
        <f>dragon!C26</f>
        <v>4.8</v>
      </c>
      <c r="AF26" s="144">
        <f>dragon!L26</f>
        <v>1.951216799447654E+19</v>
      </c>
      <c r="AG26" s="144">
        <f>dragon!M26</f>
        <v>1.9432E+21</v>
      </c>
      <c r="AH26" s="144">
        <f>dragon!N26</f>
        <v>8.5362986026261296E+20</v>
      </c>
      <c r="AI26" s="144">
        <f>dragon!O26</f>
        <v>1.185250313434546E+20</v>
      </c>
      <c r="AJ26" s="144">
        <f>dragon!P26</f>
        <v>6.2095900319475417E+19</v>
      </c>
      <c r="AK26" s="144">
        <f>dragon!Q26</f>
        <v>3.0294069701472178E+19</v>
      </c>
      <c r="AL26" s="144">
        <f>dragon!S26</f>
        <v>2.7932175002526953E+19</v>
      </c>
      <c r="AM26" s="144">
        <f>dragon!R26</f>
        <v>1.4370961779102155E+22</v>
      </c>
      <c r="AN26" s="152"/>
      <c r="AO26" s="145"/>
      <c r="AP26" s="145"/>
      <c r="AQ26" s="145"/>
      <c r="AR26" s="145"/>
      <c r="AS26" s="145"/>
      <c r="AT26" s="145"/>
      <c r="AU26" s="145"/>
      <c r="AV26" s="145"/>
      <c r="AW26" s="145"/>
      <c r="AX26" s="145"/>
    </row>
    <row r="27" spans="1:50" ht="12.75" thickBot="1">
      <c r="A27" s="146">
        <f>mod.RK1!F27</f>
        <v>2.0833333333333335</v>
      </c>
      <c r="B27" s="147">
        <f>mod.RK1!I27</f>
        <v>2.1757398355562242E+19</v>
      </c>
      <c r="C27" s="148">
        <f>mod.RK1!K27</f>
        <v>2.0799927366585494E+21</v>
      </c>
      <c r="D27" s="147">
        <f>mod.RK1!M27</f>
        <v>7.9611474537521676E+20</v>
      </c>
      <c r="E27" s="148">
        <f>mod.RK1!O27</f>
        <v>1.2611259860878372E+20</v>
      </c>
      <c r="F27" s="147">
        <f>mod.RK1!Q27</f>
        <v>5.7467063801284682E+19</v>
      </c>
      <c r="G27" s="148">
        <f>mod.RK1!S27</f>
        <v>3.1585195775328662E+19</v>
      </c>
      <c r="H27" s="147">
        <f>mod.RK1!W27</f>
        <v>5.1872023423962694E+19</v>
      </c>
      <c r="I27" s="148">
        <f>mod.RK1!Y27</f>
        <v>1.5641807053107954E+22</v>
      </c>
      <c r="J27" s="149">
        <f>mod.O5!U27</f>
        <v>2.0833333333333335</v>
      </c>
      <c r="K27" s="150">
        <f>mod.O5!AC27</f>
        <v>2.1633204611790545E+19</v>
      </c>
      <c r="L27" s="150">
        <f>mod.O5!AD27</f>
        <v>2.0797371823802873E+21</v>
      </c>
      <c r="M27" s="150">
        <f>mod.O5!AE27</f>
        <v>7.9565191734551446E+20</v>
      </c>
      <c r="N27" s="150">
        <f>mod.O5!AF27</f>
        <v>1.2644217065221063E+20</v>
      </c>
      <c r="O27" s="150">
        <f>mod.O5!AG27</f>
        <v>5.7421381101686874E+19</v>
      </c>
      <c r="P27" s="150">
        <f>mod.O5!AH27</f>
        <v>3.1573380656958255E+19</v>
      </c>
      <c r="Q27" s="150">
        <f>mod.O5!AI27</f>
        <v>5.2172904528232202E+19</v>
      </c>
      <c r="R27" s="150">
        <f>mod.O5!AJ27</f>
        <v>1.5643401660959549E+22</v>
      </c>
      <c r="T27" s="151">
        <f>mod.math.!Q27</f>
        <v>25</v>
      </c>
      <c r="U27" s="151">
        <f>mod.math.!R27</f>
        <v>2.0833333333333335</v>
      </c>
      <c r="V27" s="151">
        <f>mod.math.!S27</f>
        <v>65700000</v>
      </c>
      <c r="W27" s="151">
        <f>mod.math.!T27</f>
        <v>1.4446464100844282E+19</v>
      </c>
      <c r="X27" s="151">
        <f>mod.math.!U27</f>
        <v>2.079374630353639E+21</v>
      </c>
      <c r="Y27" s="151">
        <f>mod.math.!V27</f>
        <v>7.9563910623660763E+20</v>
      </c>
      <c r="Z27" s="151">
        <f>mod.math.!W27</f>
        <v>1.264421698302375E+20</v>
      </c>
      <c r="AA27" s="151">
        <f>mod.math.!X27</f>
        <v>5.7421329114073399E+19</v>
      </c>
      <c r="AB27" s="151">
        <f>mod.math.!Y27</f>
        <v>3.1573285820829344E+19</v>
      </c>
      <c r="AC27" s="151">
        <f>mod.math.!Z27</f>
        <v>5.2074346707721232E+19</v>
      </c>
      <c r="AD27" s="151">
        <f>mod.math.!AA27</f>
        <v>1.5643401458172304E+22</v>
      </c>
      <c r="AE27" s="146">
        <f>dragon!C27</f>
        <v>5</v>
      </c>
      <c r="AF27" s="144">
        <f>dragon!L27</f>
        <v>1.9861280306151494E+19</v>
      </c>
      <c r="AG27" s="144">
        <f>dragon!M27</f>
        <v>1.9320999999999999E+21</v>
      </c>
      <c r="AH27" s="144">
        <f>dragon!N27</f>
        <v>8.5702037605205672E+20</v>
      </c>
      <c r="AI27" s="144">
        <f>dragon!O27</f>
        <v>1.1843495912509007E+20</v>
      </c>
      <c r="AJ27" s="144">
        <f>dragon!P27</f>
        <v>6.2403014527398314E+19</v>
      </c>
      <c r="AK27" s="144">
        <f>dragon!Q27</f>
        <v>3.0111593326258414E+19</v>
      </c>
      <c r="AL27" s="144">
        <f>dragon!S27</f>
        <v>2.6548305842144203E+19</v>
      </c>
      <c r="AM27" s="144">
        <f>dragon!R27</f>
        <v>1.4272044639692358E+22</v>
      </c>
      <c r="AN27" s="152"/>
      <c r="AO27" s="145"/>
      <c r="AP27" s="145"/>
      <c r="AQ27" s="145"/>
      <c r="AR27" s="145"/>
      <c r="AS27" s="145"/>
      <c r="AT27" s="145"/>
      <c r="AU27" s="145"/>
      <c r="AV27" s="145"/>
      <c r="AW27" s="145"/>
      <c r="AX27" s="145"/>
    </row>
    <row r="28" spans="1:50" ht="12.75" thickBot="1">
      <c r="A28" s="146">
        <f>mod.RK1!F28</f>
        <v>2.1666666666666665</v>
      </c>
      <c r="B28" s="147">
        <f>mod.RK1!I28</f>
        <v>2.1984286777072038E+19</v>
      </c>
      <c r="C28" s="148">
        <f>mod.RK1!K28</f>
        <v>2.0757159795998251E+21</v>
      </c>
      <c r="D28" s="147">
        <f>mod.RK1!M28</f>
        <v>7.9851817915771165E+20</v>
      </c>
      <c r="E28" s="148">
        <f>mod.RK1!O28</f>
        <v>1.2559771599318412E+20</v>
      </c>
      <c r="F28" s="147">
        <f>mod.RK1!Q28</f>
        <v>5.765766158171408E+19</v>
      </c>
      <c r="G28" s="148">
        <f>mod.RK1!S28</f>
        <v>3.1517022326823801E+19</v>
      </c>
      <c r="H28" s="147">
        <f>mod.RK1!W28</f>
        <v>5.0766406986283434E+19</v>
      </c>
      <c r="I28" s="148">
        <f>mod.RK1!Y28</f>
        <v>1.559718076708524E+22</v>
      </c>
      <c r="J28" s="149">
        <f>mod.O5!U28</f>
        <v>2.1666666666666665</v>
      </c>
      <c r="K28" s="150">
        <f>mod.O5!AC28</f>
        <v>2.1858594623160435E+19</v>
      </c>
      <c r="L28" s="150">
        <f>mod.O5!AD28</f>
        <v>2.0754589160807643E+21</v>
      </c>
      <c r="M28" s="150">
        <f>mod.O5!AE28</f>
        <v>7.9803953739769446E+20</v>
      </c>
      <c r="N28" s="150">
        <f>mod.O5!AF28</f>
        <v>1.2592820074582219E+20</v>
      </c>
      <c r="O28" s="150">
        <f>mod.O5!AG28</f>
        <v>5.7611833292816613E+19</v>
      </c>
      <c r="P28" s="150">
        <f>mod.O5!AH28</f>
        <v>3.150631800119543E+19</v>
      </c>
      <c r="Q28" s="150">
        <f>mod.O5!AI28</f>
        <v>5.107266070793642E+19</v>
      </c>
      <c r="R28" s="150">
        <f>mod.O5!AJ28</f>
        <v>1.5598834431201976E+22</v>
      </c>
      <c r="T28" s="151">
        <f>mod.math.!Q28</f>
        <v>26</v>
      </c>
      <c r="U28" s="151">
        <f>mod.math.!R28</f>
        <v>2.1666666666666665</v>
      </c>
      <c r="V28" s="151">
        <f>mod.math.!S28</f>
        <v>68328000</v>
      </c>
      <c r="W28" s="151">
        <f>mod.math.!T28</f>
        <v>1.4448611770902389E+19</v>
      </c>
      <c r="X28" s="151">
        <f>mod.math.!U28</f>
        <v>2.0750712062583279E+21</v>
      </c>
      <c r="Y28" s="151">
        <f>mod.math.!V28</f>
        <v>7.9802526455096082E+20</v>
      </c>
      <c r="Z28" s="151">
        <f>mod.math.!W28</f>
        <v>1.2592814460544947E+20</v>
      </c>
      <c r="AA28" s="151">
        <f>mod.math.!X28</f>
        <v>5.7611781346681225E+19</v>
      </c>
      <c r="AB28" s="151">
        <f>mod.math.!Y28</f>
        <v>3.1506224767534465E+19</v>
      </c>
      <c r="AC28" s="151">
        <f>mod.math.!Z28</f>
        <v>5.0971266070812557E+19</v>
      </c>
      <c r="AD28" s="151">
        <f>mod.math.!AA28</f>
        <v>1.5598834220145595E+22</v>
      </c>
      <c r="AE28" s="146">
        <f>dragon!C28</f>
        <v>5.2</v>
      </c>
      <c r="AF28" s="144">
        <f>dragon!L28</f>
        <v>2.02013638511452E+19</v>
      </c>
      <c r="AG28" s="144">
        <f>dragon!M28</f>
        <v>1.9208999999999999E+21</v>
      </c>
      <c r="AH28" s="144">
        <f>dragon!N28</f>
        <v>8.6025086749745598E+20</v>
      </c>
      <c r="AI28" s="144">
        <f>dragon!O28</f>
        <v>1.1839492702803916E+20</v>
      </c>
      <c r="AJ28" s="144">
        <f>dragon!P28</f>
        <v>6.2705143115062723E+19</v>
      </c>
      <c r="AK28" s="144">
        <f>dragon!Q28</f>
        <v>2.9930114089707016E+19</v>
      </c>
      <c r="AL28" s="144">
        <f>dragon!S28</f>
        <v>2.5228384426356761E+19</v>
      </c>
      <c r="AM28" s="144">
        <f>dragon!R28</f>
        <v>1.4174126663306903E+22</v>
      </c>
      <c r="AN28" s="152"/>
      <c r="AO28" s="145"/>
      <c r="AP28" s="145"/>
      <c r="AQ28" s="145"/>
      <c r="AR28" s="145"/>
      <c r="AS28" s="145"/>
      <c r="AT28" s="145"/>
      <c r="AU28" s="145"/>
      <c r="AV28" s="145"/>
      <c r="AW28" s="145"/>
      <c r="AX28" s="145"/>
    </row>
    <row r="29" spans="1:50" ht="12.75" thickBot="1">
      <c r="A29" s="146">
        <f>mod.RK1!F29</f>
        <v>2.25</v>
      </c>
      <c r="B29" s="147">
        <f>mod.RK1!I29</f>
        <v>2.2201454008356368E+19</v>
      </c>
      <c r="C29" s="148">
        <f>mod.RK1!K29</f>
        <v>2.0714193070942349E+21</v>
      </c>
      <c r="D29" s="147">
        <f>mod.RK1!M29</f>
        <v>8.0088471871630226E+20</v>
      </c>
      <c r="E29" s="148">
        <f>mod.RK1!O29</f>
        <v>1.2510840081173647E+20</v>
      </c>
      <c r="F29" s="147">
        <f>mod.RK1!Q29</f>
        <v>5.784471671866481E+19</v>
      </c>
      <c r="G29" s="148">
        <f>mod.RK1!S29</f>
        <v>3.1448017467188322E+19</v>
      </c>
      <c r="H29" s="147">
        <f>mod.RK1!W29</f>
        <v>4.9684451968592962E+19</v>
      </c>
      <c r="I29" s="148">
        <f>mod.RK1!Y29</f>
        <v>1.5552681800511722E+22</v>
      </c>
      <c r="J29" s="149">
        <f>mod.O5!U29</f>
        <v>2.25</v>
      </c>
      <c r="K29" s="150">
        <f>mod.O5!AC29</f>
        <v>2.2074455981244969E+19</v>
      </c>
      <c r="L29" s="150">
        <f>mod.O5!AD29</f>
        <v>2.0711612276372283E+21</v>
      </c>
      <c r="M29" s="150">
        <f>mod.O5!AE29</f>
        <v>8.0039048627031874E+20</v>
      </c>
      <c r="N29" s="150">
        <f>mod.O5!AF29</f>
        <v>1.2543924771577691E+20</v>
      </c>
      <c r="O29" s="150">
        <f>mod.O5!AG29</f>
        <v>5.7798812344617558E+19</v>
      </c>
      <c r="P29" s="150">
        <f>mod.O5!AH29</f>
        <v>3.1438465469479817E+19</v>
      </c>
      <c r="Q29" s="150">
        <f>mod.O5!AI29</f>
        <v>4.999571296762241E+19</v>
      </c>
      <c r="R29" s="150">
        <f>mod.O5!AJ29</f>
        <v>1.5554394171195582E+22</v>
      </c>
      <c r="T29" s="151">
        <f>mod.math.!Q29</f>
        <v>27</v>
      </c>
      <c r="U29" s="151">
        <f>mod.math.!R29</f>
        <v>2.25</v>
      </c>
      <c r="V29" s="151">
        <f>mod.math.!S29</f>
        <v>70956000</v>
      </c>
      <c r="W29" s="151">
        <f>mod.math.!T29</f>
        <v>1.4445630469127832E+19</v>
      </c>
      <c r="X29" s="151">
        <f>mod.math.!U29</f>
        <v>2.070747867063739E+21</v>
      </c>
      <c r="Y29" s="151">
        <f>mod.math.!V29</f>
        <v>8.0037465735780106E+20</v>
      </c>
      <c r="Z29" s="151">
        <f>mod.math.!W29</f>
        <v>1.2543913176045348E+20</v>
      </c>
      <c r="AA29" s="151">
        <f>mod.math.!X29</f>
        <v>5.7798760204869796E+19</v>
      </c>
      <c r="AB29" s="151">
        <f>mod.math.!Y29</f>
        <v>3.1438373572704698E+19</v>
      </c>
      <c r="AC29" s="151">
        <f>mod.math.!Z29</f>
        <v>4.9891551773924458E+19</v>
      </c>
      <c r="AD29" s="151">
        <f>mod.math.!AA29</f>
        <v>1.5554393951864609E+22</v>
      </c>
      <c r="AE29" s="146">
        <f>dragon!C29</f>
        <v>5.4</v>
      </c>
      <c r="AF29" s="144">
        <f>dragon!L29</f>
        <v>2.0533421825755574E+19</v>
      </c>
      <c r="AG29" s="144">
        <f>dragon!M29</f>
        <v>1.9096000000000003E+21</v>
      </c>
      <c r="AH29" s="144">
        <f>dragon!N29</f>
        <v>8.6333133612031332E+20</v>
      </c>
      <c r="AI29" s="144">
        <f>dragon!O29</f>
        <v>1.1838491900377643E+20</v>
      </c>
      <c r="AJ29" s="144">
        <f>dragon!P29</f>
        <v>6.3002286082468643E+19</v>
      </c>
      <c r="AK29" s="144">
        <f>dragon!Q29</f>
        <v>2.9749631991817994E+19</v>
      </c>
      <c r="AL29" s="144">
        <f>dragon!S29</f>
        <v>2.3968414021127406E+19</v>
      </c>
      <c r="AM29" s="144">
        <f>dragon!R29</f>
        <v>1.4076208686921446E+22</v>
      </c>
      <c r="AN29" s="152"/>
      <c r="AO29" s="145"/>
      <c r="AP29" s="145"/>
      <c r="AQ29" s="145"/>
      <c r="AR29" s="145"/>
      <c r="AS29" s="145"/>
      <c r="AT29" s="145"/>
      <c r="AU29" s="145"/>
      <c r="AV29" s="145"/>
      <c r="AW29" s="145"/>
      <c r="AX29" s="145"/>
    </row>
    <row r="30" spans="1:50" ht="12.75" thickBot="1">
      <c r="A30" s="146">
        <f>mod.RK1!F30</f>
        <v>2.3333333333333335</v>
      </c>
      <c r="B30" s="147">
        <f>mod.RK1!I30</f>
        <v>2.240916403106089E+19</v>
      </c>
      <c r="C30" s="148">
        <f>mod.RK1!K30</f>
        <v>2.0671033825073826E+21</v>
      </c>
      <c r="D30" s="147">
        <f>mod.RK1!M30</f>
        <v>8.0321457252783568E+20</v>
      </c>
      <c r="E30" s="148">
        <f>mod.RK1!O30</f>
        <v>1.2464372567834986E+20</v>
      </c>
      <c r="F30" s="147">
        <f>mod.RK1!Q30</f>
        <v>5.8028356045568705E+19</v>
      </c>
      <c r="G30" s="148">
        <f>mod.RK1!S30</f>
        <v>3.1378299471408247E+19</v>
      </c>
      <c r="H30" s="147">
        <f>mod.RK1!W30</f>
        <v>4.8625651723225719E+19</v>
      </c>
      <c r="I30" s="148">
        <f>mod.RK1!Y30</f>
        <v>1.5508309790142679E+22</v>
      </c>
      <c r="J30" s="149">
        <f>mod.O5!U30</f>
        <v>2.3333333333333335</v>
      </c>
      <c r="K30" s="150">
        <f>mod.O5!AC30</f>
        <v>2.2281045508420997E+19</v>
      </c>
      <c r="L30" s="150">
        <f>mod.O5!AD30</f>
        <v>2.0668447641179343E+21</v>
      </c>
      <c r="M30" s="150">
        <f>mod.O5!AE30</f>
        <v>8.0270497326566631E+20</v>
      </c>
      <c r="N30" s="150">
        <f>mod.O5!AF30</f>
        <v>1.2497441576297939E+20</v>
      </c>
      <c r="O30" s="150">
        <f>mod.O5!AG30</f>
        <v>5.7982440328300675E+19</v>
      </c>
      <c r="P30" s="150">
        <f>mod.O5!AH30</f>
        <v>3.1369935530901938E+19</v>
      </c>
      <c r="Q30" s="150">
        <f>mod.O5!AI30</f>
        <v>4.8941567770968441E+19</v>
      </c>
      <c r="R30" s="150">
        <f>mod.O5!AJ30</f>
        <v>1.5510080519209591E+22</v>
      </c>
      <c r="T30" s="151">
        <f>mod.math.!Q30</f>
        <v>28</v>
      </c>
      <c r="U30" s="151">
        <f>mod.math.!R30</f>
        <v>2.3333333333333335</v>
      </c>
      <c r="V30" s="151">
        <f>mod.math.!S30</f>
        <v>73584000</v>
      </c>
      <c r="W30" s="151">
        <f>mod.math.!T30</f>
        <v>1.4437712698581574E+19</v>
      </c>
      <c r="X30" s="151">
        <f>mod.math.!U30</f>
        <v>2.0664052893124859E+21</v>
      </c>
      <c r="Y30" s="151">
        <f>mod.math.!V30</f>
        <v>8.0268749271512488E+20</v>
      </c>
      <c r="Z30" s="151">
        <f>mod.math.!W30</f>
        <v>1.2497423532056551E+20</v>
      </c>
      <c r="AA30" s="151">
        <f>mod.math.!X30</f>
        <v>5.7982387729983177E+19</v>
      </c>
      <c r="AB30" s="151">
        <f>mod.math.!Y30</f>
        <v>3.1369844668833554E+19</v>
      </c>
      <c r="AC30" s="151">
        <f>mod.math.!Z30</f>
        <v>4.8834708852475322E+19</v>
      </c>
      <c r="AD30" s="151">
        <f>mod.math.!AA30</f>
        <v>1.5510080291599131E+22</v>
      </c>
      <c r="AE30" s="146">
        <f>dragon!C30</f>
        <v>5.6</v>
      </c>
      <c r="AF30" s="144">
        <f>dragon!L30</f>
        <v>2.0856451033684693E+19</v>
      </c>
      <c r="AG30" s="144">
        <f>dragon!M30</f>
        <v>1.8982000000000003E+21</v>
      </c>
      <c r="AH30" s="144">
        <f>dragon!N30</f>
        <v>8.6624177887762357E+20</v>
      </c>
      <c r="AI30" s="144">
        <f>dragon!O30</f>
        <v>1.1841494307656462E+20</v>
      </c>
      <c r="AJ30" s="144">
        <f>dragon!P30</f>
        <v>6.3295440553667772E+19</v>
      </c>
      <c r="AK30" s="144">
        <f>dragon!Q30</f>
        <v>2.9572141309916082E+19</v>
      </c>
      <c r="AL30" s="144">
        <f>dragon!S30</f>
        <v>2.2767395442946851E+19</v>
      </c>
      <c r="AM30" s="144">
        <f>dragon!R30</f>
        <v>1.3978290710535991E+22</v>
      </c>
      <c r="AN30" s="152"/>
      <c r="AO30" s="145"/>
      <c r="AP30" s="145"/>
      <c r="AQ30" s="145"/>
      <c r="AR30" s="145"/>
      <c r="AS30" s="145"/>
      <c r="AT30" s="145"/>
      <c r="AU30" s="145"/>
      <c r="AV30" s="145"/>
      <c r="AW30" s="145"/>
      <c r="AX30" s="145"/>
    </row>
    <row r="31" spans="1:50" ht="12.75" thickBot="1">
      <c r="A31" s="146">
        <f>mod.RK1!F31</f>
        <v>2.4166666666666665</v>
      </c>
      <c r="B31" s="147">
        <f>mod.RK1!I31</f>
        <v>2.2607675342132642E+19</v>
      </c>
      <c r="C31" s="148">
        <f>mod.RK1!K31</f>
        <v>2.062768856152109E+21</v>
      </c>
      <c r="D31" s="147">
        <f>mod.RK1!M31</f>
        <v>8.0550795019491829E+20</v>
      </c>
      <c r="E31" s="148">
        <f>mod.RK1!O31</f>
        <v>1.2420279215629148E+20</v>
      </c>
      <c r="F31" s="147">
        <f>mod.RK1!Q31</f>
        <v>5.8208701990852534E+19</v>
      </c>
      <c r="G31" s="148">
        <f>mod.RK1!S31</f>
        <v>3.1307980715492889E+19</v>
      </c>
      <c r="H31" s="147">
        <f>mod.RK1!W31</f>
        <v>4.75895104516236E+19</v>
      </c>
      <c r="I31" s="148">
        <f>mod.RK1!Y31</f>
        <v>1.5464064373769753E+22</v>
      </c>
      <c r="J31" s="149">
        <f>mod.O5!U31</f>
        <v>2.4166666666666665</v>
      </c>
      <c r="K31" s="150">
        <f>mod.O5!AC31</f>
        <v>2.2478614697759318E+19</v>
      </c>
      <c r="L31" s="150">
        <f>mod.O5!AD31</f>
        <v>2.0625101599765268E+21</v>
      </c>
      <c r="M31" s="150">
        <f>mod.O5!AE31</f>
        <v>8.0498320869934144E+20</v>
      </c>
      <c r="N31" s="150">
        <f>mod.O5!AF31</f>
        <v>1.2453283654153259E+20</v>
      </c>
      <c r="O31" s="150">
        <f>mod.O5!AG31</f>
        <v>5.8162835143782515E+19</v>
      </c>
      <c r="P31" s="150">
        <f>mod.O5!AH31</f>
        <v>3.1300835132535149E+19</v>
      </c>
      <c r="Q31" s="150">
        <f>mod.O5!AI31</f>
        <v>4.7909742014025605E+19</v>
      </c>
      <c r="R31" s="150">
        <f>mod.O5!AJ31</f>
        <v>1.5465893114543767E+22</v>
      </c>
      <c r="T31" s="151">
        <f>mod.math.!Q31</f>
        <v>29</v>
      </c>
      <c r="U31" s="151">
        <f>mod.math.!R31</f>
        <v>2.4166666666666665</v>
      </c>
      <c r="V31" s="151">
        <f>mod.math.!S31</f>
        <v>76212000</v>
      </c>
      <c r="W31" s="151">
        <f>mod.math.!T31</f>
        <v>1.4425045501264036E+19</v>
      </c>
      <c r="X31" s="151">
        <f>mod.math.!U31</f>
        <v>2.0620441360330544E+21</v>
      </c>
      <c r="Y31" s="151">
        <f>mod.math.!V31</f>
        <v>8.0496397983216907E+20</v>
      </c>
      <c r="Z31" s="151">
        <f>mod.math.!W31</f>
        <v>1.2453258689021374E+20</v>
      </c>
      <c r="AA31" s="151">
        <f>mod.math.!X31</f>
        <v>5.8162781772207555E+19</v>
      </c>
      <c r="AB31" s="151">
        <f>mod.math.!Y31</f>
        <v>3.1300744929723171E+19</v>
      </c>
      <c r="AC31" s="151">
        <f>mod.math.!Z31</f>
        <v>4.7800252826620822E+19</v>
      </c>
      <c r="AD31" s="151">
        <f>mod.math.!AA31</f>
        <v>1.5465892878649506E+22</v>
      </c>
      <c r="AE31" s="146">
        <f>dragon!C31</f>
        <v>5.8</v>
      </c>
      <c r="AF31" s="144">
        <f>dragon!L31</f>
        <v>2.1170451474932572E+19</v>
      </c>
      <c r="AG31" s="144">
        <f>dragon!M31</f>
        <v>1.8867999999999997E+21</v>
      </c>
      <c r="AH31" s="144">
        <f>dragon!N31</f>
        <v>8.690021988123919E+20</v>
      </c>
      <c r="AI31" s="144">
        <f>dragon!O31</f>
        <v>1.1846498319787824E+20</v>
      </c>
      <c r="AJ31" s="144">
        <f>dragon!P31</f>
        <v>6.358460652866012E+19</v>
      </c>
      <c r="AK31" s="144">
        <f>dragon!Q31</f>
        <v>2.9395647766676533E+19</v>
      </c>
      <c r="AL31" s="144">
        <f>dragon!S31</f>
        <v>2.1622331141287186E+19</v>
      </c>
      <c r="AM31" s="144">
        <f>dragon!R31</f>
        <v>1.3880372734150534E+22</v>
      </c>
      <c r="AN31" s="152"/>
      <c r="AO31" s="145"/>
      <c r="AP31" s="145"/>
      <c r="AQ31" s="145"/>
      <c r="AR31" s="145"/>
      <c r="AS31" s="145"/>
      <c r="AT31" s="145"/>
      <c r="AU31" s="145"/>
      <c r="AV31" s="145"/>
      <c r="AW31" s="145"/>
      <c r="AX31" s="145"/>
    </row>
    <row r="32" spans="1:50" ht="12.75" thickBot="1">
      <c r="A32" s="146">
        <f>mod.RK1!F32</f>
        <v>2.5</v>
      </c>
      <c r="B32" s="147">
        <f>mod.RK1!I32</f>
        <v>2.2797241031736721E+19</v>
      </c>
      <c r="C32" s="148">
        <f>mod.RK1!K32</f>
        <v>2.0584163655293241E+21</v>
      </c>
      <c r="D32" s="147">
        <f>mod.RK1!M32</f>
        <v>8.0776506238242089E+20</v>
      </c>
      <c r="E32" s="148">
        <f>mod.RK1!O32</f>
        <v>1.2378472988618349E+20</v>
      </c>
      <c r="F32" s="147">
        <f>mod.RK1!Q32</f>
        <v>5.8385872713863242E+19</v>
      </c>
      <c r="G32" s="148">
        <f>mod.RK1!S32</f>
        <v>3.123716790091205E+19</v>
      </c>
      <c r="H32" s="147">
        <f>mod.RK1!W32</f>
        <v>4.6575542972021187E+19</v>
      </c>
      <c r="I32" s="148">
        <f>mod.RK1!Y32</f>
        <v>1.5419945190217992E+22</v>
      </c>
      <c r="J32" s="149">
        <f>mod.O5!U32</f>
        <v>2.5</v>
      </c>
      <c r="K32" s="150">
        <f>mod.O5!AC32</f>
        <v>2.2667409790014497E+19</v>
      </c>
      <c r="L32" s="150">
        <f>mod.O5!AD32</f>
        <v>2.0581580372986212E+21</v>
      </c>
      <c r="M32" s="150">
        <f>mod.O5!AE32</f>
        <v>8.0722540383485729E+20</v>
      </c>
      <c r="N32" s="150">
        <f>mod.O5!AF32</f>
        <v>1.2411366824981606E+20</v>
      </c>
      <c r="O32" s="150">
        <f>mod.O5!AG32</f>
        <v>5.8340110661249786E+19</v>
      </c>
      <c r="P32" s="150">
        <f>mod.O5!AH32</f>
        <v>3.1231265934846951E+19</v>
      </c>
      <c r="Q32" s="150">
        <f>mod.O5!AI32</f>
        <v>4.6899762786491023E+19</v>
      </c>
      <c r="R32" s="150">
        <f>mod.O5!AJ32</f>
        <v>1.5421831597525425E+22</v>
      </c>
      <c r="T32" s="151">
        <f>mod.math.!Q32</f>
        <v>30</v>
      </c>
      <c r="U32" s="151">
        <f>mod.math.!R32</f>
        <v>2.5</v>
      </c>
      <c r="V32" s="151">
        <f>mod.math.!S32</f>
        <v>78840000</v>
      </c>
      <c r="W32" s="151">
        <f>mod.math.!T32</f>
        <v>1.4407810596614627E+19</v>
      </c>
      <c r="X32" s="151">
        <f>mod.math.!U32</f>
        <v>2.0576650569878379E+21</v>
      </c>
      <c r="Y32" s="151">
        <f>mod.math.!V32</f>
        <v>8.0720432900456173E+20</v>
      </c>
      <c r="Z32" s="151">
        <f>mod.math.!W32</f>
        <v>1.2411334483484996E+20</v>
      </c>
      <c r="AA32" s="151">
        <f>mod.math.!X32</f>
        <v>5.8340056118258729E+19</v>
      </c>
      <c r="AB32" s="151">
        <f>mod.math.!Y32</f>
        <v>3.1231175879606321E+19</v>
      </c>
      <c r="AC32" s="151">
        <f>mod.math.!Z32</f>
        <v>4.6787709479157817E+19</v>
      </c>
      <c r="AD32" s="151">
        <f>mod.math.!AA32</f>
        <v>1.5421831353343691E+22</v>
      </c>
      <c r="AE32" s="146">
        <f>dragon!C32</f>
        <v>6</v>
      </c>
      <c r="AF32" s="144">
        <f>dragon!L32</f>
        <v>2.1475423149499195E+19</v>
      </c>
      <c r="AG32" s="144">
        <f>dragon!M32</f>
        <v>1.8753000000000001E+21</v>
      </c>
      <c r="AH32" s="144">
        <f>dragon!N32</f>
        <v>8.7161259592461858E+20</v>
      </c>
      <c r="AI32" s="144">
        <f>dragon!O32</f>
        <v>1.1855505541624278E+20</v>
      </c>
      <c r="AJ32" s="144">
        <f>dragon!P32</f>
        <v>6.3869784007445651E+19</v>
      </c>
      <c r="AK32" s="144">
        <f>dragon!Q32</f>
        <v>2.9222145639424102E+19</v>
      </c>
      <c r="AL32" s="144">
        <f>dragon!S32</f>
        <v>2.0530223565620511E+19</v>
      </c>
      <c r="AM32" s="144">
        <f>dragon!R32</f>
        <v>1.3782454757765079E+22</v>
      </c>
      <c r="AN32" s="152"/>
      <c r="AO32" s="145"/>
      <c r="AP32" s="145"/>
      <c r="AQ32" s="145"/>
      <c r="AR32" s="145"/>
      <c r="AS32" s="145"/>
      <c r="AT32" s="145"/>
      <c r="AU32" s="145"/>
      <c r="AV32" s="145"/>
      <c r="AW32" s="145"/>
      <c r="AX32" s="145"/>
    </row>
    <row r="33" spans="1:50" ht="12.75" thickBot="1">
      <c r="A33" s="146">
        <f>mod.RK1!F33</f>
        <v>2.5833333333333335</v>
      </c>
      <c r="B33" s="147">
        <f>mod.RK1!I33</f>
        <v>2.2978108861232746E+19</v>
      </c>
      <c r="C33" s="148">
        <f>mod.RK1!K33</f>
        <v>2.0540465355643324E+21</v>
      </c>
      <c r="D33" s="147">
        <f>mod.RK1!M33</f>
        <v>8.0998612075549347E+20</v>
      </c>
      <c r="E33" s="148">
        <f>mod.RK1!O33</f>
        <v>1.2338869574014344E+20</v>
      </c>
      <c r="F33" s="147">
        <f>mod.RK1!Q33</f>
        <v>5.8559982236774572E+19</v>
      </c>
      <c r="G33" s="148">
        <f>mod.RK1!S33</f>
        <v>3.1165962271419195E+19</v>
      </c>
      <c r="H33" s="147">
        <f>mod.RK1!W33</f>
        <v>4.5583274492105499E+19</v>
      </c>
      <c r="I33" s="148">
        <f>mod.RK1!Y33</f>
        <v>1.5375951879342897E+22</v>
      </c>
      <c r="J33" s="149">
        <f>mod.O5!U33</f>
        <v>2.5833333333333335</v>
      </c>
      <c r="K33" s="150">
        <f>mod.O5!AC33</f>
        <v>2.2847671850614768E+19</v>
      </c>
      <c r="L33" s="150">
        <f>mod.O5!AD33</f>
        <v>2.053789006048385E+21</v>
      </c>
      <c r="M33" s="150">
        <f>mod.O5!AE33</f>
        <v>8.0943177081821633E+20</v>
      </c>
      <c r="N33" s="150">
        <f>mod.O5!AF33</f>
        <v>1.2371609472156461E+20</v>
      </c>
      <c r="O33" s="150">
        <f>mod.O5!AG33</f>
        <v>5.8514376862723817E+19</v>
      </c>
      <c r="P33" s="150">
        <f>mod.O5!AH33</f>
        <v>3.1161324547110334E+19</v>
      </c>
      <c r="Q33" s="150">
        <f>mod.O5!AI33</f>
        <v>4.5911167132981182E+19</v>
      </c>
      <c r="R33" s="150">
        <f>mod.O5!AJ33</f>
        <v>1.5377895609506487E+22</v>
      </c>
      <c r="T33" s="151">
        <f>mod.math.!Q33</f>
        <v>31</v>
      </c>
      <c r="U33" s="151">
        <f>mod.math.!R33</f>
        <v>2.5833333333333335</v>
      </c>
      <c r="V33" s="151">
        <f>mod.math.!S33</f>
        <v>81468000</v>
      </c>
      <c r="W33" s="151">
        <f>mod.math.!T33</f>
        <v>1.4386184516701127E+19</v>
      </c>
      <c r="X33" s="151">
        <f>mod.math.!U33</f>
        <v>2.0532686889168302E+21</v>
      </c>
      <c r="Y33" s="151">
        <f>mod.math.!V33</f>
        <v>8.0940875155100874E+20</v>
      </c>
      <c r="Z33" s="151">
        <f>mod.math.!W33</f>
        <v>1.237156934870025E+20</v>
      </c>
      <c r="AA33" s="151">
        <f>mod.math.!X33</f>
        <v>5.851432061534693E+19</v>
      </c>
      <c r="AB33" s="151">
        <f>mod.math.!Y33</f>
        <v>3.1161233895263445E+19</v>
      </c>
      <c r="AC33" s="151">
        <f>mod.math.!Z33</f>
        <v>4.5796614638132847E+19</v>
      </c>
      <c r="AD33" s="151">
        <f>mod.math.!AA33</f>
        <v>1.5377895357034325E+22</v>
      </c>
      <c r="AE33" s="146">
        <f>dragon!C33</f>
        <v>6.2</v>
      </c>
      <c r="AF33" s="144">
        <f>dragon!L33</f>
        <v>2.1771366057384571E+19</v>
      </c>
      <c r="AG33" s="144">
        <f>dragon!M33</f>
        <v>1.8638000000000003E+21</v>
      </c>
      <c r="AH33" s="144">
        <f>dragon!N33</f>
        <v>8.7406296869280075E+20</v>
      </c>
      <c r="AI33" s="144">
        <f>dragon!O33</f>
        <v>1.1866514368313275E+20</v>
      </c>
      <c r="AJ33" s="144">
        <f>dragon!P33</f>
        <v>6.4151970114076115E+19</v>
      </c>
      <c r="AK33" s="144">
        <f>dragon!Q33</f>
        <v>2.905063778949641E+19</v>
      </c>
      <c r="AL33" s="144">
        <f>dragon!S33</f>
        <v>1.9490073532437516E+19</v>
      </c>
      <c r="AM33" s="144">
        <f>dragon!R33</f>
        <v>1.3685535944403965E+22</v>
      </c>
      <c r="AN33" s="152"/>
      <c r="AO33" s="145"/>
      <c r="AP33" s="145"/>
      <c r="AQ33" s="145"/>
      <c r="AR33" s="145"/>
      <c r="AS33" s="145"/>
      <c r="AT33" s="145"/>
      <c r="AU33" s="145"/>
      <c r="AV33" s="145"/>
      <c r="AW33" s="145"/>
      <c r="AX33" s="145"/>
    </row>
    <row r="34" spans="1:50" ht="12.75" thickBot="1">
      <c r="A34" s="146">
        <f>mod.RK1!F34</f>
        <v>2.6666666666666665</v>
      </c>
      <c r="B34" s="147">
        <f>mod.RK1!I34</f>
        <v>2.3150521341150417E+19</v>
      </c>
      <c r="C34" s="148">
        <f>mod.RK1!K34</f>
        <v>2.0496599788387358E+21</v>
      </c>
      <c r="D34" s="147">
        <f>mod.RK1!M34</f>
        <v>8.1217133791905867E+20</v>
      </c>
      <c r="E34" s="148">
        <f>mod.RK1!O34</f>
        <v>1.2301387300128258E+20</v>
      </c>
      <c r="F34" s="147">
        <f>mod.RK1!Q34</f>
        <v>5.873114057259334E+19</v>
      </c>
      <c r="G34" s="148">
        <f>mod.RK1!S34</f>
        <v>3.1094459822505075E+19</v>
      </c>
      <c r="H34" s="147">
        <f>mod.RK1!W34</f>
        <v>4.4612240386543763E+19</v>
      </c>
      <c r="I34" s="148">
        <f>mod.RK1!Y34</f>
        <v>1.5332084082027484E+22</v>
      </c>
      <c r="J34" s="149">
        <f>mod.O5!U34</f>
        <v>2.6666666666666665</v>
      </c>
      <c r="K34" s="150">
        <f>mod.O5!AC34</f>
        <v>2.3019636846651912E+19</v>
      </c>
      <c r="L34" s="150">
        <f>mod.O5!AD34</f>
        <v>2.049403664315118E+21</v>
      </c>
      <c r="M34" s="150">
        <f>mod.O5!AE34</f>
        <v>8.1160252261248899E+20</v>
      </c>
      <c r="N34" s="150">
        <f>mod.O5!AF34</f>
        <v>1.2333932451694648E+20</v>
      </c>
      <c r="O34" s="150">
        <f>mod.O5!AG34</f>
        <v>5.868573998362511E+19</v>
      </c>
      <c r="P34" s="150">
        <f>mod.O5!AH34</f>
        <v>3.1091102762815099E+19</v>
      </c>
      <c r="Q34" s="150">
        <f>mod.O5!AI34</f>
        <v>4.494350181430512E+19</v>
      </c>
      <c r="R34" s="150">
        <f>mod.O5!AJ34</f>
        <v>1.5334084792860505E+22</v>
      </c>
      <c r="T34" s="151">
        <f>mod.math.!Q34</f>
        <v>32</v>
      </c>
      <c r="U34" s="151">
        <f>mod.math.!R34</f>
        <v>2.6666666666666665</v>
      </c>
      <c r="V34" s="151">
        <f>mod.math.!S34</f>
        <v>84096000</v>
      </c>
      <c r="W34" s="151">
        <f>mod.math.!T34</f>
        <v>1.4360338738175107E+19</v>
      </c>
      <c r="X34" s="151">
        <f>mod.math.!U34</f>
        <v>2.0488556557770451E+21</v>
      </c>
      <c r="Y34" s="151">
        <f>mod.math.!V34</f>
        <v>8.1157745975148741E+20</v>
      </c>
      <c r="Z34" s="151">
        <f>mod.math.!W34</f>
        <v>1.2333884237575623E+20</v>
      </c>
      <c r="AA34" s="151">
        <f>mod.math.!X34</f>
        <v>5.8685681291534631E+19</v>
      </c>
      <c r="AB34" s="151">
        <f>mod.math.!Y34</f>
        <v>3.1091010401358766E+19</v>
      </c>
      <c r="AC34" s="151">
        <f>mod.math.!Z34</f>
        <v>4.4826513964055585E+19</v>
      </c>
      <c r="AD34" s="151">
        <f>mod.math.!AA34</f>
        <v>1.5334084532095821E+22</v>
      </c>
      <c r="AE34" s="146">
        <f>dragon!C34</f>
        <v>6.4</v>
      </c>
      <c r="AF34" s="144">
        <f>dragon!L34</f>
        <v>2.2059283394886615E+19</v>
      </c>
      <c r="AG34" s="144">
        <f>dragon!M34</f>
        <v>1.8522E+21</v>
      </c>
      <c r="AH34" s="144">
        <f>dragon!N34</f>
        <v>8.7636331863844101E+20</v>
      </c>
      <c r="AI34" s="144">
        <f>dragon!O34</f>
        <v>1.1879524799854816E+20</v>
      </c>
      <c r="AJ34" s="144">
        <f>dragon!P34</f>
        <v>6.4430167724499788E+19</v>
      </c>
      <c r="AK34" s="144">
        <f>dragon!Q34</f>
        <v>2.888112421689346E+19</v>
      </c>
      <c r="AL34" s="144">
        <f>dragon!S34</f>
        <v>1.8498883491210301E+19</v>
      </c>
      <c r="AM34" s="144">
        <f>dragon!R34</f>
        <v>1.3587617968018508E+22</v>
      </c>
      <c r="AN34" s="152"/>
      <c r="AO34" s="145"/>
      <c r="AP34" s="145"/>
      <c r="AQ34" s="145"/>
      <c r="AR34" s="145"/>
      <c r="AS34" s="145"/>
      <c r="AT34" s="145"/>
      <c r="AU34" s="145"/>
      <c r="AV34" s="145"/>
      <c r="AW34" s="145"/>
      <c r="AX34" s="145"/>
    </row>
    <row r="35" spans="1:50" ht="12.75" thickBot="1">
      <c r="A35" s="146">
        <f>mod.RK1!F35</f>
        <v>2.75</v>
      </c>
      <c r="B35" s="147">
        <f>mod.RK1!I35</f>
        <v>2.3314715809106706E+19</v>
      </c>
      <c r="C35" s="148">
        <f>mod.RK1!K35</f>
        <v>2.0452572958180088E+21</v>
      </c>
      <c r="D35" s="147">
        <f>mod.RK1!M35</f>
        <v>8.1432092735875318E+20</v>
      </c>
      <c r="E35" s="148">
        <f>mod.RK1!O35</f>
        <v>1.2265947056780041E+20</v>
      </c>
      <c r="F35" s="147">
        <f>mod.RK1!Q35</f>
        <v>5.8899453849380094E+19</v>
      </c>
      <c r="G35" s="148">
        <f>mod.RK1!S35</f>
        <v>3.102275150371858E+19</v>
      </c>
      <c r="H35" s="147">
        <f>mod.RK1!W35</f>
        <v>4.3661985979274953E+19</v>
      </c>
      <c r="I35" s="148">
        <f>mod.RK1!Y35</f>
        <v>1.5288341440179355E+22</v>
      </c>
      <c r="J35" s="149">
        <f>mod.O5!U35</f>
        <v>2.75</v>
      </c>
      <c r="K35" s="150">
        <f>mod.O5!AC35</f>
        <v>2.3183535723871146E+19</v>
      </c>
      <c r="L35" s="150">
        <f>mod.O5!AD35</f>
        <v>2.0450025985598313E+21</v>
      </c>
      <c r="M35" s="150">
        <f>mod.O5!AE35</f>
        <v>8.1373787293239843E+20</v>
      </c>
      <c r="N35" s="150">
        <f>mod.O5!AF35</f>
        <v>1.2298259001364175E+20</v>
      </c>
      <c r="O35" s="150">
        <f>mod.O5!AG35</f>
        <v>5.885430265433781E+19</v>
      </c>
      <c r="P35" s="150">
        <f>mod.O5!AH35</f>
        <v>3.1020687795079184E+19</v>
      </c>
      <c r="Q35" s="150">
        <f>mod.O5!AI35</f>
        <v>4.3996323068737815E+19</v>
      </c>
      <c r="R35" s="150">
        <f>mod.O5!AJ35</f>
        <v>1.5290398790979701E+22</v>
      </c>
      <c r="T35" s="151">
        <f>mod.math.!Q35</f>
        <v>33</v>
      </c>
      <c r="U35" s="151">
        <f>mod.math.!R35</f>
        <v>2.75</v>
      </c>
      <c r="V35" s="151">
        <f>mod.math.!S35</f>
        <v>86724000</v>
      </c>
      <c r="W35" s="151">
        <f>mod.math.!T35</f>
        <v>1.4330439811068133E+19</v>
      </c>
      <c r="X35" s="151">
        <f>mod.math.!U35</f>
        <v>2.044426568977736E+21</v>
      </c>
      <c r="Y35" s="151">
        <f>mod.math.!V35</f>
        <v>8.1371066678691155E+20</v>
      </c>
      <c r="Z35" s="151">
        <f>mod.math.!W35</f>
        <v>1.2298202547896612E+20</v>
      </c>
      <c r="AA35" s="151">
        <f>mod.math.!X35</f>
        <v>5.885424047258334E+19</v>
      </c>
      <c r="AB35" s="151">
        <f>mod.math.!Y35</f>
        <v>3.1020592059208393E+19</v>
      </c>
      <c r="AC35" s="151">
        <f>mod.math.!Z35</f>
        <v>4.3876962741619704E+19</v>
      </c>
      <c r="AD35" s="151">
        <f>mod.math.!AA35</f>
        <v>1.5290398521921443E+22</v>
      </c>
      <c r="AE35" s="146">
        <f>dragon!C35</f>
        <v>6.6</v>
      </c>
      <c r="AF35" s="144">
        <f>dragon!L35</f>
        <v>2.2337168769409495E+19</v>
      </c>
      <c r="AG35" s="144">
        <f>dragon!M35</f>
        <v>1.8404999999999999E+21</v>
      </c>
      <c r="AH35" s="144">
        <f>dragon!N35</f>
        <v>8.7850364424003663E+20</v>
      </c>
      <c r="AI35" s="144">
        <f>dragon!O35</f>
        <v>1.1894536836248905E+20</v>
      </c>
      <c r="AJ35" s="144">
        <f>dragon!P35</f>
        <v>6.4706371086820041E+19</v>
      </c>
      <c r="AK35" s="144">
        <f>dragon!Q35</f>
        <v>2.8714602060277617E+19</v>
      </c>
      <c r="AL35" s="144">
        <f>dragon!S35</f>
        <v>1.7553655891410964E+19</v>
      </c>
      <c r="AM35" s="144">
        <f>dragon!R35</f>
        <v>1.3490699154657395E+22</v>
      </c>
      <c r="AN35" s="152"/>
      <c r="AO35" s="145"/>
      <c r="AP35" s="145"/>
      <c r="AQ35" s="145"/>
      <c r="AR35" s="145"/>
      <c r="AS35" s="145"/>
      <c r="AT35" s="145"/>
      <c r="AU35" s="145"/>
      <c r="AV35" s="145"/>
      <c r="AW35" s="145"/>
      <c r="AX35" s="145"/>
    </row>
    <row r="36" spans="1:50" ht="12.75" thickBot="1">
      <c r="A36" s="146">
        <f>mod.RK1!F36</f>
        <v>2.8333333333333335</v>
      </c>
      <c r="B36" s="147">
        <f>mod.RK1!I36</f>
        <v>2.3470924507610239E+19</v>
      </c>
      <c r="C36" s="148">
        <f>mod.RK1!K36</f>
        <v>2.0408390750748284E+21</v>
      </c>
      <c r="D36" s="147">
        <f>mod.RK1!M36</f>
        <v>8.1643510338328815E+20</v>
      </c>
      <c r="E36" s="148">
        <f>mod.RK1!O36</f>
        <v>1.223247221809365E+20</v>
      </c>
      <c r="F36" s="147">
        <f>mod.RK1!Q36</f>
        <v>5.9065024430795506E+19</v>
      </c>
      <c r="G36" s="148">
        <f>mod.RK1!S36</f>
        <v>3.0950923414084243E+19</v>
      </c>
      <c r="H36" s="147">
        <f>mod.RK1!W36</f>
        <v>4.2732066330463085E+19</v>
      </c>
      <c r="I36" s="148">
        <f>mod.RK1!Y36</f>
        <v>1.5244723596727767E+22</v>
      </c>
      <c r="J36" s="149">
        <f>mod.O5!U36</f>
        <v>2.8333333333333335</v>
      </c>
      <c r="K36" s="150">
        <f>mod.O5!AC36</f>
        <v>2.333959448366098E+19</v>
      </c>
      <c r="L36" s="150">
        <f>mod.O5!AD36</f>
        <v>2.0405863838618322E+21</v>
      </c>
      <c r="M36" s="150">
        <f>mod.O5!AE36</f>
        <v>8.1583803617889826E+20</v>
      </c>
      <c r="N36" s="150">
        <f>mod.O5!AF36</f>
        <v>1.2264514649792084E+20</v>
      </c>
      <c r="O36" s="150">
        <f>mod.O5!AG36</f>
        <v>5.9020164041774268E+19</v>
      </c>
      <c r="P36" s="150">
        <f>mod.O5!AH36</f>
        <v>3.0950162512059998E+19</v>
      </c>
      <c r="Q36" s="150">
        <f>mod.O5!AI36</f>
        <v>4.3069196373293335E+19</v>
      </c>
      <c r="R36" s="150">
        <f>mod.O5!AJ36</f>
        <v>1.5246837248271994E+22</v>
      </c>
      <c r="T36" s="151">
        <f>mod.math.!Q36</f>
        <v>34</v>
      </c>
      <c r="U36" s="151">
        <f>mod.math.!R36</f>
        <v>2.8333333333333335</v>
      </c>
      <c r="V36" s="151">
        <f>mod.math.!S36</f>
        <v>89352000</v>
      </c>
      <c r="W36" s="151">
        <f>mod.math.!T36</f>
        <v>1.4296649484501541E+19</v>
      </c>
      <c r="X36" s="151">
        <f>mod.math.!U36</f>
        <v>2.0399820276114839E+21</v>
      </c>
      <c r="Y36" s="151">
        <f>mod.math.!V36</f>
        <v>8.1580858668024778E+20</v>
      </c>
      <c r="Z36" s="151">
        <f>mod.math.!W36</f>
        <v>1.2264450049753385E+20</v>
      </c>
      <c r="AA36" s="151">
        <f>mod.math.!X36</f>
        <v>5.9020096895397331E+19</v>
      </c>
      <c r="AB36" s="151">
        <f>mod.math.!Y36</f>
        <v>3.0950060949190124E+19</v>
      </c>
      <c r="AC36" s="151">
        <f>mod.math.!Z36</f>
        <v>4.2947525675835679E+19</v>
      </c>
      <c r="AD36" s="151">
        <f>mod.math.!AA36</f>
        <v>1.5246836970920421E+22</v>
      </c>
      <c r="AE36" s="146">
        <f>dragon!C36</f>
        <v>6.8</v>
      </c>
      <c r="AF36" s="144">
        <f>dragon!L36</f>
        <v>2.2607028573549044E+19</v>
      </c>
      <c r="AG36" s="144">
        <f>dragon!M36</f>
        <v>1.8288E+21</v>
      </c>
      <c r="AH36" s="144">
        <f>dragon!N36</f>
        <v>8.8049394701909059E+20</v>
      </c>
      <c r="AI36" s="144">
        <f>dragon!O36</f>
        <v>1.1911550477495538E+20</v>
      </c>
      <c r="AJ36" s="144">
        <f>dragon!P36</f>
        <v>6.4979583076985209E+19</v>
      </c>
      <c r="AK36" s="144">
        <f>dragon!Q36</f>
        <v>2.8551071319648887E+19</v>
      </c>
      <c r="AL36" s="144">
        <f>dragon!S36</f>
        <v>1.6654390733039501E+19</v>
      </c>
      <c r="AM36" s="144">
        <f>dragon!R36</f>
        <v>1.3394779504320621E+22</v>
      </c>
      <c r="AN36" s="152"/>
      <c r="AO36" s="145"/>
      <c r="AP36" s="145"/>
      <c r="AQ36" s="145"/>
      <c r="AR36" s="145"/>
      <c r="AS36" s="145"/>
      <c r="AT36" s="145"/>
      <c r="AU36" s="145"/>
      <c r="AV36" s="145"/>
      <c r="AW36" s="145"/>
      <c r="AX36" s="145"/>
    </row>
    <row r="37" spans="1:50" ht="12.75" thickBot="1">
      <c r="A37" s="146">
        <f>mod.RK1!F37</f>
        <v>2.9166666666666665</v>
      </c>
      <c r="B37" s="147">
        <f>mod.RK1!I37</f>
        <v>2.3619374661701296E+19</v>
      </c>
      <c r="C37" s="148">
        <f>mod.RK1!K37</f>
        <v>2.0364058935082484E+21</v>
      </c>
      <c r="D37" s="147">
        <f>mod.RK1!M37</f>
        <v>8.1851408106820023E+20</v>
      </c>
      <c r="E37" s="148">
        <f>mod.RK1!O37</f>
        <v>1.2200888567606313E+20</v>
      </c>
      <c r="F37" s="147">
        <f>mod.RK1!Q37</f>
        <v>5.9227951033080545E+19</v>
      </c>
      <c r="G37" s="148">
        <f>mod.RK1!S37</f>
        <v>3.0879056990838649E+19</v>
      </c>
      <c r="H37" s="147">
        <f>mod.RK1!W37</f>
        <v>4.1822046028012462E+19</v>
      </c>
      <c r="I37" s="148">
        <f>mod.RK1!Y37</f>
        <v>1.5201230195620722E+22</v>
      </c>
      <c r="J37" s="149">
        <f>mod.O5!U37</f>
        <v>2.9166666666666665</v>
      </c>
      <c r="K37" s="150">
        <f>mod.O5!AC37</f>
        <v>2.3488034260043112E+19</v>
      </c>
      <c r="L37" s="150">
        <f>mod.O5!AD37</f>
        <v>2.0361555841653004E+21</v>
      </c>
      <c r="M37" s="150">
        <f>mod.O5!AE37</f>
        <v>8.179032273737557E+20</v>
      </c>
      <c r="N37" s="150">
        <f>mod.O5!AF37</f>
        <v>1.223262712557227E+20</v>
      </c>
      <c r="O37" s="150">
        <f>mod.O5!AG37</f>
        <v>5.9183419990939501E+19</v>
      </c>
      <c r="P37" s="150">
        <f>mod.O5!AH37</f>
        <v>3.0879605672365724E+19</v>
      </c>
      <c r="Q37" s="150">
        <f>mod.O5!AI37</f>
        <v>4.216169620499814E+19</v>
      </c>
      <c r="R37" s="150">
        <f>mod.O5!AJ37</f>
        <v>1.5203399810158034E+22</v>
      </c>
      <c r="T37" s="151">
        <f>mod.math.!Q37</f>
        <v>35</v>
      </c>
      <c r="U37" s="151">
        <f>mod.math.!R37</f>
        <v>2.9166666666666665</v>
      </c>
      <c r="V37" s="151">
        <f>mod.math.!S37</f>
        <v>91980000</v>
      </c>
      <c r="W37" s="151">
        <f>mod.math.!T37</f>
        <v>1.4259124829381198E+19</v>
      </c>
      <c r="X37" s="151">
        <f>mod.math.!U37</f>
        <v>2.0355226186812212E+21</v>
      </c>
      <c r="Y37" s="151">
        <f>mod.math.!V37</f>
        <v>8.1787143423904422E+20</v>
      </c>
      <c r="Z37" s="151">
        <f>mod.math.!W37</f>
        <v>1.2232554815109372E+20</v>
      </c>
      <c r="AA37" s="151">
        <f>mod.math.!X37</f>
        <v>5.918334581815876E+19</v>
      </c>
      <c r="AB37" s="151">
        <f>mod.math.!Y37</f>
        <v>3.0879494746996228E+19</v>
      </c>
      <c r="AC37" s="151">
        <f>mod.math.!Z37</f>
        <v>4.2037776692482064E+19</v>
      </c>
      <c r="AD37" s="151">
        <f>mod.math.!AA37</f>
        <v>1.5203399524515026E+22</v>
      </c>
      <c r="AE37" s="146">
        <f>dragon!C37</f>
        <v>7</v>
      </c>
      <c r="AF37" s="144">
        <f>dragon!L37</f>
        <v>2.2867859611007345E+19</v>
      </c>
      <c r="AG37" s="144">
        <f>dragon!M37</f>
        <v>1.8171000000000001E+21</v>
      </c>
      <c r="AH37" s="144">
        <f>dragon!N37</f>
        <v>8.8234422849710575E+20</v>
      </c>
      <c r="AI37" s="144">
        <f>dragon!O37</f>
        <v>1.1929564921168444E+20</v>
      </c>
      <c r="AJ37" s="144">
        <f>dragon!P37</f>
        <v>6.525080081904699E+19</v>
      </c>
      <c r="AK37" s="144">
        <f>dragon!Q37</f>
        <v>2.83895348563449E+19</v>
      </c>
      <c r="AL37" s="144">
        <f>dragon!S37</f>
        <v>1.579809046556801E+19</v>
      </c>
      <c r="AM37" s="144">
        <f>dragon!R37</f>
        <v>1.3297860690959506E+22</v>
      </c>
      <c r="AN37" s="152"/>
      <c r="AO37" s="145"/>
      <c r="AP37" s="145"/>
      <c r="AQ37" s="145"/>
      <c r="AR37" s="145"/>
      <c r="AS37" s="145"/>
      <c r="AT37" s="145"/>
      <c r="AU37" s="145"/>
      <c r="AV37" s="145"/>
      <c r="AW37" s="145"/>
      <c r="AX37" s="145"/>
    </row>
    <row r="38" spans="1:50" ht="12.75" thickBot="1">
      <c r="A38" s="146">
        <f>mod.RK1!F38</f>
        <v>3</v>
      </c>
      <c r="B38" s="147">
        <f>mod.RK1!I38</f>
        <v>2.3760288556378804E+19</v>
      </c>
      <c r="C38" s="148">
        <f>mod.RK1!K38</f>
        <v>2.0319583165587972E+21</v>
      </c>
      <c r="D38" s="147">
        <f>mod.RK1!M38</f>
        <v>8.2055807620096288E+20</v>
      </c>
      <c r="E38" s="148">
        <f>mod.RK1!O38</f>
        <v>1.2171124225622367E+20</v>
      </c>
      <c r="F38" s="147">
        <f>mod.RK1!Q38</f>
        <v>5.9388328838575292E+19</v>
      </c>
      <c r="G38" s="148">
        <f>mod.RK1!S38</f>
        <v>3.0807229191701004E+19</v>
      </c>
      <c r="H38" s="147">
        <f>mod.RK1!W38</f>
        <v>4.0931498983547191E+19</v>
      </c>
      <c r="I38" s="148">
        <f>mod.RK1!Y38</f>
        <v>1.5157860881822059E+22</v>
      </c>
      <c r="J38" s="149">
        <f>mod.O5!U38</f>
        <v>3</v>
      </c>
      <c r="K38" s="150">
        <f>mod.O5!AC38</f>
        <v>2.3629071396662321E+19</v>
      </c>
      <c r="L38" s="150">
        <f>mod.O5!AD38</f>
        <v>2.0317107525258715E+21</v>
      </c>
      <c r="M38" s="150">
        <f>mod.O5!AE38</f>
        <v>8.1993366209413133E+20</v>
      </c>
      <c r="N38" s="150">
        <f>mod.O5!AF38</f>
        <v>1.2202526266373336E+20</v>
      </c>
      <c r="O38" s="150">
        <f>mod.O5!AG38</f>
        <v>5.9344163166495744E+19</v>
      </c>
      <c r="P38" s="150">
        <f>mod.O5!AH38</f>
        <v>3.0809092160466678E+19</v>
      </c>
      <c r="Q38" s="150">
        <f>mod.O5!AI38</f>
        <v>4.1273405802164421E+19</v>
      </c>
      <c r="R38" s="150">
        <f>mod.O5!AJ38</f>
        <v>1.5160086123068244E+22</v>
      </c>
      <c r="T38" s="151">
        <f>mod.math.!Q38</f>
        <v>36</v>
      </c>
      <c r="U38" s="151">
        <f>mod.math.!R38</f>
        <v>3</v>
      </c>
      <c r="V38" s="151">
        <f>mod.math.!S38</f>
        <v>94608000</v>
      </c>
      <c r="W38" s="151">
        <f>mod.math.!T38</f>
        <v>1.4218018358146753E+19</v>
      </c>
      <c r="X38" s="151">
        <f>mod.math.!U38</f>
        <v>2.031048917323264E+21</v>
      </c>
      <c r="Y38" s="151">
        <f>mod.math.!V38</f>
        <v>8.1989942499935571E+20</v>
      </c>
      <c r="Z38" s="151">
        <f>mod.math.!W38</f>
        <v>1.2202447149447591E+20</v>
      </c>
      <c r="AA38" s="151">
        <f>mod.math.!X38</f>
        <v>5.9344079127252533E+19</v>
      </c>
      <c r="AB38" s="151">
        <f>mod.math.!Y38</f>
        <v>3.0808966893925032E+19</v>
      </c>
      <c r="AC38" s="151">
        <f>mod.math.!Z38</f>
        <v>4.1147298742783795E+19</v>
      </c>
      <c r="AD38" s="151">
        <f>mod.math.!AA38</f>
        <v>1.5160085829137721E+22</v>
      </c>
      <c r="AE38" s="146">
        <f>dragon!C38</f>
        <v>7.2</v>
      </c>
      <c r="AF38" s="144">
        <f>dragon!L38</f>
        <v>2.3118658685486473E+19</v>
      </c>
      <c r="AG38" s="144">
        <f>dragon!M38</f>
        <v>1.8052999999999999E+21</v>
      </c>
      <c r="AH38" s="144">
        <f>dragon!N38</f>
        <v>8.8403448563107627E+20</v>
      </c>
      <c r="AI38" s="144">
        <f>dragon!O38</f>
        <v>1.194858016726762E+20</v>
      </c>
      <c r="AJ38" s="144">
        <f>dragon!P38</f>
        <v>6.5519027188953686E+19</v>
      </c>
      <c r="AK38" s="144">
        <f>dragon!Q38</f>
        <v>2.8231986947690394E+19</v>
      </c>
      <c r="AL38" s="144">
        <f>dragon!S38</f>
        <v>1.4982756721977881E+19</v>
      </c>
      <c r="AM38" s="144">
        <f>dragon!R38</f>
        <v>1.3201941040622733E+22</v>
      </c>
      <c r="AN38" s="152"/>
      <c r="AO38" s="145"/>
      <c r="AP38" s="145"/>
      <c r="AQ38" s="145"/>
      <c r="AR38" s="145"/>
      <c r="AS38" s="145"/>
      <c r="AT38" s="145"/>
      <c r="AU38" s="145"/>
      <c r="AV38" s="145"/>
      <c r="AW38" s="145"/>
      <c r="AX38" s="145"/>
    </row>
    <row r="39" spans="1:50" ht="12.75" thickBot="1">
      <c r="A39" s="146">
        <f>mod.RK1!F39</f>
        <v>3.0833333333333335</v>
      </c>
      <c r="B39" s="147">
        <f>mod.RK1!I39</f>
        <v>2.3893883613768274E+19</v>
      </c>
      <c r="C39" s="148">
        <f>mod.RK1!K39</f>
        <v>2.0274968984195831E+21</v>
      </c>
      <c r="D39" s="147">
        <f>mod.RK1!M39</f>
        <v>8.2256730522743236E+20</v>
      </c>
      <c r="E39" s="148">
        <f>mod.RK1!O39</f>
        <v>1.214310957874426E+20</v>
      </c>
      <c r="F39" s="147">
        <f>mod.RK1!Q39</f>
        <v>5.9546249605878137E+19</v>
      </c>
      <c r="G39" s="148">
        <f>mod.RK1!S39</f>
        <v>3.073551267088649E+19</v>
      </c>
      <c r="H39" s="147">
        <f>mod.RK1!W39</f>
        <v>4.0060008232759345E+19</v>
      </c>
      <c r="I39" s="148">
        <f>mod.RK1!Y39</f>
        <v>1.5114615301308554E+22</v>
      </c>
      <c r="J39" s="149">
        <f>mod.O5!U39</f>
        <v>3.0833333333333335</v>
      </c>
      <c r="K39" s="150">
        <f>mod.O5!AC39</f>
        <v>2.3762917868079403E+19</v>
      </c>
      <c r="L39" s="150">
        <f>mod.O5!AD39</f>
        <v>2.0272524196295853E+21</v>
      </c>
      <c r="M39" s="150">
        <f>mod.O5!AE39</f>
        <v>8.2192956032911986E+20</v>
      </c>
      <c r="N39" s="150">
        <f>mod.O5!AF39</f>
        <v>1.2174150799142347E+20</v>
      </c>
      <c r="O39" s="150">
        <f>mod.O5!AG39</f>
        <v>5.9502472640465789E+19</v>
      </c>
      <c r="P39" s="150">
        <f>mod.O5!AH39</f>
        <v>3.0738673164120076E+19</v>
      </c>
      <c r="Q39" s="150">
        <f>mod.O5!AI39</f>
        <v>4.0403929865323635E+19</v>
      </c>
      <c r="R39" s="150">
        <f>mod.O5!AJ39</f>
        <v>1.5116895834461507E+22</v>
      </c>
      <c r="T39" s="151">
        <f>mod.math.!Q39</f>
        <v>37</v>
      </c>
      <c r="U39" s="151">
        <f>mod.math.!R39</f>
        <v>3.0833333333333335</v>
      </c>
      <c r="V39" s="151">
        <f>mod.math.!S39</f>
        <v>97236000</v>
      </c>
      <c r="W39" s="151">
        <f>mod.math.!T39</f>
        <v>1.4173478141643727E+19</v>
      </c>
      <c r="X39" s="151">
        <f>mod.math.!U39</f>
        <v>2.0265614870264134E+21</v>
      </c>
      <c r="Y39" s="151">
        <f>mod.math.!V39</f>
        <v>8.218927751710258E+20</v>
      </c>
      <c r="Z39" s="151">
        <f>mod.math.!W39</f>
        <v>1.2174059525433211E+20</v>
      </c>
      <c r="AA39" s="151">
        <f>mod.math.!X39</f>
        <v>5.9502385441072939E+19</v>
      </c>
      <c r="AB39" s="151">
        <f>mod.math.!Y39</f>
        <v>3.07385467614005E+19</v>
      </c>
      <c r="AC39" s="151">
        <f>mod.math.!Z39</f>
        <v>4.0275683612227936E+19</v>
      </c>
      <c r="AD39" s="151">
        <f>mod.math.!AA39</f>
        <v>1.5116895532228253E+22</v>
      </c>
      <c r="AE39" s="146">
        <f>dragon!C39</f>
        <v>7.4</v>
      </c>
      <c r="AF39" s="144">
        <f>dragon!L39</f>
        <v>2.3361432189582275E+19</v>
      </c>
      <c r="AG39" s="144">
        <f>dragon!M39</f>
        <v>1.7934999999999999E+21</v>
      </c>
      <c r="AH39" s="144">
        <f>dragon!N39</f>
        <v>8.8557471994250501E+20</v>
      </c>
      <c r="AI39" s="144">
        <f>dragon!O39</f>
        <v>1.1968596215793073E+20</v>
      </c>
      <c r="AJ39" s="144">
        <f>dragon!P39</f>
        <v>6.5785259310756979E+19</v>
      </c>
      <c r="AK39" s="144">
        <f>dragon!Q39</f>
        <v>2.8075436177698251E+19</v>
      </c>
      <c r="AL39" s="144">
        <f>dragon!S39</f>
        <v>1.4206391135250518E+19</v>
      </c>
      <c r="AM39" s="144">
        <f>dragon!R39</f>
        <v>1.3105022227261619E+22</v>
      </c>
      <c r="AN39" s="152"/>
      <c r="AO39" s="145"/>
      <c r="AP39" s="145"/>
      <c r="AQ39" s="145"/>
      <c r="AR39" s="145"/>
      <c r="AS39" s="145"/>
      <c r="AT39" s="145"/>
      <c r="AU39" s="145"/>
      <c r="AV39" s="145"/>
      <c r="AW39" s="145"/>
      <c r="AX39" s="145"/>
    </row>
    <row r="40" spans="1:50" ht="12.75" thickBot="1">
      <c r="A40" s="146">
        <f>mod.RK1!F40</f>
        <v>3.1666666666666665</v>
      </c>
      <c r="B40" s="147">
        <f>mod.RK1!I40</f>
        <v>2.4020372469987258E+19</v>
      </c>
      <c r="C40" s="148">
        <f>mod.RK1!K40</f>
        <v>2.0230221822434843E+21</v>
      </c>
      <c r="D40" s="147">
        <f>mod.RK1!M40</f>
        <v>8.2454198519959978E+20</v>
      </c>
      <c r="E40" s="148">
        <f>mod.RK1!O40</f>
        <v>1.2116777211515352E+20</v>
      </c>
      <c r="F40" s="147">
        <f>mod.RK1!Q40</f>
        <v>5.9701801776744047E+19</v>
      </c>
      <c r="G40" s="148">
        <f>mod.RK1!S40</f>
        <v>3.0663975949064385E+19</v>
      </c>
      <c r="H40" s="147">
        <f>mod.RK1!W40</f>
        <v>3.9207165740032295E+19</v>
      </c>
      <c r="I40" s="148">
        <f>mod.RK1!Y40</f>
        <v>1.5071493101067031E+22</v>
      </c>
      <c r="J40" s="149">
        <f>mod.O5!U40</f>
        <v>3.1666666666666665</v>
      </c>
      <c r="K40" s="150">
        <f>mod.O5!AC40</f>
        <v>2.3889780324963009E+19</v>
      </c>
      <c r="L40" s="150">
        <f>mod.O5!AD40</f>
        <v>2.0227811239678734E+21</v>
      </c>
      <c r="M40" s="150">
        <f>mod.O5!AE40</f>
        <v>8.2389113640512612E+20</v>
      </c>
      <c r="N40" s="150">
        <f>mod.O5!AF40</f>
        <v>1.2147430648801806E+20</v>
      </c>
      <c r="O40" s="150">
        <f>mod.O5!AG40</f>
        <v>5.9658441061338784E+19</v>
      </c>
      <c r="P40" s="150">
        <f>mod.O5!AH40</f>
        <v>3.0668427828409905E+19</v>
      </c>
      <c r="Q40" s="150">
        <f>mod.O5!AI40</f>
        <v>3.9552861282606506E+19</v>
      </c>
      <c r="R40" s="150">
        <f>mod.O5!AJ40</f>
        <v>1.5073828592767302E+22</v>
      </c>
      <c r="T40" s="151">
        <f>mod.math.!Q40</f>
        <v>38</v>
      </c>
      <c r="U40" s="151">
        <f>mod.math.!R40</f>
        <v>3.1666666666666665</v>
      </c>
      <c r="V40" s="151">
        <f>mod.math.!S40</f>
        <v>99864000</v>
      </c>
      <c r="W40" s="151">
        <f>mod.math.!T40</f>
        <v>1.4125647923184771E+19</v>
      </c>
      <c r="X40" s="151">
        <f>mod.math.!U40</f>
        <v>2.0220608798471954E+21</v>
      </c>
      <c r="Y40" s="151">
        <f>mod.math.!V40</f>
        <v>8.2385170158430899E+20</v>
      </c>
      <c r="Z40" s="151">
        <f>mod.math.!W40</f>
        <v>1.2147326518532859E+20</v>
      </c>
      <c r="AA40" s="151">
        <f>mod.math.!X40</f>
        <v>5.9658350210799796E+19</v>
      </c>
      <c r="AB40" s="151">
        <f>mod.math.!Y40</f>
        <v>3.0668299809904476E+19</v>
      </c>
      <c r="AC40" s="151">
        <f>mod.math.!Z40</f>
        <v>3.9422531733429191E+19</v>
      </c>
      <c r="AD40" s="151">
        <f>mod.math.!AA40</f>
        <v>1.5073828282230796E+22</v>
      </c>
      <c r="AE40" s="146">
        <f>dragon!C40</f>
        <v>7.6</v>
      </c>
      <c r="AF40" s="144">
        <f>dragon!L40</f>
        <v>2.359618012329474E+19</v>
      </c>
      <c r="AG40" s="144">
        <f>dragon!M40</f>
        <v>1.7816999999999999E+21</v>
      </c>
      <c r="AH40" s="144">
        <f>dragon!N40</f>
        <v>8.8697493295289467E+20</v>
      </c>
      <c r="AI40" s="144">
        <f>dragon!O40</f>
        <v>1.1989613066744794E+20</v>
      </c>
      <c r="AJ40" s="144">
        <f>dragon!P40</f>
        <v>6.6050494308508574E+19</v>
      </c>
      <c r="AK40" s="144">
        <f>dragon!Q40</f>
        <v>2.7922873962355597E+19</v>
      </c>
      <c r="AL40" s="144">
        <f>dragon!S40</f>
        <v>1.3467994521876617E+19</v>
      </c>
      <c r="AM40" s="144">
        <f>dragon!R40</f>
        <v>1.3010101739949188E+22</v>
      </c>
      <c r="AN40" s="152"/>
      <c r="AO40" s="145"/>
      <c r="AP40" s="145"/>
      <c r="AQ40" s="145"/>
      <c r="AR40" s="145"/>
      <c r="AS40" s="145"/>
      <c r="AT40" s="145"/>
      <c r="AU40" s="145"/>
      <c r="AV40" s="145"/>
      <c r="AW40" s="145"/>
      <c r="AX40" s="145"/>
    </row>
    <row r="41" spans="1:50" ht="12.75" thickBot="1">
      <c r="A41" s="146">
        <f>mod.RK1!F41</f>
        <v>3.25</v>
      </c>
      <c r="B41" s="147">
        <f>mod.RK1!I41</f>
        <v>2.413996305166744E+19</v>
      </c>
      <c r="C41" s="148">
        <f>mod.RK1!K41</f>
        <v>2.0185347003465039E+21</v>
      </c>
      <c r="D41" s="147">
        <f>mod.RK1!M41</f>
        <v>8.2648233372462272E+20</v>
      </c>
      <c r="E41" s="148">
        <f>mod.RK1!O41</f>
        <v>1.2092061840111087E+20</v>
      </c>
      <c r="F41" s="147">
        <f>mod.RK1!Q41</f>
        <v>5.9855070579817824E+19</v>
      </c>
      <c r="G41" s="148">
        <f>mod.RK1!S41</f>
        <v>3.0592683577456685E+19</v>
      </c>
      <c r="H41" s="147">
        <f>mod.RK1!W41</f>
        <v>3.8372572207247589E+19</v>
      </c>
      <c r="I41" s="148">
        <f>mod.RK1!Y41</f>
        <v>1.5028493929091479E+22</v>
      </c>
      <c r="J41" s="149">
        <f>mod.O5!U41</f>
        <v>3.25</v>
      </c>
      <c r="K41" s="150">
        <f>mod.O5!AC41</f>
        <v>2.4009861190591513E+19</v>
      </c>
      <c r="L41" s="150">
        <f>mod.O5!AD41</f>
        <v>2.0182973856295879E+21</v>
      </c>
      <c r="M41" s="150">
        <f>mod.O5!AE41</f>
        <v>8.2581860776799909E+20</v>
      </c>
      <c r="N41" s="150">
        <f>mod.O5!AF41</f>
        <v>1.2122302450402745E+20</v>
      </c>
      <c r="O41" s="150">
        <f>mod.O5!AG41</f>
        <v>5.9812150839716348E+19</v>
      </c>
      <c r="P41" s="150">
        <f>mod.O5!AH41</f>
        <v>3.0598417880107106E+19</v>
      </c>
      <c r="Q41" s="150">
        <f>mod.O5!AI41</f>
        <v>3.8719810101606212E+19</v>
      </c>
      <c r="R41" s="150">
        <f>mod.O5!AJ41</f>
        <v>1.5030884047430997E+22</v>
      </c>
      <c r="T41" s="151">
        <f>mod.math.!Q41</f>
        <v>39</v>
      </c>
      <c r="U41" s="151">
        <f>mod.math.!R41</f>
        <v>3.25</v>
      </c>
      <c r="V41" s="151">
        <f>mod.math.!S41</f>
        <v>102492000</v>
      </c>
      <c r="W41" s="151">
        <f>mod.math.!T41</f>
        <v>1.4074667229865353E+19</v>
      </c>
      <c r="X41" s="151">
        <f>mod.math.!U41</f>
        <v>2.0175476366213047E+21</v>
      </c>
      <c r="Y41" s="151">
        <f>mod.math.!V41</f>
        <v>8.2577642163779863E+20</v>
      </c>
      <c r="Z41" s="151">
        <f>mod.math.!W41</f>
        <v>1.2122184744532797E+20</v>
      </c>
      <c r="AA41" s="151">
        <f>mod.math.!X41</f>
        <v>5.9812055818238394E+19</v>
      </c>
      <c r="AB41" s="151">
        <f>mod.math.!Y41</f>
        <v>3.0598287742499062E+19</v>
      </c>
      <c r="AC41" s="151">
        <f>mod.math.!Z41</f>
        <v>3.8587452002959606E+19</v>
      </c>
      <c r="AD41" s="151">
        <f>mod.math.!AA41</f>
        <v>1.5030883728591096E+22</v>
      </c>
      <c r="AE41" s="146">
        <f>dragon!C41</f>
        <v>7.8</v>
      </c>
      <c r="AF41" s="144">
        <f>dragon!L41</f>
        <v>2.3820896094028046E+19</v>
      </c>
      <c r="AG41" s="144">
        <f>dragon!M41</f>
        <v>1.7698E+21</v>
      </c>
      <c r="AH41" s="144">
        <f>dragon!N41</f>
        <v>8.8822512314074281E+20</v>
      </c>
      <c r="AI41" s="144">
        <f>dragon!O41</f>
        <v>1.2010629917696518E+20</v>
      </c>
      <c r="AJ41" s="144">
        <f>dragon!P41</f>
        <v>6.6312737934105068E+19</v>
      </c>
      <c r="AK41" s="144">
        <f>dragon!Q41</f>
        <v>2.7772306024337682E+19</v>
      </c>
      <c r="AL41" s="144">
        <f>dragon!S41</f>
        <v>1.2765568514837572E+19</v>
      </c>
      <c r="AM41" s="144">
        <f>dragon!R41</f>
        <v>1.2914182089612414E+22</v>
      </c>
      <c r="AN41" s="152"/>
      <c r="AO41" s="145"/>
      <c r="AP41" s="145"/>
      <c r="AQ41" s="145"/>
      <c r="AR41" s="145"/>
      <c r="AS41" s="145"/>
      <c r="AT41" s="145"/>
      <c r="AU41" s="145"/>
      <c r="AV41" s="145"/>
      <c r="AW41" s="145"/>
      <c r="AX41" s="145"/>
    </row>
    <row r="42" spans="1:50" ht="12.75" thickBot="1">
      <c r="A42" s="146">
        <f>mod.RK1!F42</f>
        <v>3.3333333333333335</v>
      </c>
      <c r="B42" s="147">
        <f>mod.RK1!I42</f>
        <v>2.4252858652094788E+19</v>
      </c>
      <c r="C42" s="148">
        <f>mod.RK1!K42</f>
        <v>2.0140349744073626E+21</v>
      </c>
      <c r="D42" s="147">
        <f>mod.RK1!M42</f>
        <v>8.2838856891511092E+20</v>
      </c>
      <c r="E42" s="148">
        <f>mod.RK1!O42</f>
        <v>1.2068900248017048E+20</v>
      </c>
      <c r="F42" s="147">
        <f>mod.RK1!Q42</f>
        <v>6.0006138131295248E+19</v>
      </c>
      <c r="G42" s="148">
        <f>mod.RK1!S42</f>
        <v>3.0521696296266809E+19</v>
      </c>
      <c r="H42" s="147">
        <f>mod.RK1!W42</f>
        <v>3.7555836886685843E+19</v>
      </c>
      <c r="I42" s="148">
        <f>mod.RK1!Y42</f>
        <v>1.4985617434380178E+22</v>
      </c>
      <c r="J42" s="149">
        <f>mod.O5!U42</f>
        <v>3.3333333333333335</v>
      </c>
      <c r="K42" s="150">
        <f>mod.O5!AC42</f>
        <v>2.4123358397672296E+19</v>
      </c>
      <c r="L42" s="150">
        <f>mod.O5!AD42</f>
        <v>2.0138017143945513E+21</v>
      </c>
      <c r="M42" s="150">
        <f>mod.O5!AE42</f>
        <v>8.2771219229319365E+20</v>
      </c>
      <c r="N42" s="150">
        <f>mod.O5!AF42</f>
        <v>1.2098704814037488E+20</v>
      </c>
      <c r="O42" s="150">
        <f>mod.O5!AG42</f>
        <v>5.9963681418726294E+19</v>
      </c>
      <c r="P42" s="150">
        <f>mod.O5!AH42</f>
        <v>3.0528701448736838E+19</v>
      </c>
      <c r="Q42" s="150">
        <f>mod.O5!AI42</f>
        <v>3.7904394622932607E+19</v>
      </c>
      <c r="R42" s="150">
        <f>mod.O5!AJ42</f>
        <v>1.4988061848896688E+22</v>
      </c>
      <c r="T42" s="151">
        <f>mod.math.!Q42</f>
        <v>40</v>
      </c>
      <c r="U42" s="151">
        <f>mod.math.!R42</f>
        <v>3.3333333333333335</v>
      </c>
      <c r="V42" s="151">
        <f>mod.math.!S42</f>
        <v>105120000</v>
      </c>
      <c r="W42" s="151">
        <f>mod.math.!T42</f>
        <v>1.402067148119724E+19</v>
      </c>
      <c r="X42" s="151">
        <f>mod.math.!U42</f>
        <v>2.0130222871713106E+21</v>
      </c>
      <c r="Y42" s="151">
        <f>mod.math.!V42</f>
        <v>8.2766715324764075E+20</v>
      </c>
      <c r="Z42" s="151">
        <f>mod.math.!W42</f>
        <v>1.2098572798899788E+20</v>
      </c>
      <c r="AA42" s="151">
        <f>mod.math.!X42</f>
        <v>5.9963581670798492E+19</v>
      </c>
      <c r="AB42" s="151">
        <f>mod.math.!Y42</f>
        <v>3.0528568653111886E+19</v>
      </c>
      <c r="AC42" s="151">
        <f>mod.math.!Z42</f>
        <v>3.7770061602058101E+19</v>
      </c>
      <c r="AD42" s="151">
        <f>mod.math.!AA42</f>
        <v>1.4988061521753596E+22</v>
      </c>
      <c r="AE42" s="146">
        <f>dragon!C42</f>
        <v>8</v>
      </c>
      <c r="AF42" s="144">
        <f>dragon!L42</f>
        <v>2.4037586494378017E+19</v>
      </c>
      <c r="AG42" s="144">
        <f>dragon!M42</f>
        <v>1.7579000000000001E+21</v>
      </c>
      <c r="AH42" s="144">
        <f>dragon!N42</f>
        <v>8.8933529202755174E+20</v>
      </c>
      <c r="AI42" s="144">
        <f>dragon!O42</f>
        <v>1.2032647571074513E+20</v>
      </c>
      <c r="AJ42" s="144">
        <f>dragon!P42</f>
        <v>6.6572987311598182E+19</v>
      </c>
      <c r="AK42" s="144">
        <f>dragon!Q42</f>
        <v>2.7623732363644506E+19</v>
      </c>
      <c r="AL42" s="144">
        <f>dragon!S42</f>
        <v>1.2098113930624088E+19</v>
      </c>
      <c r="AM42" s="144">
        <f>dragon!R42</f>
        <v>1.2818262439275641E+22</v>
      </c>
      <c r="AN42" s="152"/>
      <c r="AO42" s="145"/>
      <c r="AP42" s="145"/>
      <c r="AQ42" s="145"/>
      <c r="AR42" s="145"/>
      <c r="AS42" s="145"/>
      <c r="AT42" s="145"/>
      <c r="AU42" s="145"/>
      <c r="AV42" s="145"/>
      <c r="AW42" s="145"/>
      <c r="AX42" s="145"/>
    </row>
    <row r="43" spans="1:50" ht="12.75" thickBot="1">
      <c r="A43" s="146">
        <f>mod.RK1!F43</f>
        <v>3.4166666666666665</v>
      </c>
      <c r="B43" s="147">
        <f>mod.RK1!I43</f>
        <v>2.4359258006931526E+19</v>
      </c>
      <c r="C43" s="148">
        <f>mod.RK1!K43</f>
        <v>2.0095235156634058E+21</v>
      </c>
      <c r="D43" s="147">
        <f>mod.RK1!M43</f>
        <v>8.3026090934063949E+20</v>
      </c>
      <c r="E43" s="148">
        <f>mod.RK1!O43</f>
        <v>1.2047231223634256E+20</v>
      </c>
      <c r="F43" s="147">
        <f>mod.RK1!Q43</f>
        <v>6.0155083532602335E+19</v>
      </c>
      <c r="G43" s="148">
        <f>mod.RK1!S43</f>
        <v>3.0451071187622023E+19</v>
      </c>
      <c r="H43" s="147">
        <f>mod.RK1!W43</f>
        <v>3.6756577397933982E+19</v>
      </c>
      <c r="I43" s="148">
        <f>mod.RK1!Y43</f>
        <v>1.4942863266932834E+22</v>
      </c>
      <c r="J43" s="149">
        <f>mod.O5!U43</f>
        <v>3.4166666666666665</v>
      </c>
      <c r="K43" s="150">
        <f>mod.O5!AC43</f>
        <v>2.423046546345096E+19</v>
      </c>
      <c r="L43" s="150">
        <f>mod.O5!AD43</f>
        <v>2.0092946099307639E+21</v>
      </c>
      <c r="M43" s="150">
        <f>mod.O5!AE43</f>
        <v>8.2957210823683159E+20</v>
      </c>
      <c r="N43" s="150">
        <f>mod.O5!AF43</f>
        <v>1.2076578261406381E+20</v>
      </c>
      <c r="O43" s="150">
        <f>mod.O5!AG43</f>
        <v>6.0113109373273948E+19</v>
      </c>
      <c r="P43" s="150">
        <f>mod.O5!AH43</f>
        <v>3.0459333222714343E+19</v>
      </c>
      <c r="Q43" s="150">
        <f>mod.O5!AI43</f>
        <v>3.710624121558034E+19</v>
      </c>
      <c r="R43" s="150">
        <f>mod.O5!AJ43</f>
        <v>1.4945361648604297E+22</v>
      </c>
      <c r="T43" s="151">
        <f>mod.math.!Q43</f>
        <v>41</v>
      </c>
      <c r="U43" s="151">
        <f>mod.math.!R43</f>
        <v>3.4166666666666665</v>
      </c>
      <c r="V43" s="151">
        <f>mod.math.!S43</f>
        <v>107748000</v>
      </c>
      <c r="W43" s="151">
        <f>mod.math.!T43</f>
        <v>1.3963792095122317E+19</v>
      </c>
      <c r="X43" s="151">
        <f>mod.math.!U43</f>
        <v>2.0084853505106971E+21</v>
      </c>
      <c r="Y43" s="151">
        <f>mod.math.!V43</f>
        <v>8.2952411479800414E+20</v>
      </c>
      <c r="Z43" s="151">
        <f>mod.math.!W43</f>
        <v>1.2076431197930367E+20</v>
      </c>
      <c r="AA43" s="151">
        <f>mod.math.!X43</f>
        <v>6.011300429370386E+19</v>
      </c>
      <c r="AB43" s="151">
        <f>mod.math.!Y43</f>
        <v>3.0459197169751212E+19</v>
      </c>
      <c r="AC43" s="151">
        <f>mod.math.!Z43</f>
        <v>3.69699858211381E+19</v>
      </c>
      <c r="AD43" s="151">
        <f>mod.math.!AA43</f>
        <v>1.4945361313158622E+22</v>
      </c>
      <c r="AE43" s="146">
        <f>dragon!C43</f>
        <v>8.1999999999999993</v>
      </c>
      <c r="AF43" s="144">
        <f>dragon!L43</f>
        <v>2.4245248128046739E+19</v>
      </c>
      <c r="AG43" s="144">
        <f>dragon!M43</f>
        <v>1.7459000000000001E+21</v>
      </c>
      <c r="AH43" s="144">
        <f>dragon!N43</f>
        <v>8.9029543809181902E+20</v>
      </c>
      <c r="AI43" s="144">
        <f>dragon!O43</f>
        <v>1.2053664422026237E+20</v>
      </c>
      <c r="AJ43" s="144">
        <f>dragon!P43</f>
        <v>6.6831242440987886E+19</v>
      </c>
      <c r="AK43" s="144">
        <f>dragon!Q43</f>
        <v>2.7477152980276072E+19</v>
      </c>
      <c r="AL43" s="144">
        <f>dragon!S43</f>
        <v>1.1463632402217556E+19</v>
      </c>
      <c r="AM43" s="144">
        <f>dragon!R43</f>
        <v>1.2723341951963209E+22</v>
      </c>
      <c r="AN43" s="152"/>
      <c r="AO43" s="145"/>
      <c r="AP43" s="145"/>
      <c r="AQ43" s="145"/>
      <c r="AR43" s="145"/>
      <c r="AS43" s="145"/>
      <c r="AT43" s="145"/>
      <c r="AU43" s="145"/>
      <c r="AV43" s="145"/>
      <c r="AW43" s="145"/>
      <c r="AX43" s="145"/>
    </row>
    <row r="44" spans="1:50" ht="12.75" thickBot="1">
      <c r="A44" s="146">
        <f>mod.RK1!F44</f>
        <v>3.5</v>
      </c>
      <c r="B44" s="147">
        <f>mod.RK1!I44</f>
        <v>2.4459355369485873E+19</v>
      </c>
      <c r="C44" s="148">
        <f>mod.RK1!K44</f>
        <v>2.0050008251028959E+21</v>
      </c>
      <c r="D44" s="147">
        <f>mod.RK1!M44</f>
        <v>8.320995739804652E+20</v>
      </c>
      <c r="E44" s="148">
        <f>mod.RK1!O44</f>
        <v>1.2026995499753826E+20</v>
      </c>
      <c r="F44" s="147">
        <f>mod.RK1!Q44</f>
        <v>6.0301982965180367E+19</v>
      </c>
      <c r="G44" s="148">
        <f>mod.RK1!S44</f>
        <v>3.0380861823207465E+19</v>
      </c>
      <c r="H44" s="147">
        <f>mod.RK1!W44</f>
        <v>3.5974419548713038E+19</v>
      </c>
      <c r="I44" s="148">
        <f>mod.RK1!Y44</f>
        <v>1.4900231077747719E+22</v>
      </c>
      <c r="J44" s="149">
        <f>mod.O5!U44</f>
        <v>3.5</v>
      </c>
      <c r="K44" s="150">
        <f>mod.O5!AC44</f>
        <v>2.4331371564820513E+19</v>
      </c>
      <c r="L44" s="150">
        <f>mod.O5!AD44</f>
        <v>2.0047765619916118E+21</v>
      </c>
      <c r="M44" s="150">
        <f>mod.O5!AE44</f>
        <v>8.3139857418676575E+20</v>
      </c>
      <c r="N44" s="150">
        <f>mod.O5!AF44</f>
        <v>1.2055865162384469E+20</v>
      </c>
      <c r="O44" s="150">
        <f>mod.O5!AG44</f>
        <v>6.026050850929324E+19</v>
      </c>
      <c r="P44" s="150">
        <f>mod.O5!AH44</f>
        <v>3.0390364605480862E+19</v>
      </c>
      <c r="Q44" s="150">
        <f>mod.O5!AI44</f>
        <v>3.6324984132296843E+19</v>
      </c>
      <c r="R44" s="150">
        <f>mod.O5!AJ44</f>
        <v>1.4902783098986724E+22</v>
      </c>
      <c r="T44" s="151">
        <f>mod.math.!Q44</f>
        <v>42</v>
      </c>
      <c r="U44" s="151">
        <f>mod.math.!R44</f>
        <v>3.5</v>
      </c>
      <c r="V44" s="151">
        <f>mod.math.!S44</f>
        <v>110376000</v>
      </c>
      <c r="W44" s="151">
        <f>mod.math.!T44</f>
        <v>1.390415659146693E+19</v>
      </c>
      <c r="X44" s="151">
        <f>mod.math.!U44</f>
        <v>2.0039373350442867E+21</v>
      </c>
      <c r="Y44" s="151">
        <f>mod.math.!V44</f>
        <v>8.3134752509278251E+20</v>
      </c>
      <c r="Z44" s="151">
        <f>mod.math.!W44</f>
        <v>1.2055702321635487E+20</v>
      </c>
      <c r="AA44" s="151">
        <f>mod.math.!X44</f>
        <v>6.0260397419508695E+19</v>
      </c>
      <c r="AB44" s="151">
        <f>mod.math.!Y44</f>
        <v>3.0390224592814137E+19</v>
      </c>
      <c r="AC44" s="151">
        <f>mod.math.!Z44</f>
        <v>3.6186857888012456E+19</v>
      </c>
      <c r="AD44" s="151">
        <f>mod.math.!AA44</f>
        <v>1.4902782755239511E+22</v>
      </c>
      <c r="AE44" s="146">
        <f>dragon!C44</f>
        <v>8.4</v>
      </c>
      <c r="AF44" s="144">
        <f>dragon!L44</f>
        <v>2.4444884191332127E+19</v>
      </c>
      <c r="AG44" s="144">
        <f>dragon!M44</f>
        <v>1.7339000000000001E+21</v>
      </c>
      <c r="AH44" s="144">
        <f>dragon!N44</f>
        <v>8.9111556285504723E+20</v>
      </c>
      <c r="AI44" s="144">
        <f>dragon!O44</f>
        <v>1.2075682075404232E+20</v>
      </c>
      <c r="AJ44" s="144">
        <f>dragon!P44</f>
        <v>6.7088500446325899E+19</v>
      </c>
      <c r="AK44" s="144">
        <f>dragon!Q44</f>
        <v>2.7333565012894749E+19</v>
      </c>
      <c r="AL44" s="144">
        <f>dragon!S44</f>
        <v>1.0860125562599373E+19</v>
      </c>
      <c r="AM44" s="144">
        <f>dragon!R44</f>
        <v>1.2628421464650777E+22</v>
      </c>
      <c r="AN44" s="152"/>
      <c r="AO44" s="145"/>
      <c r="AP44" s="145"/>
      <c r="AQ44" s="145"/>
      <c r="AR44" s="145"/>
      <c r="AS44" s="145"/>
      <c r="AT44" s="145"/>
      <c r="AU44" s="145"/>
      <c r="AV44" s="145"/>
      <c r="AW44" s="145"/>
      <c r="AX44" s="145"/>
    </row>
    <row r="45" spans="1:50" ht="12.75" thickBot="1">
      <c r="A45" s="146">
        <f>mod.RK1!F45</f>
        <v>3.5833333333333335</v>
      </c>
      <c r="B45" s="147">
        <f>mod.RK1!I45</f>
        <v>2.45533405854976E+19</v>
      </c>
      <c r="C45" s="148">
        <f>mod.RK1!K45</f>
        <v>2.0004673936537627E+21</v>
      </c>
      <c r="D45" s="147">
        <f>mod.RK1!M45</f>
        <v>8.3390478217742057E+20</v>
      </c>
      <c r="E45" s="148">
        <f>mod.RK1!O45</f>
        <v>1.2008135694844915E+20</v>
      </c>
      <c r="F45" s="147">
        <f>mod.RK1!Q45</f>
        <v>6.0446909782461563E+19</v>
      </c>
      <c r="G45" s="148">
        <f>mod.RK1!S45</f>
        <v>3.0311118406764069E+19</v>
      </c>
      <c r="H45" s="147">
        <f>mod.RK1!W45</f>
        <v>3.5208997159542538E+19</v>
      </c>
      <c r="I45" s="148">
        <f>mod.RK1!Y45</f>
        <v>1.4857720518818828E+22</v>
      </c>
      <c r="J45" s="149">
        <f>mod.O5!U45</f>
        <v>3.5833333333333335</v>
      </c>
      <c r="K45" s="150">
        <f>mod.O5!AC45</f>
        <v>2.4426261613430649E+19</v>
      </c>
      <c r="L45" s="150">
        <f>mod.O5!AD45</f>
        <v>2.0002480506130745E+21</v>
      </c>
      <c r="M45" s="150">
        <f>mod.O5!AE45</f>
        <v>8.3319180901364086E+20</v>
      </c>
      <c r="N45" s="150">
        <f>mod.O5!AF45</f>
        <v>1.2036509671588217E+20</v>
      </c>
      <c r="O45" s="150">
        <f>mod.O5!AG45</f>
        <v>6.0405949962998071E+19</v>
      </c>
      <c r="P45" s="150">
        <f>mod.O5!AH45</f>
        <v>3.0321843871639638E+19</v>
      </c>
      <c r="Q45" s="150">
        <f>mod.O5!AI45</f>
        <v>3.5560265324950516E+19</v>
      </c>
      <c r="R45" s="150">
        <f>mod.O5!AJ45</f>
        <v>1.4860325853466976E+22</v>
      </c>
      <c r="T45" s="151">
        <f>mod.math.!Q45</f>
        <v>43</v>
      </c>
      <c r="U45" s="151">
        <f>mod.math.!R45</f>
        <v>3.5833333333333335</v>
      </c>
      <c r="V45" s="151">
        <f>mod.math.!S45</f>
        <v>113004000</v>
      </c>
      <c r="W45" s="151">
        <f>mod.math.!T45</f>
        <v>1.3841888692896809E+19</v>
      </c>
      <c r="X45" s="151">
        <f>mod.math.!U45</f>
        <v>1.9993787387651194E+21</v>
      </c>
      <c r="Y45" s="151">
        <f>mod.math.!V45</f>
        <v>8.3313760330850697E+20</v>
      </c>
      <c r="Z45" s="151">
        <f>mod.math.!W45</f>
        <v>1.203633035830946E+20</v>
      </c>
      <c r="AA45" s="151">
        <f>mod.math.!X45</f>
        <v>6.0405832074996777E+19</v>
      </c>
      <c r="AB45" s="151">
        <f>mod.math.!Y45</f>
        <v>3.0321699028643447E+19</v>
      </c>
      <c r="AC45" s="151">
        <f>mod.math.!Z45</f>
        <v>3.5420318799757042E+19</v>
      </c>
      <c r="AD45" s="151">
        <f>mod.math.!AA45</f>
        <v>1.4860325501419815E+22</v>
      </c>
      <c r="AE45" s="146">
        <f>dragon!C45</f>
        <v>8.6</v>
      </c>
      <c r="AF45" s="144">
        <f>dragon!L45</f>
        <v>2.4635491487936266E+19</v>
      </c>
      <c r="AG45" s="144">
        <f>dragon!M45</f>
        <v>1.7218999999999999E+21</v>
      </c>
      <c r="AH45" s="144">
        <f>dragon!N45</f>
        <v>8.9179566631723663E+20</v>
      </c>
      <c r="AI45" s="144">
        <f>dragon!O45</f>
        <v>1.2097699728782226E+20</v>
      </c>
      <c r="AJ45" s="144">
        <f>dragon!P45</f>
        <v>6.7343764203560509E+19</v>
      </c>
      <c r="AK45" s="144">
        <f>dragon!Q45</f>
        <v>2.7191971322838168E+19</v>
      </c>
      <c r="AL45" s="144">
        <f>dragon!S45</f>
        <v>1.0286594228260241E+19</v>
      </c>
      <c r="AM45" s="144">
        <f>dragon!R45</f>
        <v>1.2533500977338347E+22</v>
      </c>
      <c r="AN45" s="152"/>
      <c r="AO45" s="145"/>
      <c r="AP45" s="145"/>
      <c r="AQ45" s="145"/>
      <c r="AR45" s="145"/>
      <c r="AS45" s="145"/>
      <c r="AT45" s="145"/>
      <c r="AU45" s="145"/>
      <c r="AV45" s="145"/>
      <c r="AW45" s="145"/>
      <c r="AX45" s="145"/>
    </row>
    <row r="46" spans="1:50" ht="12.75" thickBot="1">
      <c r="A46" s="146">
        <f>mod.RK1!F46</f>
        <v>3.6666666666666665</v>
      </c>
      <c r="B46" s="147">
        <f>mod.RK1!I46</f>
        <v>2.4641399167409426E+19</v>
      </c>
      <c r="C46" s="148">
        <f>mod.RK1!K46</f>
        <v>1.9959237023688774E+21</v>
      </c>
      <c r="D46" s="147">
        <f>mod.RK1!M46</f>
        <v>8.3567675359296265E+20</v>
      </c>
      <c r="E46" s="148">
        <f>mod.RK1!O46</f>
        <v>1.1990596256101496E+20</v>
      </c>
      <c r="F46" s="147">
        <f>mod.RK1!Q46</f>
        <v>6.0589934599117898E+19</v>
      </c>
      <c r="G46" s="148">
        <f>mod.RK1!S46</f>
        <v>3.024188791161729E+19</v>
      </c>
      <c r="H46" s="147">
        <f>mod.RK1!W46</f>
        <v>3.4459951892159361E+19</v>
      </c>
      <c r="I46" s="148">
        <f>mod.RK1!Y46</f>
        <v>1.481533124313303E+22</v>
      </c>
      <c r="J46" s="149">
        <f>mod.O5!U46</f>
        <v>3.6666666666666665</v>
      </c>
      <c r="K46" s="150">
        <f>mod.O5!AC46</f>
        <v>2.4515316330796904E+19</v>
      </c>
      <c r="L46" s="150">
        <f>mod.O5!AD46</f>
        <v>1.9957095463109334E+21</v>
      </c>
      <c r="M46" s="150">
        <f>mod.O5!AE46</f>
        <v>8.3495203182195717E+20</v>
      </c>
      <c r="N46" s="150">
        <f>mod.O5!AF46</f>
        <v>1.2018457664942232E+20</v>
      </c>
      <c r="O46" s="150">
        <f>mod.O5!AG46</f>
        <v>6.0549502300133417E+19</v>
      </c>
      <c r="P46" s="150">
        <f>mod.O5!AH46</f>
        <v>3.0253816323091755E+19</v>
      </c>
      <c r="Q46" s="150">
        <f>mod.O5!AI46</f>
        <v>3.4811734259898708E+19</v>
      </c>
      <c r="R46" s="150">
        <f>mod.O5!AJ46</f>
        <v>1.4817989566455307E+22</v>
      </c>
      <c r="T46" s="151">
        <f>mod.math.!Q46</f>
        <v>44</v>
      </c>
      <c r="U46" s="151">
        <f>mod.math.!R46</f>
        <v>3.6666666666666665</v>
      </c>
      <c r="V46" s="151">
        <f>mod.math.!S46</f>
        <v>115632000</v>
      </c>
      <c r="W46" s="151">
        <f>mod.math.!T46</f>
        <v>1.3777108423429964E+19</v>
      </c>
      <c r="X46" s="151">
        <f>mod.math.!U46</f>
        <v>1.9948100494478431E+21</v>
      </c>
      <c r="Y46" s="151">
        <f>mod.math.!V46</f>
        <v>8.3489456894843945E+20</v>
      </c>
      <c r="Z46" s="151">
        <f>mod.math.!W46</f>
        <v>1.2018261250733274E+20</v>
      </c>
      <c r="AA46" s="151">
        <f>mod.math.!X46</f>
        <v>6.0549376665543246E+19</v>
      </c>
      <c r="AB46" s="151">
        <f>mod.math.!Y46</f>
        <v>3.0253665518486462E+19</v>
      </c>
      <c r="AC46" s="151">
        <f>mod.math.!Z46</f>
        <v>3.4670017158136033E+19</v>
      </c>
      <c r="AD46" s="151">
        <f>mod.math.!AA46</f>
        <v>1.4817989206110452E+22</v>
      </c>
      <c r="AE46" s="146">
        <f>dragon!C46</f>
        <v>8.8000000000000007</v>
      </c>
      <c r="AF46" s="144">
        <f>dragon!L46</f>
        <v>2.4818073214157083E+19</v>
      </c>
      <c r="AG46" s="144">
        <f>dragon!M46</f>
        <v>1.7099000000000001E+21</v>
      </c>
      <c r="AH46" s="144">
        <f>dragon!N46</f>
        <v>8.9233574847838696E+20</v>
      </c>
      <c r="AI46" s="144">
        <f>dragon!O46</f>
        <v>1.211871657973395E+20</v>
      </c>
      <c r="AJ46" s="144">
        <f>dragon!P46</f>
        <v>6.7597033712691741E+19</v>
      </c>
      <c r="AK46" s="144">
        <f>dragon!Q46</f>
        <v>2.7052371910106321E+19</v>
      </c>
      <c r="AL46" s="144">
        <f>dragon!S46</f>
        <v>9.7412398688834109E+18</v>
      </c>
      <c r="AM46" s="144">
        <f>dragon!R46</f>
        <v>1.2438580490025914E+22</v>
      </c>
      <c r="AN46" s="152"/>
      <c r="AO46" s="145"/>
      <c r="AP46" s="145"/>
      <c r="AQ46" s="145"/>
      <c r="AR46" s="145"/>
      <c r="AS46" s="145"/>
      <c r="AT46" s="145"/>
      <c r="AU46" s="145"/>
      <c r="AV46" s="145"/>
      <c r="AW46" s="145"/>
      <c r="AX46" s="145"/>
    </row>
    <row r="47" spans="1:50" ht="12.75" thickBot="1">
      <c r="A47" s="146">
        <f>mod.RK1!F47</f>
        <v>3.75</v>
      </c>
      <c r="B47" s="147">
        <f>mod.RK1!I47</f>
        <v>2.4723712368096322E+19</v>
      </c>
      <c r="C47" s="148">
        <f>mod.RK1!K47</f>
        <v>1.9913702226079232E+21</v>
      </c>
      <c r="D47" s="147">
        <f>mod.RK1!M47</f>
        <v>8.3741570816335138E+20</v>
      </c>
      <c r="E47" s="148">
        <f>mod.RK1!O47</f>
        <v>1.1974323404195208E+20</v>
      </c>
      <c r="F47" s="147">
        <f>mod.RK1!Q47</f>
        <v>6.0731125377663148E+19</v>
      </c>
      <c r="G47" s="148">
        <f>mod.RK1!S47</f>
        <v>3.017321421339827E+19</v>
      </c>
      <c r="H47" s="147">
        <f>mod.RK1!W47</f>
        <v>3.3726933081610646E+19</v>
      </c>
      <c r="I47" s="148">
        <f>mod.RK1!Y47</f>
        <v>1.4773062904667236E+22</v>
      </c>
      <c r="J47" s="149">
        <f>mod.O5!U47</f>
        <v>3.75</v>
      </c>
      <c r="K47" s="150">
        <f>mod.O5!AC47</f>
        <v>2.4598712323409953E+19</v>
      </c>
      <c r="L47" s="150">
        <f>mod.O5!AD47</f>
        <v>1.9911615102779783E+21</v>
      </c>
      <c r="M47" s="150">
        <f>mod.O5!AE47</f>
        <v>8.3667946190113263E+20</v>
      </c>
      <c r="N47" s="150">
        <f>mod.O5!AF47</f>
        <v>1.2001656676245935E+20</v>
      </c>
      <c r="O47" s="150">
        <f>mod.O5!AG47</f>
        <v>6.0691231615226561E+19</v>
      </c>
      <c r="P47" s="150">
        <f>mod.O5!AH47</f>
        <v>3.0186324445172134E+19</v>
      </c>
      <c r="Q47" s="150">
        <f>mod.O5!AI47</f>
        <v>3.4079047733355815E+19</v>
      </c>
      <c r="R47" s="150">
        <f>mod.O5!AJ47</f>
        <v>1.4775773893346342E+22</v>
      </c>
      <c r="T47" s="151">
        <f>mod.math.!Q47</f>
        <v>45</v>
      </c>
      <c r="U47" s="151">
        <f>mod.math.!R47</f>
        <v>3.75</v>
      </c>
      <c r="V47" s="151">
        <f>mod.math.!S47</f>
        <v>118260000</v>
      </c>
      <c r="W47" s="151">
        <f>mod.math.!T47</f>
        <v>1.3709932204564787E+19</v>
      </c>
      <c r="X47" s="151">
        <f>mod.math.!U47</f>
        <v>1.9902317448386692E+21</v>
      </c>
      <c r="Y47" s="151">
        <f>mod.math.!V47</f>
        <v>8.3661864179782818E+20</v>
      </c>
      <c r="Z47" s="151">
        <f>mod.math.!W47</f>
        <v>1.2001442643964145E+20</v>
      </c>
      <c r="AA47" s="151">
        <f>mod.math.!X47</f>
        <v>6.0691097057009533E+19</v>
      </c>
      <c r="AB47" s="151">
        <f>mod.math.!Y47</f>
        <v>3.0186166163003269E+19</v>
      </c>
      <c r="AC47" s="151">
        <f>mod.math.!Z47</f>
        <v>3.393560900851327E+19</v>
      </c>
      <c r="AD47" s="151">
        <f>mod.math.!AA47</f>
        <v>1.4775773524706908E+22</v>
      </c>
      <c r="AE47" s="146">
        <f>dragon!C47</f>
        <v>9</v>
      </c>
      <c r="AF47" s="144">
        <f>dragon!L47</f>
        <v>2.4991626173696639E+19</v>
      </c>
      <c r="AG47" s="144">
        <f>dragon!M47</f>
        <v>1.6979000000000001E+21</v>
      </c>
      <c r="AH47" s="144">
        <f>dragon!N47</f>
        <v>8.9273580933849835E+20</v>
      </c>
      <c r="AI47" s="144">
        <f>dragon!O47</f>
        <v>1.2139733430685673E+20</v>
      </c>
      <c r="AJ47" s="144">
        <f>dragon!P47</f>
        <v>6.7848308973719552E+19</v>
      </c>
      <c r="AK47" s="144">
        <f>dragon!Q47</f>
        <v>2.691376963603685E+19</v>
      </c>
      <c r="AL47" s="144">
        <f>dragon!S47</f>
        <v>9.2237627294160998E+18</v>
      </c>
      <c r="AM47" s="144">
        <f>dragon!R47</f>
        <v>1.2344659165737824E+22</v>
      </c>
      <c r="AN47" s="152"/>
      <c r="AO47" s="145"/>
      <c r="AP47" s="145"/>
      <c r="AQ47" s="145"/>
      <c r="AR47" s="145"/>
      <c r="AS47" s="145"/>
      <c r="AT47" s="145"/>
      <c r="AU47" s="145"/>
      <c r="AV47" s="145"/>
      <c r="AW47" s="145"/>
      <c r="AX47" s="145"/>
    </row>
    <row r="48" spans="1:50" ht="12.75" thickBot="1">
      <c r="A48" s="146">
        <f>mod.RK1!F48</f>
        <v>3.8333333333333335</v>
      </c>
      <c r="B48" s="147">
        <f>mod.RK1!I48</f>
        <v>2.4800457254026486E+19</v>
      </c>
      <c r="C48" s="148">
        <f>mod.RK1!K48</f>
        <v>1.9868074162159231E+21</v>
      </c>
      <c r="D48" s="147">
        <f>mod.RK1!M48</f>
        <v>8.3912186605693593E+20</v>
      </c>
      <c r="E48" s="148">
        <f>mod.RK1!O48</f>
        <v>1.1959265079683062E+20</v>
      </c>
      <c r="F48" s="147">
        <f>mod.RK1!Q48</f>
        <v>6.0870547512485741E+19</v>
      </c>
      <c r="G48" s="148">
        <f>mod.RK1!S48</f>
        <v>3.0105138218114015E+19</v>
      </c>
      <c r="H48" s="147">
        <f>mod.RK1!W48</f>
        <v>3.3009597571942097E+19</v>
      </c>
      <c r="I48" s="148">
        <f>mod.RK1!Y48</f>
        <v>1.473091515838558E+22</v>
      </c>
      <c r="J48" s="149">
        <f>mod.O5!U48</f>
        <v>3.8333333333333335</v>
      </c>
      <c r="K48" s="150">
        <f>mod.O5!AC48</f>
        <v>2.4676622157844754E+19</v>
      </c>
      <c r="L48" s="150">
        <f>mod.O5!AD48</f>
        <v>1.9866043945812149E+21</v>
      </c>
      <c r="M48" s="150">
        <f>mod.O5!AE48</f>
        <v>8.3837431867656477E+20</v>
      </c>
      <c r="N48" s="150">
        <f>mod.O5!AF48</f>
        <v>1.1986055833740298E+20</v>
      </c>
      <c r="O48" s="150">
        <f>mod.O5!AG48</f>
        <v>6.0831201630838391E+19</v>
      </c>
      <c r="P48" s="150">
        <f>mod.O5!AH48</f>
        <v>3.0119408062785434E+19</v>
      </c>
      <c r="Q48" s="150">
        <f>mod.O5!AI48</f>
        <v>3.3361869686761353E+19</v>
      </c>
      <c r="R48" s="150">
        <f>mod.O5!AJ48</f>
        <v>1.4733678490516218E+22</v>
      </c>
      <c r="T48" s="151">
        <f>mod.math.!Q48</f>
        <v>46</v>
      </c>
      <c r="U48" s="151">
        <f>mod.math.!R48</f>
        <v>3.8333333333333335</v>
      </c>
      <c r="V48" s="151">
        <f>mod.math.!S48</f>
        <v>120888000</v>
      </c>
      <c r="W48" s="151">
        <f>mod.math.!T48</f>
        <v>1.3640472949078483E+19</v>
      </c>
      <c r="X48" s="151">
        <f>mod.math.!U48</f>
        <v>1.9856442928419606E+21</v>
      </c>
      <c r="Y48" s="151">
        <f>mod.math.!V48</f>
        <v>8.3831004188029839E+20</v>
      </c>
      <c r="Z48" s="151">
        <f>mod.math.!W48</f>
        <v>1.198582383466437E+20</v>
      </c>
      <c r="AA48" s="151">
        <f>mod.math.!X48</f>
        <v>6.0831056655242625E+19</v>
      </c>
      <c r="AB48" s="151">
        <f>mod.math.!Y48</f>
        <v>3.0119240242466505E+19</v>
      </c>
      <c r="AC48" s="151">
        <f>mod.math.!Z48</f>
        <v>3.3216757682175943E+19</v>
      </c>
      <c r="AD48" s="151">
        <f>mod.math.!AA48</f>
        <v>1.4733678113586439E+22</v>
      </c>
      <c r="AE48" s="146">
        <f>dragon!C48</f>
        <v>9.1999999999999993</v>
      </c>
      <c r="AF48" s="144">
        <f>dragon!L48</f>
        <v>2.5158156759150785E+19</v>
      </c>
      <c r="AG48" s="144">
        <f>dragon!M48</f>
        <v>1.6858000000000003E+21</v>
      </c>
      <c r="AH48" s="144">
        <f>dragon!N48</f>
        <v>8.9299584889757067E+20</v>
      </c>
      <c r="AI48" s="144">
        <f>dragon!O48</f>
        <v>1.2159749479211123E+20</v>
      </c>
      <c r="AJ48" s="144">
        <f>dragon!P48</f>
        <v>6.8098587110695674E+19</v>
      </c>
      <c r="AK48" s="144">
        <f>dragon!Q48</f>
        <v>2.6777161639292121E+19</v>
      </c>
      <c r="AL48" s="144">
        <f>dragon!S48</f>
        <v>8.7324641978924913E+18</v>
      </c>
      <c r="AM48" s="144">
        <f>dragon!R48</f>
        <v>1.2250737841449734E+22</v>
      </c>
      <c r="AN48" s="152"/>
      <c r="AO48" s="145"/>
      <c r="AP48" s="145"/>
      <c r="AQ48" s="145"/>
      <c r="AR48" s="145"/>
      <c r="AS48" s="145"/>
      <c r="AT48" s="145"/>
      <c r="AU48" s="145"/>
      <c r="AV48" s="145"/>
      <c r="AW48" s="145"/>
      <c r="AX48" s="145"/>
    </row>
    <row r="49" spans="1:50" ht="12.75" thickBot="1">
      <c r="A49" s="146">
        <f>mod.RK1!F49</f>
        <v>3.9166666666666665</v>
      </c>
      <c r="B49" s="147">
        <f>mod.RK1!I49</f>
        <v>2.4871806777829687E+19</v>
      </c>
      <c r="C49" s="148">
        <f>mod.RK1!K49</f>
        <v>1.982235735698495E+21</v>
      </c>
      <c r="D49" s="147">
        <f>mod.RK1!M49</f>
        <v>8.4079544763252487E+20</v>
      </c>
      <c r="E49" s="148">
        <f>mod.RK1!O49</f>
        <v>1.1945370891020365E+20</v>
      </c>
      <c r="F49" s="147">
        <f>mod.RK1!Q49</f>
        <v>6.1008263911387881E+19</v>
      </c>
      <c r="G49" s="148">
        <f>mod.RK1!S49</f>
        <v>3.0037697985718247E+19</v>
      </c>
      <c r="H49" s="147">
        <f>mod.RK1!W49</f>
        <v>3.2307609555404685E+19</v>
      </c>
      <c r="I49" s="148">
        <f>mod.RK1!Y49</f>
        <v>1.4688887660236599E+22</v>
      </c>
      <c r="J49" s="149">
        <f>mod.O5!U49</f>
        <v>3.9166666666666665</v>
      </c>
      <c r="K49" s="150">
        <f>mod.O5!AC49</f>
        <v>2.4749214435869831E+19</v>
      </c>
      <c r="L49" s="150">
        <f>mod.O5!AD49</f>
        <v>1.9820386423590751E+21</v>
      </c>
      <c r="M49" s="150">
        <f>mod.O5!AE49</f>
        <v>8.4003682166069304E+20</v>
      </c>
      <c r="N49" s="150">
        <f>mod.O5!AF49</f>
        <v>1.1971605796674534E+20</v>
      </c>
      <c r="O49" s="150">
        <f>mod.O5!AG49</f>
        <v>6.0969473796814529E+19</v>
      </c>
      <c r="P49" s="150">
        <f>mod.O5!AH49</f>
        <v>3.0053104496541983E+19</v>
      </c>
      <c r="Q49" s="150">
        <f>mod.O5!AI49</f>
        <v>3.2659871022148022E+19</v>
      </c>
      <c r="R49" s="150">
        <f>mod.O5!AJ49</f>
        <v>1.4691703015319712E+22</v>
      </c>
      <c r="T49" s="151">
        <f>mod.math.!Q49</f>
        <v>47</v>
      </c>
      <c r="U49" s="151">
        <f>mod.math.!R49</f>
        <v>3.9166666666666665</v>
      </c>
      <c r="V49" s="151">
        <f>mod.math.!S49</f>
        <v>123516000</v>
      </c>
      <c r="W49" s="151">
        <f>mod.math.!T49</f>
        <v>1.3568840152550085E+19</v>
      </c>
      <c r="X49" s="151">
        <f>mod.math.!U49</f>
        <v>1.9810481517035004E+21</v>
      </c>
      <c r="Y49" s="151">
        <f>mod.math.!V49</f>
        <v>8.3996898941535951E+20</v>
      </c>
      <c r="Z49" s="151">
        <f>mod.math.!W49</f>
        <v>1.1971355721924079E+20</v>
      </c>
      <c r="AA49" s="151">
        <f>mod.math.!X49</f>
        <v>6.0969316483249766E+19</v>
      </c>
      <c r="AB49" s="151">
        <f>mod.math.!Y49</f>
        <v>3.0052924332792742E+19</v>
      </c>
      <c r="AC49" s="151">
        <f>mod.math.!Z49</f>
        <v>3.251313364199834E+19</v>
      </c>
      <c r="AD49" s="151">
        <f>mod.math.!AA49</f>
        <v>1.4691702630105253E+22</v>
      </c>
      <c r="AE49" s="146">
        <f>dragon!C49</f>
        <v>9.4</v>
      </c>
      <c r="AF49" s="144">
        <f>dragon!L49</f>
        <v>2.5315658577923682E+19</v>
      </c>
      <c r="AG49" s="144">
        <f>dragon!M49</f>
        <v>1.6736999999999999E+21</v>
      </c>
      <c r="AH49" s="144">
        <f>dragon!N49</f>
        <v>8.9311586715560418E+20</v>
      </c>
      <c r="AI49" s="144">
        <f>dragon!O49</f>
        <v>1.2179765527736574E+20</v>
      </c>
      <c r="AJ49" s="144">
        <f>dragon!P49</f>
        <v>6.8345873875516719E+19</v>
      </c>
      <c r="AK49" s="144">
        <f>dragon!Q49</f>
        <v>2.6642547919872127E+19</v>
      </c>
      <c r="AL49" s="144">
        <f>dragon!S49</f>
        <v>8.2660453357504911E+18</v>
      </c>
      <c r="AM49" s="144">
        <f>dragon!R49</f>
        <v>1.2156816517161644E+22</v>
      </c>
      <c r="AN49" s="152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</row>
    <row r="50" spans="1:50" ht="12.75" thickBot="1">
      <c r="A50" s="146">
        <f>mod.RK1!F50</f>
        <v>4</v>
      </c>
      <c r="B50" s="147">
        <f>mod.RK1!I50</f>
        <v>2.4937929850250248E+19</v>
      </c>
      <c r="C50" s="148">
        <f>mod.RK1!K50</f>
        <v>1.9776556243938936E+21</v>
      </c>
      <c r="D50" s="147">
        <f>mod.RK1!M50</f>
        <v>8.42436673398819E+20</v>
      </c>
      <c r="E50" s="148">
        <f>mod.RK1!O50</f>
        <v>1.1932592064130685E+20</v>
      </c>
      <c r="F50" s="147">
        <f>mod.RK1!Q50</f>
        <v>6.1144335074704015E+19</v>
      </c>
      <c r="G50" s="148">
        <f>mod.RK1!S50</f>
        <v>2.9970928849329795E+19</v>
      </c>
      <c r="H50" s="147">
        <f>mod.RK1!W50</f>
        <v>3.1620640415104422E+19</v>
      </c>
      <c r="I50" s="148">
        <f>mod.RK1!Y50</f>
        <v>1.4646980067150419E+22</v>
      </c>
      <c r="J50" s="149">
        <f>mod.O5!U50</f>
        <v>4</v>
      </c>
      <c r="K50" s="150">
        <f>mod.O5!AC50</f>
        <v>2.481665386955647E+19</v>
      </c>
      <c r="L50" s="150">
        <f>mod.O5!AD50</f>
        <v>1.9774646880186233E+21</v>
      </c>
      <c r="M50" s="150">
        <f>mod.O5!AE50</f>
        <v>8.4166719040406251E+20</v>
      </c>
      <c r="N50" s="150">
        <f>mod.O5!AF50</f>
        <v>1.1958258691872797E+20</v>
      </c>
      <c r="O50" s="150">
        <f>mod.O5!AG50</f>
        <v>6.1106107389536633E+19</v>
      </c>
      <c r="P50" s="150">
        <f>mod.O5!AH50</f>
        <v>2.9987448718893703E+19</v>
      </c>
      <c r="Q50" s="150">
        <f>mod.O5!AI50</f>
        <v>3.1972729417509753E+19</v>
      </c>
      <c r="R50" s="150">
        <f>mod.O5!AJ50</f>
        <v>1.4649847126087382E+22</v>
      </c>
      <c r="T50" s="151">
        <f>mod.math.!Q50</f>
        <v>48</v>
      </c>
      <c r="U50" s="151">
        <f>mod.math.!R50</f>
        <v>4</v>
      </c>
      <c r="V50" s="151">
        <f>mod.math.!S50</f>
        <v>126144000</v>
      </c>
      <c r="W50" s="151">
        <f>mod.math.!T50</f>
        <v>1.3495139982661218E+19</v>
      </c>
      <c r="X50" s="151">
        <f>mod.math.!U50</f>
        <v>1.9764437701905039E+21</v>
      </c>
      <c r="Y50" s="151">
        <f>mod.math.!V50</f>
        <v>8.4159570477699983E+20</v>
      </c>
      <c r="Z50" s="151">
        <f>mod.math.!W50</f>
        <v>1.1957990759533756E+20</v>
      </c>
      <c r="AA50" s="151">
        <f>mod.math.!X50</f>
        <v>6.1105935256113381E+19</v>
      </c>
      <c r="AB50" s="151">
        <f>mod.math.!Y50</f>
        <v>2.998725241753763E+19</v>
      </c>
      <c r="AC50" s="151">
        <f>mod.math.!Z50</f>
        <v>3.1824414331374805E+19</v>
      </c>
      <c r="AD50" s="151">
        <f>mod.math.!AA50</f>
        <v>1.4649846732595736E+22</v>
      </c>
      <c r="AE50" s="146">
        <f>dragon!C50</f>
        <v>9.6</v>
      </c>
      <c r="AF50" s="144">
        <f>dragon!L50</f>
        <v>2.5465134826313241E+19</v>
      </c>
      <c r="AG50" s="144">
        <f>dragon!M50</f>
        <v>1.6616000000000003E+21</v>
      </c>
      <c r="AH50" s="144">
        <f>dragon!N50</f>
        <v>8.9310586563410133E+20</v>
      </c>
      <c r="AI50" s="144">
        <f>dragon!O50</f>
        <v>1.2197779971409479E+20</v>
      </c>
      <c r="AJ50" s="144">
        <f>dragon!P50</f>
        <v>6.8592163516286042E+19</v>
      </c>
      <c r="AK50" s="144">
        <f>dragon!Q50</f>
        <v>2.6508931339114508E+19</v>
      </c>
      <c r="AL50" s="144">
        <f>dragon!S50</f>
        <v>7.8235069594808013E+18</v>
      </c>
      <c r="AM50" s="144">
        <f>dragon!R50</f>
        <v>1.2062895192873554E+22</v>
      </c>
      <c r="AN50" s="152"/>
      <c r="AO50" s="145"/>
      <c r="AP50" s="145"/>
      <c r="AQ50" s="145"/>
      <c r="AR50" s="145"/>
      <c r="AS50" s="145"/>
      <c r="AT50" s="145"/>
      <c r="AU50" s="145"/>
      <c r="AV50" s="145"/>
      <c r="AW50" s="145"/>
      <c r="AX50" s="145"/>
    </row>
    <row r="51" spans="1:50" ht="12.75" thickBot="1">
      <c r="A51" s="146">
        <f>mod.RK1!F51</f>
        <v>4.083333333333333</v>
      </c>
      <c r="B51" s="147">
        <f>mod.RK1!I51</f>
        <v>2.4998991411463606E+19</v>
      </c>
      <c r="C51" s="148">
        <f>mod.RK1!K51</f>
        <v>1.9730675166419029E+21</v>
      </c>
      <c r="D51" s="147">
        <f>mod.RK1!M51</f>
        <v>8.4404576397488436E+20</v>
      </c>
      <c r="E51" s="148">
        <f>mod.RK1!O51</f>
        <v>1.192088139348617E+20</v>
      </c>
      <c r="F51" s="147">
        <f>mod.RK1!Q51</f>
        <v>6.1278819172069655E+19</v>
      </c>
      <c r="G51" s="148">
        <f>mod.RK1!S51</f>
        <v>2.9904863530240774E+19</v>
      </c>
      <c r="H51" s="147">
        <f>mod.RK1!W51</f>
        <v>3.0948368571021464E+19</v>
      </c>
      <c r="I51" s="148">
        <f>mod.RK1!Y51</f>
        <v>1.4605192037035963E+22</v>
      </c>
      <c r="J51" s="149">
        <f>mod.O5!U51</f>
        <v>4.083333333333333</v>
      </c>
      <c r="K51" s="150">
        <f>mod.O5!AC51</f>
        <v>2.4879100257572585E+19</v>
      </c>
      <c r="L51" s="150">
        <f>mod.O5!AD51</f>
        <v>1.9728829482031815E+21</v>
      </c>
      <c r="M51" s="150">
        <f>mod.O5!AE51</f>
        <v>8.4326564751520236E+20</v>
      </c>
      <c r="N51" s="150">
        <f>mod.O5!AF51</f>
        <v>1.1945972842242671E+20</v>
      </c>
      <c r="O51" s="150">
        <f>mod.O5!AG51</f>
        <v>6.1241152194658583E+19</v>
      </c>
      <c r="P51" s="150">
        <f>mod.O5!AH51</f>
        <v>2.9922459889353515E+19</v>
      </c>
      <c r="Q51" s="150">
        <f>mod.O5!AI51</f>
        <v>3.1300139149779128E+19</v>
      </c>
      <c r="R51" s="150">
        <f>mod.O5!AJ51</f>
        <v>1.4608110482143614E+22</v>
      </c>
      <c r="T51" s="151">
        <f>mod.math.!Q51</f>
        <v>49</v>
      </c>
      <c r="U51" s="151">
        <f>mod.math.!R51</f>
        <v>4.083333333333333</v>
      </c>
      <c r="V51" s="151">
        <f>mod.math.!S51</f>
        <v>128772000</v>
      </c>
      <c r="W51" s="151">
        <f>mod.math.!T51</f>
        <v>1.3419475366326006E+19</v>
      </c>
      <c r="X51" s="151">
        <f>mod.math.!U51</f>
        <v>1.9718315877684242E+21</v>
      </c>
      <c r="Y51" s="151">
        <f>mod.math.!V51</f>
        <v>8.4319040845335482E+20</v>
      </c>
      <c r="Z51" s="151">
        <f>mod.math.!W51</f>
        <v>1.1945682909663679E+20</v>
      </c>
      <c r="AA51" s="151">
        <f>mod.math.!X51</f>
        <v>6.1240969453713359E+19</v>
      </c>
      <c r="AB51" s="151">
        <f>mod.math.!Y51</f>
        <v>2.9922255995987214E+19</v>
      </c>
      <c r="AC51" s="151">
        <f>mod.math.!Z51</f>
        <v>3.1150284026352775E+19</v>
      </c>
      <c r="AD51" s="151">
        <f>mod.math.!AA51</f>
        <v>1.4608110080363667E+22</v>
      </c>
      <c r="AE51" s="146">
        <f>dragon!C51</f>
        <v>9.8000000000000007</v>
      </c>
      <c r="AF51" s="144">
        <f>dragon!L51</f>
        <v>2.5605582308021555E+19</v>
      </c>
      <c r="AG51" s="144">
        <f>dragon!M51</f>
        <v>1.6494999999999999E+21</v>
      </c>
      <c r="AH51" s="144">
        <f>dragon!N51</f>
        <v>8.9295584281155967E+20</v>
      </c>
      <c r="AI51" s="144">
        <f>dragon!O51</f>
        <v>1.2216795217508657E+20</v>
      </c>
      <c r="AJ51" s="144">
        <f>dragon!P51</f>
        <v>6.8836458908951994E+19</v>
      </c>
      <c r="AK51" s="144">
        <f>dragon!Q51</f>
        <v>2.6376311897019257E+19</v>
      </c>
      <c r="AL51" s="144">
        <f>dragon!S51</f>
        <v>7.4035501305213286E+18</v>
      </c>
      <c r="AM51" s="144">
        <f>dragon!R51</f>
        <v>1.1968973868585464E+22</v>
      </c>
      <c r="AN51" s="152"/>
      <c r="AO51" s="145"/>
      <c r="AP51" s="145"/>
      <c r="AQ51" s="145"/>
      <c r="AR51" s="145"/>
      <c r="AS51" s="145"/>
      <c r="AT51" s="145"/>
      <c r="AU51" s="145"/>
      <c r="AV51" s="145"/>
      <c r="AW51" s="145"/>
      <c r="AX51" s="145"/>
    </row>
    <row r="52" spans="1:50" ht="12.75" thickBot="1">
      <c r="A52" s="146">
        <f>mod.RK1!F52</f>
        <v>4.166666666666667</v>
      </c>
      <c r="B52" s="147">
        <f>mod.RK1!I52</f>
        <v>2.5055152501736993E+19</v>
      </c>
      <c r="C52" s="148">
        <f>mod.RK1!K52</f>
        <v>1.9684718379496393E+21</v>
      </c>
      <c r="D52" s="147">
        <f>mod.RK1!M52</f>
        <v>8.4562294005164409E+20</v>
      </c>
      <c r="E52" s="148">
        <f>mod.RK1!O52</f>
        <v>1.1910193194652882E+20</v>
      </c>
      <c r="F52" s="147">
        <f>mod.RK1!Q52</f>
        <v>6.1411772116909507E+19</v>
      </c>
      <c r="G52" s="148">
        <f>mod.RK1!S52</f>
        <v>2.9839532248852333E+19</v>
      </c>
      <c r="H52" s="147">
        <f>mod.RK1!W52</f>
        <v>3.0290479329326428E+19</v>
      </c>
      <c r="I52" s="148">
        <f>mod.RK1!Y52</f>
        <v>1.4563523228778151E+22</v>
      </c>
      <c r="J52" s="149">
        <f>mod.O5!U52</f>
        <v>4.166666666666667</v>
      </c>
      <c r="K52" s="150">
        <f>mod.O5!AC52</f>
        <v>2.4936711261319193E+19</v>
      </c>
      <c r="L52" s="150">
        <f>mod.O5!AD52</f>
        <v>1.9682938455369599E+21</v>
      </c>
      <c r="M52" s="150">
        <f>mod.O5!AE52</f>
        <v>8.448324107795493E+20</v>
      </c>
      <c r="N52" s="150">
        <f>mod.O5!AF52</f>
        <v>1.1934700428849652E+20</v>
      </c>
      <c r="O52" s="150">
        <f>mod.O5!AG52</f>
        <v>6.1374667598933328E+19</v>
      </c>
      <c r="P52" s="150">
        <f>mod.O5!AH52</f>
        <v>2.9858176432813711E+19</v>
      </c>
      <c r="Q52" s="150">
        <f>mod.O5!AI52</f>
        <v>3.0641785360041153E+19</v>
      </c>
      <c r="R52" s="150">
        <f>mod.O5!AJ52</f>
        <v>1.4566492743750732E+22</v>
      </c>
      <c r="T52" s="151">
        <f>mod.math.!Q52</f>
        <v>50</v>
      </c>
      <c r="U52" s="151">
        <f>mod.math.!R52</f>
        <v>4.166666666666667</v>
      </c>
      <c r="V52" s="151">
        <f>mod.math.!S52</f>
        <v>131400000</v>
      </c>
      <c r="W52" s="151">
        <f>mod.math.!T52</f>
        <v>1.3341946074701005E+19</v>
      </c>
      <c r="X52" s="151">
        <f>mod.math.!U52</f>
        <v>1.9672120347746105E+21</v>
      </c>
      <c r="Y52" s="151">
        <f>mod.math.!V52</f>
        <v>8.447533210074191E+20</v>
      </c>
      <c r="Z52" s="151">
        <f>mod.math.!W52</f>
        <v>1.1934387597908858E+20</v>
      </c>
      <c r="AA52" s="151">
        <f>mod.math.!X52</f>
        <v>6.1374473391319024E+19</v>
      </c>
      <c r="AB52" s="151">
        <f>mod.math.!Y52</f>
        <v>2.9857964187469378E+19</v>
      </c>
      <c r="AC52" s="151">
        <f>mod.math.!Z52</f>
        <v>3.0490433690898047E+19</v>
      </c>
      <c r="AD52" s="151">
        <f>mod.math.!AA52</f>
        <v>1.4566492333685451E+22</v>
      </c>
      <c r="AF52" s="144">
        <f>dragon!L52</f>
        <v>0</v>
      </c>
      <c r="AG52" s="144">
        <f>dragon!M52</f>
        <v>0</v>
      </c>
      <c r="AH52" s="144">
        <f>dragon!N52</f>
        <v>0</v>
      </c>
      <c r="AI52" s="144">
        <f>dragon!O52</f>
        <v>0</v>
      </c>
      <c r="AJ52" s="144">
        <f>dragon!P52</f>
        <v>0</v>
      </c>
      <c r="AK52" s="144">
        <f>dragon!Q52</f>
        <v>0</v>
      </c>
      <c r="AL52" s="144">
        <f>dragon!S52</f>
        <v>0</v>
      </c>
      <c r="AM52" s="144">
        <f>dragon!R52</f>
        <v>0</v>
      </c>
      <c r="AO52" s="145"/>
      <c r="AP52" s="145"/>
      <c r="AQ52" s="145"/>
      <c r="AR52" s="145"/>
      <c r="AS52" s="145"/>
      <c r="AT52" s="145"/>
      <c r="AU52" s="145"/>
      <c r="AV52" s="145"/>
      <c r="AW52" s="145"/>
      <c r="AX52" s="145"/>
    </row>
    <row r="53" spans="1:50" ht="12.75" thickBot="1">
      <c r="A53" s="146">
        <f>mod.RK1!F53</f>
        <v>4.25</v>
      </c>
      <c r="B53" s="147">
        <f>mod.RK1!I53</f>
        <v>2.5106570331416183E+19</v>
      </c>
      <c r="C53" s="148">
        <f>mod.RK1!K53</f>
        <v>1.9638690051543254E+21</v>
      </c>
      <c r="D53" s="147">
        <f>mod.RK1!M53</f>
        <v>8.4716842235436859E+20</v>
      </c>
      <c r="E53" s="148">
        <f>mod.RK1!O53</f>
        <v>1.1900483258257238E+20</v>
      </c>
      <c r="F53" s="147">
        <f>mod.RK1!Q53</f>
        <v>6.1543247638711714E+19</v>
      </c>
      <c r="G53" s="148">
        <f>mod.RK1!S53</f>
        <v>2.9774962831671407E+19</v>
      </c>
      <c r="H53" s="147">
        <f>mod.RK1!W53</f>
        <v>2.9646664734923276E+19</v>
      </c>
      <c r="I53" s="148">
        <f>mod.RK1!Y53</f>
        <v>1.4521973302235117E+22</v>
      </c>
      <c r="J53" s="149">
        <f>mod.O5!U53</f>
        <v>4.25</v>
      </c>
      <c r="K53" s="150">
        <f>mod.O5!AC53</f>
        <v>2.4989640165015855E+19</v>
      </c>
      <c r="L53" s="150">
        <f>mod.O5!AD53</f>
        <v>1.9636977880123058E+21</v>
      </c>
      <c r="M53" s="150">
        <f>mod.O5!AE53</f>
        <v>8.463677000337971E+20</v>
      </c>
      <c r="N53" s="150">
        <f>mod.O5!AF53</f>
        <v>1.1924398308922679E+20</v>
      </c>
      <c r="O53" s="150">
        <f>mod.O5!AG53</f>
        <v>6.1506705855702352E+19</v>
      </c>
      <c r="P53" s="150">
        <f>mod.O5!AH53</f>
        <v>2.9794625214403756E+19</v>
      </c>
      <c r="Q53" s="150">
        <f>mod.O5!AI53</f>
        <v>2.999736646054366E+19</v>
      </c>
      <c r="R53" s="150">
        <f>mod.O5!AJ53</f>
        <v>1.4524993572152766E+22</v>
      </c>
      <c r="T53" s="151">
        <f>mod.math.!Q53</f>
        <v>51</v>
      </c>
      <c r="U53" s="151">
        <f>mod.math.!R53</f>
        <v>4.25</v>
      </c>
      <c r="V53" s="151">
        <f>mod.math.!S53</f>
        <v>134028000</v>
      </c>
      <c r="W53" s="151">
        <f>mod.math.!T53</f>
        <v>1.3262648806124438E+19</v>
      </c>
      <c r="X53" s="151">
        <f>mod.math.!U53</f>
        <v>1.9625855325888661E+21</v>
      </c>
      <c r="Y53" s="151">
        <f>mod.math.!V53</f>
        <v>8.4628466303878798E+20</v>
      </c>
      <c r="Z53" s="151">
        <f>mod.math.!W53</f>
        <v>1.1924061669659034E+20</v>
      </c>
      <c r="AA53" s="151">
        <f>mod.math.!X53</f>
        <v>6.1506499288112103E+19</v>
      </c>
      <c r="AB53" s="151">
        <f>mod.math.!Y53</f>
        <v>2.9794403832009032E+19</v>
      </c>
      <c r="AC53" s="151">
        <f>mod.math.!Z53</f>
        <v>2.9844560835225891E+19</v>
      </c>
      <c r="AD53" s="151">
        <f>mod.math.!AA53</f>
        <v>1.4524993153805335E+22</v>
      </c>
      <c r="AF53" s="144">
        <f>dragon!L53</f>
        <v>0</v>
      </c>
      <c r="AG53" s="144">
        <f>dragon!M53</f>
        <v>0</v>
      </c>
      <c r="AH53" s="144">
        <f>dragon!N53</f>
        <v>0</v>
      </c>
      <c r="AI53" s="144">
        <f>dragon!O53</f>
        <v>0</v>
      </c>
      <c r="AJ53" s="144">
        <f>dragon!P53</f>
        <v>0</v>
      </c>
      <c r="AK53" s="144">
        <f>dragon!Q53</f>
        <v>0</v>
      </c>
      <c r="AL53" s="144">
        <f>dragon!S53</f>
        <v>0</v>
      </c>
      <c r="AM53" s="144">
        <f>dragon!R53</f>
        <v>0</v>
      </c>
      <c r="AO53" s="145"/>
      <c r="AP53" s="145"/>
      <c r="AQ53" s="145"/>
      <c r="AR53" s="145"/>
      <c r="AS53" s="145"/>
      <c r="AT53" s="145"/>
      <c r="AU53" s="145"/>
      <c r="AV53" s="145"/>
      <c r="AW53" s="145"/>
      <c r="AX53" s="145"/>
    </row>
    <row r="54" spans="1:50" ht="12.75" thickBot="1">
      <c r="A54" s="146">
        <f>mod.RK1!F54</f>
        <v>4.333333333333333</v>
      </c>
      <c r="B54" s="147">
        <f>mod.RK1!I54</f>
        <v>2.5153398350221738E+19</v>
      </c>
      <c r="C54" s="148">
        <f>mod.RK1!K54</f>
        <v>1.9592594265830919E+21</v>
      </c>
      <c r="D54" s="147">
        <f>mod.RK1!M54</f>
        <v>8.4868243160614293E+20</v>
      </c>
      <c r="E54" s="148">
        <f>mod.RK1!O54</f>
        <v>1.1891708805330905E+20</v>
      </c>
      <c r="F54" s="147">
        <f>mod.RK1!Q54</f>
        <v>6.167329735315311E+19</v>
      </c>
      <c r="G54" s="148">
        <f>mod.RK1!S54</f>
        <v>2.9711180814497681E+19</v>
      </c>
      <c r="H54" s="147">
        <f>mod.RK1!W54</f>
        <v>2.9016623427149722E+19</v>
      </c>
      <c r="I54" s="148">
        <f>mod.RK1!Y54</f>
        <v>1.4480541918235434E+22</v>
      </c>
      <c r="J54" s="149">
        <f>mod.O5!U54</f>
        <v>4.333333333333333</v>
      </c>
      <c r="K54" s="150">
        <f>mod.O5!AC54</f>
        <v>2.5038036612025692E+19</v>
      </c>
      <c r="L54" s="150">
        <f>mod.O5!AD54</f>
        <v>1.9590951753580806E+21</v>
      </c>
      <c r="M54" s="150">
        <f>mod.O5!AE54</f>
        <v>8.4787173506328114E+20</v>
      </c>
      <c r="N54" s="150">
        <f>mod.O5!AF54</f>
        <v>1.1915024713629491E+20</v>
      </c>
      <c r="O54" s="150">
        <f>mod.O5!AG54</f>
        <v>6.1637317193449054E+19</v>
      </c>
      <c r="P54" s="150">
        <f>mod.O5!AH54</f>
        <v>2.9731830924882604E+19</v>
      </c>
      <c r="Q54" s="150">
        <f>mod.O5!AI54</f>
        <v>2.9366587246400373E+19</v>
      </c>
      <c r="R54" s="150">
        <f>mod.O5!AJ54</f>
        <v>1.4483612629558828E+22</v>
      </c>
      <c r="T54" s="151">
        <f>mod.math.!Q54</f>
        <v>52</v>
      </c>
      <c r="U54" s="151">
        <f>mod.math.!R54</f>
        <v>4.333333333333333</v>
      </c>
      <c r="V54" s="151">
        <f>mod.math.!S54</f>
        <v>136656000</v>
      </c>
      <c r="W54" s="151">
        <f>mod.math.!T54</f>
        <v>1.3181677267033182E+19</v>
      </c>
      <c r="X54" s="151">
        <f>mod.math.!U54</f>
        <v>1.9579524938009687E+21</v>
      </c>
      <c r="Y54" s="151">
        <f>mod.math.!V54</f>
        <v>8.4778465514640245E+20</v>
      </c>
      <c r="Z54" s="151">
        <f>mod.math.!W54</f>
        <v>1.1914663347754736E+20</v>
      </c>
      <c r="AA54" s="151">
        <f>mod.math.!X54</f>
        <v>6.1637097333701181E+19</v>
      </c>
      <c r="AB54" s="151">
        <f>mod.math.!Y54</f>
        <v>2.9731599587444216E+19</v>
      </c>
      <c r="AC54" s="151">
        <f>mod.math.!Z54</f>
        <v>2.9212369377133162E+19</v>
      </c>
      <c r="AD54" s="151">
        <f>mod.math.!AA54</f>
        <v>1.4483612202932673E+22</v>
      </c>
      <c r="AF54" s="144">
        <f>dragon!L54</f>
        <v>0</v>
      </c>
      <c r="AG54" s="144">
        <f>dragon!M54</f>
        <v>0</v>
      </c>
      <c r="AH54" s="144">
        <f>dragon!N54</f>
        <v>0</v>
      </c>
      <c r="AI54" s="144">
        <f>dragon!O54</f>
        <v>0</v>
      </c>
      <c r="AJ54" s="144">
        <f>dragon!P54</f>
        <v>0</v>
      </c>
      <c r="AK54" s="144">
        <f>dragon!Q54</f>
        <v>0</v>
      </c>
      <c r="AL54" s="144">
        <f>dragon!S54</f>
        <v>0</v>
      </c>
      <c r="AM54" s="144">
        <f>dragon!R54</f>
        <v>0</v>
      </c>
      <c r="AO54" s="145"/>
      <c r="AP54" s="145"/>
      <c r="AQ54" s="145"/>
      <c r="AR54" s="145"/>
      <c r="AS54" s="145"/>
      <c r="AT54" s="145"/>
      <c r="AU54" s="145"/>
      <c r="AV54" s="145"/>
      <c r="AW54" s="145"/>
      <c r="AX54" s="145"/>
    </row>
    <row r="55" spans="1:50" ht="12.75" thickBot="1">
      <c r="A55" s="146">
        <f>mod.RK1!F55</f>
        <v>4.416666666666667</v>
      </c>
      <c r="B55" s="147">
        <f>mod.RK1!I55</f>
        <v>2.5195786315839513E+19</v>
      </c>
      <c r="C55" s="148">
        <f>mod.RK1!K55</f>
        <v>1.9546435022098643E+21</v>
      </c>
      <c r="D55" s="147">
        <f>mod.RK1!M55</f>
        <v>8.5016518849229134E+20</v>
      </c>
      <c r="E55" s="148">
        <f>mod.RK1!O55</f>
        <v>1.1883828443992839E+20</v>
      </c>
      <c r="F55" s="147">
        <f>mod.RK1!Q55</f>
        <v>6.1801970830138483E+19</v>
      </c>
      <c r="G55" s="148">
        <f>mod.RK1!S55</f>
        <v>2.9648209541925917E+19</v>
      </c>
      <c r="H55" s="147">
        <f>mod.RK1!W55</f>
        <v>2.8400060498567516E+19</v>
      </c>
      <c r="I55" s="148">
        <f>mod.RK1!Y55</f>
        <v>1.4439228738575345E+22</v>
      </c>
      <c r="J55" s="149">
        <f>mod.O5!U55</f>
        <v>4.416666666666667</v>
      </c>
      <c r="K55" s="150">
        <f>mod.O5!AC55</f>
        <v>2.5082046673107005E+19</v>
      </c>
      <c r="L55" s="150">
        <f>mod.O5!AD55</f>
        <v>1.9544863991978779E+21</v>
      </c>
      <c r="M55" s="150">
        <f>mod.O5!AE55</f>
        <v>8.4934473556592833E+20</v>
      </c>
      <c r="N55" s="150">
        <f>mod.O5!AF55</f>
        <v>1.1906539203796266E+20</v>
      </c>
      <c r="O55" s="150">
        <f>mod.O5!AG55</f>
        <v>6.1766549885304979E+19</v>
      </c>
      <c r="P55" s="150">
        <f>mod.O5!AH55</f>
        <v>2.9669816183050772E+19</v>
      </c>
      <c r="Q55" s="150">
        <f>mod.O5!AI55</f>
        <v>2.874915875279618E+19</v>
      </c>
      <c r="R55" s="150">
        <f>mod.O5!AJ55</f>
        <v>1.4442349579140357E+22</v>
      </c>
      <c r="T55" s="151">
        <f>mod.math.!Q55</f>
        <v>53</v>
      </c>
      <c r="U55" s="151">
        <f>mod.math.!R55</f>
        <v>4.416666666666667</v>
      </c>
      <c r="V55" s="151">
        <f>mod.math.!S55</f>
        <v>139284000</v>
      </c>
      <c r="W55" s="151">
        <f>mod.math.!T55</f>
        <v>1.3099122250904539E+19</v>
      </c>
      <c r="X55" s="151">
        <f>mod.math.!U55</f>
        <v>1.953313322375192E+21</v>
      </c>
      <c r="Y55" s="151">
        <f>mod.math.!V55</f>
        <v>8.4925351789228196E+20</v>
      </c>
      <c r="Z55" s="151">
        <f>mod.math.!W55</f>
        <v>1.1906152191391354E+20</v>
      </c>
      <c r="AA55" s="151">
        <f>mod.math.!X55</f>
        <v>6.1766315752685601E+19</v>
      </c>
      <c r="AB55" s="151">
        <f>mod.math.!Y55</f>
        <v>2.9669574023118959E+19</v>
      </c>
      <c r="AC55" s="151">
        <f>mod.math.!Z55</f>
        <v>2.8593569506267722E+19</v>
      </c>
      <c r="AD55" s="151">
        <f>mod.math.!AA55</f>
        <v>1.4442349144239172E+22</v>
      </c>
      <c r="AF55" s="144">
        <f>dragon!L55</f>
        <v>0</v>
      </c>
      <c r="AG55" s="144">
        <f>dragon!M55</f>
        <v>0</v>
      </c>
      <c r="AH55" s="144">
        <f>dragon!N55</f>
        <v>0</v>
      </c>
      <c r="AI55" s="144">
        <f>dragon!O55</f>
        <v>0</v>
      </c>
      <c r="AJ55" s="144">
        <f>dragon!P55</f>
        <v>0</v>
      </c>
      <c r="AK55" s="144">
        <f>dragon!Q55</f>
        <v>0</v>
      </c>
      <c r="AL55" s="144">
        <f>dragon!S55</f>
        <v>0</v>
      </c>
      <c r="AM55" s="144">
        <f>dragon!R55</f>
        <v>0</v>
      </c>
      <c r="AO55" s="145"/>
      <c r="AP55" s="145"/>
      <c r="AQ55" s="145"/>
      <c r="AR55" s="145"/>
      <c r="AS55" s="145"/>
      <c r="AT55" s="145"/>
      <c r="AU55" s="145"/>
      <c r="AV55" s="145"/>
      <c r="AW55" s="145"/>
      <c r="AX55" s="145"/>
    </row>
    <row r="56" spans="1:50" ht="12.75" thickBot="1">
      <c r="A56" s="146">
        <f>mod.RK1!F56</f>
        <v>4.5</v>
      </c>
      <c r="B56" s="147">
        <f>mod.RK1!I56</f>
        <v>2.5233880361791492E+19</v>
      </c>
      <c r="C56" s="148">
        <f>mod.RK1!K56</f>
        <v>1.9500216238093907E+21</v>
      </c>
      <c r="D56" s="147">
        <f>mod.RK1!M56</f>
        <v>8.5161691362573943E+20</v>
      </c>
      <c r="E56" s="148">
        <f>mod.RK1!O56</f>
        <v>1.1876802127428352E+20</v>
      </c>
      <c r="F56" s="147">
        <f>mod.RK1!Q56</f>
        <v>6.1929315659814978E+19</v>
      </c>
      <c r="G56" s="148">
        <f>mod.RK1!S56</f>
        <v>2.958607026328483E+19</v>
      </c>
      <c r="H56" s="147">
        <f>mod.RK1!W56</f>
        <v>2.7796687356776468E+19</v>
      </c>
      <c r="I56" s="148">
        <f>mod.RK1!Y56</f>
        <v>1.4398033426015999E+22</v>
      </c>
      <c r="J56" s="149">
        <f>mod.O5!U56</f>
        <v>4.5</v>
      </c>
      <c r="K56" s="150">
        <f>mod.O5!AC56</f>
        <v>2.5121812914664894E+19</v>
      </c>
      <c r="L56" s="150">
        <f>mod.O5!AD56</f>
        <v>1.9498718432082445E+21</v>
      </c>
      <c r="M56" s="150">
        <f>mod.O5!AE56</f>
        <v>8.5078692111621004E+20</v>
      </c>
      <c r="N56" s="150">
        <f>mod.O5!AF56</f>
        <v>1.1898902625627251E+20</v>
      </c>
      <c r="O56" s="150">
        <f>mod.O5!AG56</f>
        <v>6.1894450318556054E+19</v>
      </c>
      <c r="P56" s="150">
        <f>mod.O5!AH56</f>
        <v>2.9608601638162412E+19</v>
      </c>
      <c r="Q56" s="150">
        <f>mod.O5!AI56</f>
        <v>2.8144798112192434E+19</v>
      </c>
      <c r="R56" s="150">
        <f>mod.O5!AJ56</f>
        <v>1.4401204085028333E+22</v>
      </c>
      <c r="T56" s="151">
        <f>mod.math.!Q56</f>
        <v>54</v>
      </c>
      <c r="U56" s="151">
        <f>mod.math.!R56</f>
        <v>4.5</v>
      </c>
      <c r="V56" s="151">
        <f>mod.math.!S56</f>
        <v>141912000</v>
      </c>
      <c r="W56" s="151">
        <f>mod.math.!T56</f>
        <v>1.3015071715269087E+19</v>
      </c>
      <c r="X56" s="151">
        <f>mod.math.!U56</f>
        <v>1.9486684138118911E+21</v>
      </c>
      <c r="Y56" s="151">
        <f>mod.math.!V56</f>
        <v>8.506914717662169E+20</v>
      </c>
      <c r="Z56" s="151">
        <f>mod.math.!W56</f>
        <v>1.1898489056234448E+20</v>
      </c>
      <c r="AA56" s="151">
        <f>mod.math.!X56</f>
        <v>6.1894200867322692E+19</v>
      </c>
      <c r="AB56" s="151">
        <f>mod.math.!Y56</f>
        <v>2.9608347710262706E+19</v>
      </c>
      <c r="AC56" s="151">
        <f>mod.math.!Z56</f>
        <v>2.7987877551273116E+19</v>
      </c>
      <c r="AD56" s="151">
        <f>mod.math.!AA56</f>
        <v>1.4401203641856129E+22</v>
      </c>
      <c r="AF56" s="144">
        <f>dragon!L56</f>
        <v>0</v>
      </c>
      <c r="AG56" s="144">
        <f>dragon!M56</f>
        <v>0</v>
      </c>
      <c r="AH56" s="144">
        <f>dragon!N56</f>
        <v>0</v>
      </c>
      <c r="AI56" s="144">
        <f>dragon!O56</f>
        <v>0</v>
      </c>
      <c r="AJ56" s="144">
        <f>dragon!P56</f>
        <v>0</v>
      </c>
      <c r="AK56" s="144">
        <f>dragon!Q56</f>
        <v>0</v>
      </c>
      <c r="AL56" s="144">
        <f>dragon!S56</f>
        <v>0</v>
      </c>
      <c r="AM56" s="144">
        <f>dragon!R56</f>
        <v>0</v>
      </c>
      <c r="AO56" s="145"/>
      <c r="AP56" s="145"/>
      <c r="AQ56" s="145"/>
      <c r="AR56" s="145"/>
      <c r="AS56" s="145"/>
      <c r="AT56" s="145"/>
      <c r="AU56" s="145"/>
      <c r="AV56" s="145"/>
      <c r="AW56" s="145"/>
      <c r="AX56" s="145"/>
    </row>
    <row r="57" spans="1:50" ht="12.75" thickBot="1">
      <c r="A57" s="146">
        <f>mod.RK1!F57</f>
        <v>4.583333333333333</v>
      </c>
      <c r="B57" s="147">
        <f>mod.RK1!I57</f>
        <v>2.5267823064574296E+19</v>
      </c>
      <c r="C57" s="148">
        <f>mod.RK1!K57</f>
        <v>1.945394175108464E+21</v>
      </c>
      <c r="D57" s="147">
        <f>mod.RK1!M57</f>
        <v>8.5303782751329478E+20</v>
      </c>
      <c r="E57" s="148">
        <f>mod.RK1!O57</f>
        <v>1.1870591113126332E+20</v>
      </c>
      <c r="F57" s="147">
        <f>mod.RK1!Q57</f>
        <v>6.2055377516620939E+19</v>
      </c>
      <c r="G57" s="148">
        <f>mod.RK1!S57</f>
        <v>2.9524782225129898E+19</v>
      </c>
      <c r="H57" s="147">
        <f>mod.RK1!W57</f>
        <v>2.7206221589187453E+19</v>
      </c>
      <c r="I57" s="148">
        <f>mod.RK1!Y57</f>
        <v>1.4356955644280701E+22</v>
      </c>
      <c r="J57" s="149">
        <f>mod.O5!U57</f>
        <v>4.583333333333333</v>
      </c>
      <c r="K57" s="150">
        <f>mod.O5!AC57</f>
        <v>2.5157474467002839E+19</v>
      </c>
      <c r="L57" s="150">
        <f>mod.O5!AD57</f>
        <v>1.9452518832768984E+21</v>
      </c>
      <c r="M57" s="150">
        <f>mod.O5!AE57</f>
        <v>8.5219851112909216E+20</v>
      </c>
      <c r="N57" s="150">
        <f>mod.O5!AF57</f>
        <v>1.1892077066424389E+20</v>
      </c>
      <c r="O57" s="150">
        <f>mod.O5!AG57</f>
        <v>6.2021063064148836E+19</v>
      </c>
      <c r="P57" s="150">
        <f>mod.O5!AH57</f>
        <v>2.9548206072337441E+19</v>
      </c>
      <c r="Q57" s="150">
        <f>mod.O5!AI57</f>
        <v>2.7553228411532259E+19</v>
      </c>
      <c r="R57" s="150">
        <f>mod.O5!AJ57</f>
        <v>1.4360175812310519E+22</v>
      </c>
      <c r="T57" s="151">
        <f>mod.math.!Q57</f>
        <v>55</v>
      </c>
      <c r="U57" s="151">
        <f>mod.math.!R57</f>
        <v>4.583333333333333</v>
      </c>
      <c r="V57" s="151">
        <f>mod.math.!S57</f>
        <v>144540000</v>
      </c>
      <c r="W57" s="151">
        <f>mod.math.!T57</f>
        <v>1.2929610856839643E+19</v>
      </c>
      <c r="X57" s="151">
        <f>mod.math.!U57</f>
        <v>1.9440181553061956E+21</v>
      </c>
      <c r="Y57" s="151">
        <f>mod.math.!V57</f>
        <v>8.5209873715141332E+20</v>
      </c>
      <c r="Z57" s="151">
        <f>mod.math.!W57</f>
        <v>1.1891636055710592E+20</v>
      </c>
      <c r="AA57" s="151">
        <f>mod.math.!X57</f>
        <v>6.202079715835809E+19</v>
      </c>
      <c r="AB57" s="151">
        <f>mod.math.!Y57</f>
        <v>2.9547939309164913E+19</v>
      </c>
      <c r="AC57" s="151">
        <f>mod.math.!Z57</f>
        <v>2.7395015849747378E+19</v>
      </c>
      <c r="AD57" s="151">
        <f>mod.math.!AA57</f>
        <v>1.4360175360871728E+22</v>
      </c>
      <c r="AF57" s="144">
        <f>dragon!L57</f>
        <v>0</v>
      </c>
      <c r="AG57" s="144">
        <f>dragon!M57</f>
        <v>0</v>
      </c>
      <c r="AH57" s="144">
        <f>dragon!N57</f>
        <v>0</v>
      </c>
      <c r="AI57" s="144">
        <f>dragon!O57</f>
        <v>0</v>
      </c>
      <c r="AJ57" s="144">
        <f>dragon!P57</f>
        <v>0</v>
      </c>
      <c r="AK57" s="144">
        <f>dragon!Q57</f>
        <v>0</v>
      </c>
      <c r="AL57" s="144">
        <f>dragon!S57</f>
        <v>0</v>
      </c>
      <c r="AM57" s="144">
        <f>dragon!R57</f>
        <v>0</v>
      </c>
      <c r="AO57" s="145"/>
      <c r="AP57" s="145"/>
      <c r="AQ57" s="145"/>
      <c r="AR57" s="145"/>
      <c r="AS57" s="145"/>
      <c r="AT57" s="145"/>
      <c r="AU57" s="145"/>
      <c r="AV57" s="145"/>
      <c r="AW57" s="145"/>
      <c r="AX57" s="145"/>
    </row>
    <row r="58" spans="1:50" ht="12.75" thickBot="1">
      <c r="A58" s="146">
        <f>mod.RK1!F58</f>
        <v>4.666666666666667</v>
      </c>
      <c r="B58" s="147">
        <f>mod.RK1!I58</f>
        <v>2.5297753510053831E+19</v>
      </c>
      <c r="C58" s="148">
        <f>mod.RK1!K58</f>
        <v>1.9407615319343938E+21</v>
      </c>
      <c r="D58" s="147">
        <f>mod.RK1!M58</f>
        <v>8.5442815052282593E+20</v>
      </c>
      <c r="E58" s="148">
        <f>mod.RK1!O58</f>
        <v>1.1865157923336878E+20</v>
      </c>
      <c r="F58" s="147">
        <f>mod.RK1!Q58</f>
        <v>6.2180200221426803E+19</v>
      </c>
      <c r="G58" s="148">
        <f>mod.RK1!S58</f>
        <v>2.9464362760403726E+19</v>
      </c>
      <c r="H58" s="147">
        <f>mod.RK1!W58</f>
        <v>2.6628386830691033E+19</v>
      </c>
      <c r="I58" s="148">
        <f>mod.RK1!Y58</f>
        <v>1.4315995058052163E+22</v>
      </c>
      <c r="J58" s="149">
        <f>mod.O5!U58</f>
        <v>4.666666666666667</v>
      </c>
      <c r="K58" s="150">
        <f>mod.O5!AC58</f>
        <v>2.5189167092574368E+19</v>
      </c>
      <c r="L58" s="150">
        <f>mod.O5!AD58</f>
        <v>1.94062688766095E+21</v>
      </c>
      <c r="M58" s="150">
        <f>mod.O5!AE58</f>
        <v>8.5357972482398736E+20</v>
      </c>
      <c r="N58" s="150">
        <f>mod.O5!AF58</f>
        <v>1.188602581030697E+20</v>
      </c>
      <c r="O58" s="150">
        <f>mod.O5!AG58</f>
        <v>6.2146430946196824E+19</v>
      </c>
      <c r="P58" s="150">
        <f>mod.O5!AH58</f>
        <v>2.9488646502973608E+19</v>
      </c>
      <c r="Q58" s="150">
        <f>mod.O5!AI58</f>
        <v>2.6974178549445833E+19</v>
      </c>
      <c r="R58" s="150">
        <f>mod.O5!AJ58</f>
        <v>1.4319264427028693E+22</v>
      </c>
      <c r="T58" s="151">
        <f>mod.math.!Q58</f>
        <v>56</v>
      </c>
      <c r="U58" s="151">
        <f>mod.math.!R58</f>
        <v>4.666666666666667</v>
      </c>
      <c r="V58" s="151">
        <f>mod.math.!S58</f>
        <v>147168000</v>
      </c>
      <c r="W58" s="151">
        <f>mod.math.!T58</f>
        <v>1.2842822184800502E+19</v>
      </c>
      <c r="X58" s="151">
        <f>mod.math.!U58</f>
        <v>1.9393629259038615E+21</v>
      </c>
      <c r="Y58" s="151">
        <f>mod.math.!V58</f>
        <v>8.5347553429105659E+20</v>
      </c>
      <c r="Z58" s="151">
        <f>mod.math.!W58</f>
        <v>1.188555652343893E+20</v>
      </c>
      <c r="AA58" s="151">
        <f>mod.math.!X58</f>
        <v>6.2146147324065317E+19</v>
      </c>
      <c r="AB58" s="151">
        <f>mod.math.!Y58</f>
        <v>2.9488365653248762E+19</v>
      </c>
      <c r="AC58" s="151">
        <f>mod.math.!Z58</f>
        <v>2.681471262095657E+19</v>
      </c>
      <c r="AD58" s="151">
        <f>mod.math.!AA58</f>
        <v>1.4319263967328294E+22</v>
      </c>
      <c r="AF58" s="144">
        <f>dragon!L58</f>
        <v>0</v>
      </c>
      <c r="AG58" s="144">
        <f>dragon!M58</f>
        <v>0</v>
      </c>
      <c r="AH58" s="144">
        <f>dragon!N58</f>
        <v>0</v>
      </c>
      <c r="AI58" s="144">
        <f>dragon!O58</f>
        <v>0</v>
      </c>
      <c r="AJ58" s="144">
        <f>dragon!P58</f>
        <v>0</v>
      </c>
      <c r="AK58" s="144">
        <f>dragon!Q58</f>
        <v>0</v>
      </c>
      <c r="AL58" s="144">
        <f>dragon!S58</f>
        <v>0</v>
      </c>
      <c r="AM58" s="144">
        <f>dragon!R58</f>
        <v>0</v>
      </c>
      <c r="AO58" s="145"/>
      <c r="AP58" s="145"/>
      <c r="AQ58" s="145"/>
      <c r="AR58" s="145"/>
      <c r="AS58" s="145"/>
      <c r="AT58" s="145"/>
      <c r="AU58" s="145"/>
      <c r="AV58" s="145"/>
      <c r="AW58" s="145"/>
      <c r="AX58" s="145"/>
    </row>
    <row r="59" spans="1:50" ht="12.75" thickBot="1">
      <c r="A59" s="146">
        <f>mod.RK1!F59</f>
        <v>4.75</v>
      </c>
      <c r="B59" s="147">
        <f>mod.RK1!I59</f>
        <v>2.532380735910572E+19</v>
      </c>
      <c r="C59" s="148">
        <f>mod.RK1!K59</f>
        <v>1.9361240623607775E+21</v>
      </c>
      <c r="D59" s="147">
        <f>mod.RK1!M59</f>
        <v>8.5578810285132284E+20</v>
      </c>
      <c r="E59" s="148">
        <f>mod.RK1!O59</f>
        <v>1.1860466306712794E+20</v>
      </c>
      <c r="F59" s="147">
        <f>mod.RK1!Q59</f>
        <v>6.2303825801823863E+19</v>
      </c>
      <c r="G59" s="148">
        <f>mod.RK1!S59</f>
        <v>2.9404827374374035E+19</v>
      </c>
      <c r="H59" s="147">
        <f>mod.RK1!W59</f>
        <v>2.6062912634159702E+19</v>
      </c>
      <c r="I59" s="148">
        <f>mod.RK1!Y59</f>
        <v>1.427515133296977E+22</v>
      </c>
      <c r="J59" s="149">
        <f>mod.O5!U59</f>
        <v>4.75</v>
      </c>
      <c r="K59" s="150">
        <f>mod.O5!AC59</f>
        <v>2.5217023254234624E+19</v>
      </c>
      <c r="L59" s="150">
        <f>mod.O5!AD59</f>
        <v>1.9359972171451227E+21</v>
      </c>
      <c r="M59" s="150">
        <f>mod.O5!AE59</f>
        <v>8.5493078118870483E+20</v>
      </c>
      <c r="N59" s="150">
        <f>mod.O5!AF59</f>
        <v>1.1880713293931263E+20</v>
      </c>
      <c r="O59" s="150">
        <f>mod.O5!AG59</f>
        <v>6.2270595111486513E+19</v>
      </c>
      <c r="P59" s="150">
        <f>mod.O5!AH59</f>
        <v>2.9429938285158572E+19</v>
      </c>
      <c r="Q59" s="150">
        <f>mod.O5!AI59</f>
        <v>2.6407383093455684E+19</v>
      </c>
      <c r="R59" s="150">
        <f>mod.O5!AJ59</f>
        <v>1.4278469596175869E+22</v>
      </c>
      <c r="T59" s="151">
        <f>mod.math.!Q59</f>
        <v>57</v>
      </c>
      <c r="U59" s="151">
        <f>mod.math.!R59</f>
        <v>4.75</v>
      </c>
      <c r="V59" s="151">
        <f>mod.math.!S59</f>
        <v>149796000</v>
      </c>
      <c r="W59" s="151">
        <f>mod.math.!T59</f>
        <v>1.2754785592299831E+19</v>
      </c>
      <c r="X59" s="151">
        <f>mod.math.!U59</f>
        <v>1.9347030966543298E+21</v>
      </c>
      <c r="Y59" s="151">
        <f>mod.math.!V59</f>
        <v>8.5482208325578811E+20</v>
      </c>
      <c r="Z59" s="151">
        <f>mod.math.!W59</f>
        <v>1.1880214976769994E+20</v>
      </c>
      <c r="AA59" s="151">
        <f>mod.math.!X59</f>
        <v>6.2270292337553637E+19</v>
      </c>
      <c r="AB59" s="151">
        <f>mod.math.!Y59</f>
        <v>2.9429641830144369E+19</v>
      </c>
      <c r="AC59" s="151">
        <f>mod.math.!Z59</f>
        <v>2.6246701841244516E+19</v>
      </c>
      <c r="AD59" s="151">
        <f>mod.math.!AA59</f>
        <v>1.4278469128219582E+22</v>
      </c>
      <c r="AF59" s="144">
        <f>dragon!L59</f>
        <v>0</v>
      </c>
      <c r="AG59" s="144">
        <f>dragon!M59</f>
        <v>0</v>
      </c>
      <c r="AH59" s="144">
        <f>dragon!N59</f>
        <v>0</v>
      </c>
      <c r="AI59" s="144">
        <f>dragon!O59</f>
        <v>0</v>
      </c>
      <c r="AJ59" s="144">
        <f>dragon!P59</f>
        <v>0</v>
      </c>
      <c r="AK59" s="144">
        <f>dragon!Q59</f>
        <v>0</v>
      </c>
      <c r="AL59" s="144">
        <f>dragon!S59</f>
        <v>0</v>
      </c>
      <c r="AM59" s="144">
        <f>dragon!R59</f>
        <v>0</v>
      </c>
      <c r="AO59" s="145"/>
      <c r="AP59" s="145"/>
      <c r="AQ59" s="145"/>
      <c r="AR59" s="145"/>
      <c r="AS59" s="145"/>
      <c r="AT59" s="145"/>
      <c r="AU59" s="145"/>
      <c r="AV59" s="145"/>
      <c r="AW59" s="145"/>
      <c r="AX59" s="145"/>
    </row>
    <row r="60" spans="1:50" ht="12.75" thickBot="1">
      <c r="A60" s="146">
        <f>mod.RK1!F60</f>
        <v>4.833333333333333</v>
      </c>
      <c r="B60" s="147">
        <f>mod.RK1!I60</f>
        <v>2.5346116912492249E+19</v>
      </c>
      <c r="C60" s="148">
        <f>mod.RK1!K60</f>
        <v>1.9314821268506238E+21</v>
      </c>
      <c r="D60" s="147">
        <f>mod.RK1!M60</f>
        <v>8.5711790449381868E+20</v>
      </c>
      <c r="E60" s="148">
        <f>mod.RK1!O60</f>
        <v>1.1856481201099424E+20</v>
      </c>
      <c r="F60" s="147">
        <f>mod.RK1!Q60</f>
        <v>6.2426294550615237E+19</v>
      </c>
      <c r="G60" s="148">
        <f>mod.RK1!S60</f>
        <v>2.9346189827455857E+19</v>
      </c>
      <c r="H60" s="147">
        <f>mod.RK1!W60</f>
        <v>2.5509534343723086E+19</v>
      </c>
      <c r="I60" s="148">
        <f>mod.RK1!Y60</f>
        <v>1.423442413562685E+22</v>
      </c>
      <c r="J60" s="149">
        <f>mod.O5!U60</f>
        <v>4.833333333333333</v>
      </c>
      <c r="K60" s="150">
        <f>mod.O5!AC60</f>
        <v>2.5241172183492002E+19</v>
      </c>
      <c r="L60" s="150">
        <f>mod.O5!AD60</f>
        <v>1.9313632251999717E+21</v>
      </c>
      <c r="M60" s="150">
        <f>mod.O5!AE60</f>
        <v>8.5625189894340438E+20</v>
      </c>
      <c r="N60" s="150">
        <f>mod.O5!AF60</f>
        <v>1.1876105062210131E+20</v>
      </c>
      <c r="O60" s="150">
        <f>mod.O5!AG60</f>
        <v>6.2393595098983842E+19</v>
      </c>
      <c r="P60" s="150">
        <f>mod.O5!AH60</f>
        <v>2.9372095214082015E+19</v>
      </c>
      <c r="Q60" s="150">
        <f>mod.O5!AI60</f>
        <v>2.585258213718197E+19</v>
      </c>
      <c r="R60" s="150">
        <f>mod.O5!AJ60</f>
        <v>1.4237790987693536E+22</v>
      </c>
      <c r="T60" s="151">
        <f>mod.math.!Q60</f>
        <v>58</v>
      </c>
      <c r="U60" s="151">
        <f>mod.math.!R60</f>
        <v>4.833333333333333</v>
      </c>
      <c r="V60" s="151">
        <f>mod.math.!S60</f>
        <v>152424000</v>
      </c>
      <c r="W60" s="151">
        <f>mod.math.!T60</f>
        <v>1.2665578426187432E+19</v>
      </c>
      <c r="X60" s="151">
        <f>mod.math.!U60</f>
        <v>1.9300390307610406E+21</v>
      </c>
      <c r="Y60" s="151">
        <f>mod.math.!V60</f>
        <v>8.5613860391206401E+20</v>
      </c>
      <c r="Z60" s="151">
        <f>mod.math.!W60</f>
        <v>1.1875577081398911E+20</v>
      </c>
      <c r="AA60" s="151">
        <f>mod.math.!X60</f>
        <v>6.2393271502388298E+19</v>
      </c>
      <c r="AB60" s="151">
        <f>mod.math.!Y60</f>
        <v>2.9371781259860771E+19</v>
      </c>
      <c r="AC60" s="151">
        <f>mod.math.!Z60</f>
        <v>2.5690723122081833E+19</v>
      </c>
      <c r="AD60" s="151">
        <f>mod.math.!AA60</f>
        <v>1.4237790511488058E+22</v>
      </c>
      <c r="AF60" s="144">
        <f>dragon!L60</f>
        <v>0</v>
      </c>
      <c r="AG60" s="144">
        <f>dragon!M60</f>
        <v>0</v>
      </c>
      <c r="AH60" s="144">
        <f>dragon!N60</f>
        <v>0</v>
      </c>
      <c r="AI60" s="144">
        <f>dragon!O60</f>
        <v>0</v>
      </c>
      <c r="AJ60" s="144">
        <f>dragon!P60</f>
        <v>0</v>
      </c>
      <c r="AK60" s="144">
        <f>dragon!Q60</f>
        <v>0</v>
      </c>
      <c r="AL60" s="144">
        <f>dragon!S60</f>
        <v>0</v>
      </c>
      <c r="AM60" s="144">
        <f>dragon!R60</f>
        <v>0</v>
      </c>
      <c r="AO60" s="145"/>
      <c r="AP60" s="145"/>
      <c r="AQ60" s="145"/>
      <c r="AR60" s="145"/>
      <c r="AS60" s="145"/>
      <c r="AT60" s="145"/>
      <c r="AU60" s="145"/>
      <c r="AV60" s="145"/>
      <c r="AW60" s="145"/>
      <c r="AX60" s="145"/>
    </row>
    <row r="61" spans="1:50" ht="12.75" thickBot="1">
      <c r="A61" s="146">
        <f>mod.RK1!F61</f>
        <v>4.916666666666667</v>
      </c>
      <c r="B61" s="147">
        <f>mod.RK1!I61</f>
        <v>2.5364811174967579E+19</v>
      </c>
      <c r="C61" s="148">
        <f>mod.RK1!K61</f>
        <v>1.926836078396877E+21</v>
      </c>
      <c r="D61" s="147">
        <f>mod.RK1!M61</f>
        <v>8.5841777521315689E+20</v>
      </c>
      <c r="E61" s="148">
        <f>mod.RK1!O61</f>
        <v>1.1853168697438436E+20</v>
      </c>
      <c r="F61" s="147">
        <f>mod.RK1!Q61</f>
        <v>6.2547645082561569E+19</v>
      </c>
      <c r="G61" s="148">
        <f>mod.RK1!S61</f>
        <v>2.9288462215021109E+19</v>
      </c>
      <c r="H61" s="147">
        <f>mod.RK1!W61</f>
        <v>2.4967992970756694E+19</v>
      </c>
      <c r="I61" s="148">
        <f>mod.RK1!Y61</f>
        <v>1.4193813133567948E+22</v>
      </c>
      <c r="J61" s="149">
        <f>mod.O5!U61</f>
        <v>4.916666666666667</v>
      </c>
      <c r="K61" s="150">
        <f>mod.O5!AC61</f>
        <v>2.5261739948759761E+19</v>
      </c>
      <c r="L61" s="150">
        <f>mod.O5!AD61</f>
        <v>1.9267252581401022E+21</v>
      </c>
      <c r="M61" s="150">
        <f>mod.O5!AE61</f>
        <v>8.5754329650454449E+20</v>
      </c>
      <c r="N61" s="150">
        <f>mod.O5!AF61</f>
        <v>1.1872167724032691E+20</v>
      </c>
      <c r="O61" s="150">
        <f>mod.O5!AG61</f>
        <v>6.2515468909340328E+19</v>
      </c>
      <c r="P61" s="150">
        <f>mod.O5!AH61</f>
        <v>2.9315129627447718E+19</v>
      </c>
      <c r="Q61" s="150">
        <f>mod.O5!AI61</f>
        <v>2.5309521157547827E+19</v>
      </c>
      <c r="R61" s="150">
        <f>mod.O5!AJ61</f>
        <v>1.4197228270468886E+22</v>
      </c>
      <c r="T61" s="151">
        <f>mod.math.!Q61</f>
        <v>59</v>
      </c>
      <c r="U61" s="151">
        <f>mod.math.!R61</f>
        <v>4.916666666666667</v>
      </c>
      <c r="V61" s="151">
        <f>mod.math.!S61</f>
        <v>155052000</v>
      </c>
      <c r="W61" s="151">
        <f>mod.math.!T61</f>
        <v>1.2575275555039142E+19</v>
      </c>
      <c r="X61" s="151">
        <f>mod.math.!U61</f>
        <v>1.9253710837290492E+21</v>
      </c>
      <c r="Y61" s="151">
        <f>mod.math.!V61</f>
        <v>8.5742531589138874E+20</v>
      </c>
      <c r="Z61" s="151">
        <f>mod.math.!W61</f>
        <v>1.1871609617021479E+20</v>
      </c>
      <c r="AA61" s="151">
        <f>mod.math.!X61</f>
        <v>6.2515122506572857E+19</v>
      </c>
      <c r="AB61" s="151">
        <f>mod.math.!Y61</f>
        <v>2.9314795770150035E+19</v>
      </c>
      <c r="AC61" s="151">
        <f>mod.math.!Z61</f>
        <v>2.5146521590698074E+19</v>
      </c>
      <c r="AD61" s="151">
        <f>mod.math.!AA61</f>
        <v>1.4197227786022211E+22</v>
      </c>
      <c r="AF61" s="144">
        <f>dragon!L61</f>
        <v>0</v>
      </c>
      <c r="AG61" s="144">
        <f>dragon!M61</f>
        <v>0</v>
      </c>
      <c r="AH61" s="144">
        <f>dragon!N61</f>
        <v>0</v>
      </c>
      <c r="AI61" s="144">
        <f>dragon!O61</f>
        <v>0</v>
      </c>
      <c r="AJ61" s="144">
        <f>dragon!P61</f>
        <v>0</v>
      </c>
      <c r="AK61" s="144">
        <f>dragon!Q61</f>
        <v>0</v>
      </c>
      <c r="AL61" s="144">
        <f>dragon!S61</f>
        <v>0</v>
      </c>
      <c r="AM61" s="144">
        <f>dragon!R61</f>
        <v>0</v>
      </c>
      <c r="AO61" s="145"/>
      <c r="AP61" s="145"/>
      <c r="AQ61" s="145"/>
      <c r="AR61" s="145"/>
      <c r="AS61" s="145"/>
      <c r="AT61" s="145"/>
      <c r="AU61" s="145"/>
      <c r="AV61" s="145"/>
      <c r="AW61" s="145"/>
      <c r="AX61" s="145"/>
    </row>
    <row r="62" spans="1:50" ht="12.75" thickBot="1">
      <c r="A62" s="146">
        <f>mod.RK1!F62</f>
        <v>5</v>
      </c>
      <c r="B62" s="147">
        <f>mod.RK1!I62</f>
        <v>2.5380015918603923E+19</v>
      </c>
      <c r="C62" s="148">
        <f>mod.RK1!K62</f>
        <v>1.9221862626603927E+21</v>
      </c>
      <c r="D62" s="147">
        <f>mod.RK1!M62</f>
        <v>8.5968793451058417E+20</v>
      </c>
      <c r="E62" s="148">
        <f>mod.RK1!O62</f>
        <v>1.1850496004752163E+20</v>
      </c>
      <c r="F62" s="147">
        <f>mod.RK1!Q62</f>
        <v>6.2667914389432656E+19</v>
      </c>
      <c r="G62" s="148">
        <f>mod.RK1!S62</f>
        <v>2.9231655044295487E+19</v>
      </c>
      <c r="H62" s="147">
        <f>mod.RK1!W62</f>
        <v>2.4438035072526156E+19</v>
      </c>
      <c r="I62" s="148">
        <f>mod.RK1!Y62</f>
        <v>1.4153317995286119E+22</v>
      </c>
      <c r="J62" s="149">
        <f>mod.O5!U62</f>
        <v>5</v>
      </c>
      <c r="K62" s="150">
        <f>mod.O5!AC62</f>
        <v>2.5278849523607638E+19</v>
      </c>
      <c r="L62" s="150">
        <f>mod.O5!AD62</f>
        <v>1.9220836552823928E+21</v>
      </c>
      <c r="M62" s="150">
        <f>mod.O5!AE62</f>
        <v>8.5880519194883575E+20</v>
      </c>
      <c r="N62" s="150">
        <f>mod.O5!AF62</f>
        <v>1.1868868907983936E+20</v>
      </c>
      <c r="O62" s="150">
        <f>mod.O5!AG62</f>
        <v>6.2636253074399281E+19</v>
      </c>
      <c r="P62" s="150">
        <f>mod.O5!AH62</f>
        <v>2.9259052507885666E+19</v>
      </c>
      <c r="Q62" s="150">
        <f>mod.O5!AI62</f>
        <v>2.4777950871984574E+19</v>
      </c>
      <c r="R62" s="150">
        <f>mod.O5!AJ62</f>
        <v>1.4156781114332042E+22</v>
      </c>
      <c r="T62" s="151">
        <f>mod.math.!Q62</f>
        <v>60</v>
      </c>
      <c r="U62" s="151">
        <f>mod.math.!R62</f>
        <v>5</v>
      </c>
      <c r="V62" s="151">
        <f>mod.math.!S62</f>
        <v>157680000</v>
      </c>
      <c r="W62" s="151">
        <f>mod.math.!T62</f>
        <v>1.2483949435507675E+19</v>
      </c>
      <c r="X62" s="151">
        <f>mod.math.!U62</f>
        <v>1.9206996035099896E+21</v>
      </c>
      <c r="Y62" s="151">
        <f>mod.math.!V62</f>
        <v>8.5868243856039752E+20</v>
      </c>
      <c r="Z62" s="151">
        <f>mod.math.!W62</f>
        <v>1.1868280444002273E+20</v>
      </c>
      <c r="AA62" s="151">
        <f>mod.math.!X62</f>
        <v>6.2635881474945417E+19</v>
      </c>
      <c r="AB62" s="151">
        <f>mod.math.!Y62</f>
        <v>2.9258695669155955E+19</v>
      </c>
      <c r="AC62" s="151">
        <f>mod.math.!Z62</f>
        <v>2.4613847773242532E+19</v>
      </c>
      <c r="AD62" s="151">
        <f>mod.math.!AA62</f>
        <v>1.4156780621653845E+22</v>
      </c>
      <c r="AF62" s="144">
        <f>dragon!L62</f>
        <v>0</v>
      </c>
      <c r="AG62" s="144">
        <f>dragon!M62</f>
        <v>0</v>
      </c>
      <c r="AH62" s="144">
        <f>dragon!N62</f>
        <v>0</v>
      </c>
      <c r="AI62" s="144">
        <f>dragon!O62</f>
        <v>0</v>
      </c>
      <c r="AJ62" s="144">
        <f>dragon!P62</f>
        <v>0</v>
      </c>
      <c r="AK62" s="144">
        <f>dragon!Q62</f>
        <v>0</v>
      </c>
      <c r="AL62" s="144">
        <f>dragon!S62</f>
        <v>0</v>
      </c>
      <c r="AM62" s="144">
        <f>dragon!R62</f>
        <v>0</v>
      </c>
      <c r="AO62" s="145"/>
      <c r="AP62" s="145"/>
      <c r="AQ62" s="145"/>
      <c r="AR62" s="145"/>
      <c r="AS62" s="145"/>
      <c r="AT62" s="145"/>
      <c r="AU62" s="145"/>
      <c r="AV62" s="145"/>
      <c r="AW62" s="145"/>
      <c r="AX62" s="145"/>
    </row>
    <row r="63" spans="1:50" ht="12.75" thickBot="1">
      <c r="A63" s="146">
        <f>mod.RK1!F63</f>
        <v>5.083333333333333</v>
      </c>
      <c r="B63" s="147">
        <f>mod.RK1!I63</f>
        <v>2.5391853745332408E+19</v>
      </c>
      <c r="C63" s="148">
        <f>mod.RK1!K63</f>
        <v>1.917533018105411E+21</v>
      </c>
      <c r="D63" s="147">
        <f>mod.RK1!M63</f>
        <v>8.609286015971539E+20</v>
      </c>
      <c r="E63" s="148">
        <f>mod.RK1!O63</f>
        <v>1.1848431416176112E+20</v>
      </c>
      <c r="F63" s="147">
        <f>mod.RK1!Q63</f>
        <v>6.2787137893414511E+19</v>
      </c>
      <c r="G63" s="148">
        <f>mod.RK1!S63</f>
        <v>2.9175777308439417E+19</v>
      </c>
      <c r="H63" s="147">
        <f>mod.RK1!W63</f>
        <v>2.3919412633430032E+19</v>
      </c>
      <c r="I63" s="148">
        <f>mod.RK1!Y63</f>
        <v>1.4112938390220215E+22</v>
      </c>
      <c r="J63" s="149">
        <f>mod.O5!U63</f>
        <v>5.083333333333333</v>
      </c>
      <c r="K63" s="150">
        <f>mod.O5!AC63</f>
        <v>2.5292619075303313E+19</v>
      </c>
      <c r="L63" s="150">
        <f>mod.O5!AD63</f>
        <v>1.9174387417865084E+21</v>
      </c>
      <c r="M63" s="150">
        <f>mod.O5!AE63</f>
        <v>8.600378053747325E+20</v>
      </c>
      <c r="N63" s="150">
        <f>mod.O5!AF63</f>
        <v>1.1866180561210876E+20</v>
      </c>
      <c r="O63" s="150">
        <f>mod.O5!AG63</f>
        <v>6.275597751085985E+19</v>
      </c>
      <c r="P63" s="150">
        <f>mod.O5!AH63</f>
        <v>2.9203864381665047E+19</v>
      </c>
      <c r="Q63" s="150">
        <f>mod.O5!AI63</f>
        <v>2.4257634835576541E+19</v>
      </c>
      <c r="R63" s="150">
        <f>mod.O5!AJ63</f>
        <v>1.4116449190073487E+22</v>
      </c>
      <c r="T63" s="151">
        <f>mod.math.!Q63</f>
        <v>61</v>
      </c>
      <c r="U63" s="151">
        <f>mod.math.!R63</f>
        <v>5.083333333333333</v>
      </c>
      <c r="V63" s="151">
        <f>mod.math.!S63</f>
        <v>160308000</v>
      </c>
      <c r="W63" s="151">
        <f>mod.math.!T63</f>
        <v>1.2391670177039671E+19</v>
      </c>
      <c r="X63" s="151">
        <f>mod.math.!U63</f>
        <v>1.9160249306444338E+21</v>
      </c>
      <c r="Y63" s="151">
        <f>mod.math.!V63</f>
        <v>8.5991019099177379E+20</v>
      </c>
      <c r="Z63" s="151">
        <f>mod.math.!W63</f>
        <v>1.1865558471024946E+20</v>
      </c>
      <c r="AA63" s="151">
        <f>mod.math.!X63</f>
        <v>6.2755583020027838E+19</v>
      </c>
      <c r="AB63" s="151">
        <f>mod.math.!Y63</f>
        <v>2.9203489815436616E+19</v>
      </c>
      <c r="AC63" s="151">
        <f>mod.math.!Z63</f>
        <v>2.4092457480419983E+19</v>
      </c>
      <c r="AD63" s="151">
        <f>mod.math.!AA63</f>
        <v>1.4116448689155398E+22</v>
      </c>
      <c r="AF63" s="144">
        <f>dragon!L63</f>
        <v>0</v>
      </c>
      <c r="AG63" s="144">
        <f>dragon!M63</f>
        <v>0</v>
      </c>
      <c r="AH63" s="144">
        <f>dragon!N63</f>
        <v>0</v>
      </c>
      <c r="AI63" s="144">
        <f>dragon!O63</f>
        <v>0</v>
      </c>
      <c r="AJ63" s="144">
        <f>dragon!P63</f>
        <v>0</v>
      </c>
      <c r="AK63" s="144">
        <f>dragon!Q63</f>
        <v>0</v>
      </c>
      <c r="AL63" s="144">
        <f>dragon!S63</f>
        <v>0</v>
      </c>
      <c r="AM63" s="144">
        <f>dragon!R63</f>
        <v>0</v>
      </c>
      <c r="AO63" s="145"/>
      <c r="AP63" s="145"/>
      <c r="AQ63" s="145"/>
      <c r="AR63" s="145"/>
      <c r="AS63" s="145"/>
      <c r="AT63" s="145"/>
      <c r="AU63" s="145"/>
      <c r="AV63" s="145"/>
      <c r="AW63" s="145"/>
      <c r="AX63" s="145"/>
    </row>
    <row r="64" spans="1:50" ht="12.75" thickBot="1">
      <c r="A64" s="146">
        <f>mod.RK1!F64</f>
        <v>5.166666666666667</v>
      </c>
      <c r="B64" s="147">
        <f>mod.RK1!I64</f>
        <v>2.5400444148693131E+19</v>
      </c>
      <c r="C64" s="148">
        <f>mod.RK1!K64</f>
        <v>1.9128766761325751E+21</v>
      </c>
      <c r="D64" s="147">
        <f>mod.RK1!M64</f>
        <v>8.6213999536592165E+20</v>
      </c>
      <c r="E64" s="148">
        <f>mod.RK1!O64</f>
        <v>1.1846944276008254E+20</v>
      </c>
      <c r="F64" s="147">
        <f>mod.RK1!Q64</f>
        <v>6.2905349498920018E+19</v>
      </c>
      <c r="G64" s="148">
        <f>mod.RK1!S64</f>
        <v>2.9120836557906751E+19</v>
      </c>
      <c r="H64" s="147">
        <f>mod.RK1!W64</f>
        <v>2.3411882948785627E+19</v>
      </c>
      <c r="I64" s="148">
        <f>mod.RK1!Y64</f>
        <v>1.407267398875219E+22</v>
      </c>
      <c r="J64" s="149">
        <f>mod.O5!U64</f>
        <v>5.166666666666667</v>
      </c>
      <c r="K64" s="150">
        <f>mod.O5!AC64</f>
        <v>2.5303166505971208E+19</v>
      </c>
      <c r="L64" s="150">
        <f>mod.O5!AD64</f>
        <v>1.9127908474787529E+21</v>
      </c>
      <c r="M64" s="150">
        <f>mod.O5!AE64</f>
        <v>8.6124135274700394E+20</v>
      </c>
      <c r="N64" s="150">
        <f>mod.O5!AF64</f>
        <v>1.1864070341822936E+20</v>
      </c>
      <c r="O64" s="150">
        <f>mod.O5!AG64</f>
        <v>6.2874678946464039E+19</v>
      </c>
      <c r="P64" s="150">
        <f>mod.O5!AH64</f>
        <v>2.9149579022299845E+19</v>
      </c>
      <c r="Q64" s="150">
        <f>mod.O5!AI64</f>
        <v>2.3748329537637671E+19</v>
      </c>
      <c r="R64" s="150">
        <f>mod.O5!AJ64</f>
        <v>1.4076232169390103E+22</v>
      </c>
      <c r="T64" s="151">
        <f>mod.math.!Q64</f>
        <v>62</v>
      </c>
      <c r="U64" s="151">
        <f>mod.math.!R64</f>
        <v>5.166666666666667</v>
      </c>
      <c r="V64" s="151">
        <f>mod.math.!S64</f>
        <v>162936000</v>
      </c>
      <c r="W64" s="151">
        <f>mod.math.!T64</f>
        <v>1.2298505604996911E+19</v>
      </c>
      <c r="X64" s="151">
        <f>mod.math.!U64</f>
        <v>1.9113473984016878E+21</v>
      </c>
      <c r="Y64" s="151">
        <f>mod.math.!V64</f>
        <v>8.6110879193598381E+20</v>
      </c>
      <c r="Z64" s="151">
        <f>mod.math.!W64</f>
        <v>1.1863413623695776E+20</v>
      </c>
      <c r="AA64" s="151">
        <f>mod.math.!X64</f>
        <v>6.2874260291376677E+19</v>
      </c>
      <c r="AB64" s="151">
        <f>mod.math.!Y64</f>
        <v>2.9149185685446435E+19</v>
      </c>
      <c r="AC64" s="151">
        <f>mod.math.!Z64</f>
        <v>2.3582111695548965E+19</v>
      </c>
      <c r="AD64" s="151">
        <f>mod.math.!AA64</f>
        <v>1.407623166023726E+22</v>
      </c>
      <c r="AF64" s="144">
        <f>dragon!L64</f>
        <v>0</v>
      </c>
      <c r="AG64" s="144">
        <f>dragon!M64</f>
        <v>0</v>
      </c>
      <c r="AH64" s="144">
        <f>dragon!N64</f>
        <v>0</v>
      </c>
      <c r="AI64" s="144">
        <f>dragon!O64</f>
        <v>0</v>
      </c>
      <c r="AJ64" s="144">
        <f>dragon!P64</f>
        <v>0</v>
      </c>
      <c r="AK64" s="144">
        <f>dragon!Q64</f>
        <v>0</v>
      </c>
      <c r="AL64" s="144">
        <f>dragon!S64</f>
        <v>0</v>
      </c>
      <c r="AM64" s="144">
        <f>dragon!R64</f>
        <v>0</v>
      </c>
      <c r="AO64" s="145"/>
      <c r="AP64" s="145"/>
      <c r="AQ64" s="145"/>
      <c r="AR64" s="145"/>
      <c r="AS64" s="145"/>
      <c r="AT64" s="145"/>
      <c r="AU64" s="145"/>
      <c r="AV64" s="145"/>
      <c r="AW64" s="145"/>
      <c r="AX64" s="145"/>
    </row>
    <row r="65" spans="1:50" ht="12.75" thickBot="1">
      <c r="A65" s="146">
        <f>mod.RK1!F65</f>
        <v>5.25</v>
      </c>
      <c r="B65" s="147">
        <f>mod.RK1!I65</f>
        <v>2.5405903574789882E+19</v>
      </c>
      <c r="C65" s="148">
        <f>mod.RK1!K65</f>
        <v>1.9082175612095418E+21</v>
      </c>
      <c r="D65" s="147">
        <f>mod.RK1!M65</f>
        <v>8.6332233436491743E+20</v>
      </c>
      <c r="E65" s="148">
        <f>mod.RK1!O65</f>
        <v>1.1846004947744614E+20</v>
      </c>
      <c r="F65" s="147">
        <f>mod.RK1!Q65</f>
        <v>6.3022581642849952E+19</v>
      </c>
      <c r="G65" s="148">
        <f>mod.RK1!S65</f>
        <v>2.9066838969171923E+19</v>
      </c>
      <c r="H65" s="147">
        <f>mod.RK1!W65</f>
        <v>2.2915208511103263E+19</v>
      </c>
      <c r="I65" s="148">
        <f>mod.RK1!Y65</f>
        <v>1.4032524462204406E+22</v>
      </c>
      <c r="J65" s="149">
        <f>mod.O5!U65</f>
        <v>5.25</v>
      </c>
      <c r="K65" s="150">
        <f>mod.O5!AC65</f>
        <v>2.5310605615625998E+19</v>
      </c>
      <c r="L65" s="150">
        <f>mod.O5!AD65</f>
        <v>1.9081402905174257E+21</v>
      </c>
      <c r="M65" s="150">
        <f>mod.O5!AE65</f>
        <v>8.6241605127025407E+20</v>
      </c>
      <c r="N65" s="150">
        <f>mod.O5!AF65</f>
        <v>1.186250916599216E+20</v>
      </c>
      <c r="O65" s="150">
        <f>mod.O5!AG65</f>
        <v>6.2992389151244018E+19</v>
      </c>
      <c r="P65" s="150">
        <f>mod.O5!AH65</f>
        <v>2.9096202612237042E+19</v>
      </c>
      <c r="Q65" s="150">
        <f>mod.O5!AI65</f>
        <v>2.3249801731416486E+19</v>
      </c>
      <c r="R65" s="150">
        <f>mod.O5!AJ65</f>
        <v>1.4036129724927406E+22</v>
      </c>
      <c r="T65" s="151">
        <f>mod.math.!Q65</f>
        <v>63</v>
      </c>
      <c r="U65" s="151">
        <f>mod.math.!R65</f>
        <v>5.25</v>
      </c>
      <c r="V65" s="151">
        <f>mod.math.!S65</f>
        <v>165564000</v>
      </c>
      <c r="W65" s="151">
        <f>mod.math.!T65</f>
        <v>1.2204521322219454E+19</v>
      </c>
      <c r="X65" s="151">
        <f>mod.math.!U65</f>
        <v>1.9066673329170709E+21</v>
      </c>
      <c r="Y65" s="151">
        <f>mod.math.!V65</f>
        <v>8.6227845979380947E+20</v>
      </c>
      <c r="Z65" s="151">
        <f>mod.math.!W65</f>
        <v>1.1861816814072344E+20</v>
      </c>
      <c r="AA65" s="151">
        <f>mod.math.!X65</f>
        <v>6.2991945023478071E+19</v>
      </c>
      <c r="AB65" s="151">
        <f>mod.math.!Y65</f>
        <v>2.9095789438561493E+19</v>
      </c>
      <c r="AC65" s="151">
        <f>mod.math.!Z65</f>
        <v>2.3082576464991371E+19</v>
      </c>
      <c r="AD65" s="151">
        <f>mod.math.!AA65</f>
        <v>1.4036129207545097E+22</v>
      </c>
      <c r="AF65" s="144">
        <f>dragon!L65</f>
        <v>0</v>
      </c>
      <c r="AG65" s="144">
        <f>dragon!M65</f>
        <v>0</v>
      </c>
      <c r="AH65" s="144">
        <f>dragon!N65</f>
        <v>0</v>
      </c>
      <c r="AI65" s="144">
        <f>dragon!O65</f>
        <v>0</v>
      </c>
      <c r="AJ65" s="144">
        <f>dragon!P65</f>
        <v>0</v>
      </c>
      <c r="AK65" s="144">
        <f>dragon!Q65</f>
        <v>0</v>
      </c>
      <c r="AL65" s="144">
        <f>dragon!S65</f>
        <v>0</v>
      </c>
      <c r="AM65" s="144">
        <f>dragon!R65</f>
        <v>0</v>
      </c>
      <c r="AN65" s="145"/>
      <c r="AO65" s="145"/>
      <c r="AP65" s="145"/>
      <c r="AQ65" s="145"/>
      <c r="AR65" s="145"/>
      <c r="AS65" s="145"/>
      <c r="AT65" s="145"/>
      <c r="AU65" s="145"/>
      <c r="AV65" s="145"/>
      <c r="AW65" s="145"/>
      <c r="AX65" s="145"/>
    </row>
    <row r="66" spans="1:50" ht="12.75" thickBot="1">
      <c r="A66" s="146">
        <f>mod.RK1!F66</f>
        <v>5.333333333333333</v>
      </c>
      <c r="B66" s="147">
        <f>mod.RK1!I66</f>
        <v>2.5408345482445705E+19</v>
      </c>
      <c r="C66" s="148">
        <f>mod.RK1!K66</f>
        <v>1.9035559909992272E+21</v>
      </c>
      <c r="D66" s="147">
        <f>mod.RK1!M66</f>
        <v>8.6447583677087783E+20</v>
      </c>
      <c r="E66" s="148">
        <f>mod.RK1!O66</f>
        <v>1.184558478307163E+20</v>
      </c>
      <c r="F66" s="147">
        <f>mod.RK1!Q66</f>
        <v>6.3138865343349588E+19</v>
      </c>
      <c r="G66" s="148">
        <f>mod.RK1!S66</f>
        <v>2.9013789410913337E+19</v>
      </c>
      <c r="H66" s="147">
        <f>mod.RK1!W66</f>
        <v>2.2429156898795819E+19</v>
      </c>
      <c r="I66" s="148">
        <f>mod.RK1!Y66</f>
        <v>1.3992489482836955E+22</v>
      </c>
      <c r="J66" s="149">
        <f>mod.O5!U66</f>
        <v>5.333333333333333</v>
      </c>
      <c r="K66" s="150">
        <f>mod.O5!AC66</f>
        <v>2.5315047311750672E+19</v>
      </c>
      <c r="L66" s="150">
        <f>mod.O5!AD66</f>
        <v>1.9034873824409876E+21</v>
      </c>
      <c r="M66" s="150">
        <f>mod.O5!AE66</f>
        <v>8.6356211774811144E+20</v>
      </c>
      <c r="N66" s="150">
        <f>mod.O5!AF66</f>
        <v>1.1861468904171969E+20</v>
      </c>
      <c r="O66" s="150">
        <f>mod.O5!AG66</f>
        <v>6.3109138529718493E+19</v>
      </c>
      <c r="P66" s="150">
        <f>mod.O5!AH66</f>
        <v>2.9043740084474556E+19</v>
      </c>
      <c r="Q66" s="150">
        <f>mod.O5!AI66</f>
        <v>2.2761823106650128E+19</v>
      </c>
      <c r="R66" s="150">
        <f>mod.O5!AJ66</f>
        <v>1.3996141530263528E+22</v>
      </c>
      <c r="T66" s="151">
        <f>mod.math.!Q66</f>
        <v>64</v>
      </c>
      <c r="U66" s="151">
        <f>mod.math.!R66</f>
        <v>5.333333333333333</v>
      </c>
      <c r="V66" s="151">
        <f>mod.math.!S66</f>
        <v>168192000</v>
      </c>
      <c r="W66" s="151">
        <f>mod.math.!T66</f>
        <v>1.2109780769067327E+19</v>
      </c>
      <c r="X66" s="151">
        <f>mod.math.!U66</f>
        <v>1.9019850533267204E+21</v>
      </c>
      <c r="Y66" s="151">
        <f>mod.math.!V66</f>
        <v>8.6341941258966702E+20</v>
      </c>
      <c r="Z66" s="151">
        <f>mod.math.!W66</f>
        <v>1.1860739911090088E+20</v>
      </c>
      <c r="AA66" s="151">
        <f>mod.math.!X66</f>
        <v>6.31086675822283E+19</v>
      </c>
      <c r="AB66" s="151">
        <f>mod.math.!Y66</f>
        <v>2.9043305979728634E+19</v>
      </c>
      <c r="AC66" s="151">
        <f>mod.math.!Z66</f>
        <v>2.2593622790902915E+19</v>
      </c>
      <c r="AD66" s="151">
        <f>mod.math.!AA66</f>
        <v>1.3996141004657198E+22</v>
      </c>
      <c r="AF66" s="144">
        <f>dragon!L66</f>
        <v>0</v>
      </c>
      <c r="AG66" s="144">
        <f>dragon!M66</f>
        <v>0</v>
      </c>
      <c r="AH66" s="144">
        <f>dragon!N66</f>
        <v>0</v>
      </c>
      <c r="AI66" s="144">
        <f>dragon!O66</f>
        <v>0</v>
      </c>
      <c r="AJ66" s="144">
        <f>dragon!P66</f>
        <v>0</v>
      </c>
      <c r="AK66" s="144">
        <f>dragon!Q66</f>
        <v>0</v>
      </c>
      <c r="AL66" s="144">
        <f>dragon!S66</f>
        <v>0</v>
      </c>
      <c r="AM66" s="144">
        <f>dragon!R66</f>
        <v>0</v>
      </c>
      <c r="AN66" s="145"/>
      <c r="AO66" s="145"/>
      <c r="AP66" s="145"/>
      <c r="AQ66" s="145"/>
      <c r="AR66" s="145"/>
      <c r="AS66" s="145"/>
      <c r="AT66" s="145"/>
      <c r="AU66" s="145"/>
      <c r="AV66" s="145"/>
      <c r="AW66" s="145"/>
      <c r="AX66" s="145"/>
    </row>
    <row r="67" spans="1:50" ht="12.75" thickBot="1">
      <c r="A67" s="146">
        <f>mod.RK1!F67</f>
        <v>5.416666666666667</v>
      </c>
      <c r="B67" s="147">
        <f>mod.RK1!I67</f>
        <v>2.5407880402556346E+19</v>
      </c>
      <c r="C67" s="148">
        <f>mod.RK1!K67</f>
        <v>1.8988922764857327E+21</v>
      </c>
      <c r="D67" s="147">
        <f>mod.RK1!M67</f>
        <v>8.6560072036372185E+20</v>
      </c>
      <c r="E67" s="148">
        <f>mod.RK1!O67</f>
        <v>1.1845656091786614E+20</v>
      </c>
      <c r="F67" s="147">
        <f>mod.RK1!Q67</f>
        <v>6.3254230247105036E+19</v>
      </c>
      <c r="G67" s="148">
        <f>mod.RK1!S67</f>
        <v>2.8961691507738087E+19</v>
      </c>
      <c r="H67" s="147">
        <f>mod.RK1!W67</f>
        <v>2.1953500667271324E+19</v>
      </c>
      <c r="I67" s="148">
        <f>mod.RK1!Y67</f>
        <v>1.3952568723844981E+22</v>
      </c>
      <c r="J67" s="149">
        <f>mod.O5!U67</f>
        <v>5.416666666666667</v>
      </c>
      <c r="K67" s="150">
        <f>mod.O5!AC67</f>
        <v>2.5316599668574077E+19</v>
      </c>
      <c r="L67" s="150">
        <f>mod.O5!AD67</f>
        <v>1.8988324282952791E+21</v>
      </c>
      <c r="M67" s="150">
        <f>mod.O5!AE67</f>
        <v>8.6467976855723875E+20</v>
      </c>
      <c r="N67" s="150">
        <f>mod.O5!AF67</f>
        <v>1.1860922350181283E+20</v>
      </c>
      <c r="O67" s="150">
        <f>mod.O5!AG67</f>
        <v>6.3224956169474064E+19</v>
      </c>
      <c r="P67" s="150">
        <f>mod.O5!AH67</f>
        <v>2.8992195188764041E+19</v>
      </c>
      <c r="Q67" s="150">
        <f>mod.O5!AI67</f>
        <v>2.2284170179126759E+19</v>
      </c>
      <c r="R67" s="150">
        <f>mod.O5!AJ67</f>
        <v>1.395626725990653E+22</v>
      </c>
      <c r="T67" s="151">
        <f>mod.math.!Q67</f>
        <v>65</v>
      </c>
      <c r="U67" s="151">
        <f>mod.math.!R67</f>
        <v>5.416666666666667</v>
      </c>
      <c r="V67" s="151">
        <f>mod.math.!S67</f>
        <v>170820000</v>
      </c>
      <c r="W67" s="151">
        <f>mod.math.!T67</f>
        <v>1.2014345281976381E+19</v>
      </c>
      <c r="X67" s="151">
        <f>mod.math.!U67</f>
        <v>1.8973008718999671E+21</v>
      </c>
      <c r="Y67" s="151">
        <f>mod.math.!V67</f>
        <v>8.6453186794568889E+20</v>
      </c>
      <c r="Z67" s="151">
        <f>mod.math.!W67</f>
        <v>1.1860155711860258E+20</v>
      </c>
      <c r="AA67" s="151">
        <f>mod.math.!X67</f>
        <v>6.3224457010041094E+19</v>
      </c>
      <c r="AB67" s="151">
        <f>mod.math.!Y67</f>
        <v>2.8991739019817591E+19</v>
      </c>
      <c r="AC67" s="151">
        <f>mod.math.!Z67</f>
        <v>2.2115026526255616E+19</v>
      </c>
      <c r="AD67" s="151">
        <f>mod.math.!AA67</f>
        <v>1.3956266726081801E+22</v>
      </c>
      <c r="AF67" s="144">
        <f>dragon!L67</f>
        <v>0</v>
      </c>
      <c r="AG67" s="144">
        <f>dragon!M67</f>
        <v>0</v>
      </c>
      <c r="AH67" s="144">
        <f>dragon!N67</f>
        <v>0</v>
      </c>
      <c r="AI67" s="144">
        <f>dragon!O67</f>
        <v>0</v>
      </c>
      <c r="AJ67" s="144">
        <f>dragon!P67</f>
        <v>0</v>
      </c>
      <c r="AK67" s="144">
        <f>dragon!Q67</f>
        <v>0</v>
      </c>
      <c r="AL67" s="144">
        <f>dragon!S67</f>
        <v>0</v>
      </c>
      <c r="AM67" s="144">
        <f>dragon!R67</f>
        <v>0</v>
      </c>
      <c r="AN67" s="145"/>
      <c r="AO67" s="145"/>
      <c r="AP67" s="145"/>
      <c r="AQ67" s="145"/>
      <c r="AR67" s="145"/>
      <c r="AS67" s="145"/>
      <c r="AT67" s="145"/>
      <c r="AU67" s="145"/>
      <c r="AV67" s="145"/>
      <c r="AW67" s="145"/>
      <c r="AX67" s="145"/>
    </row>
    <row r="68" spans="1:50" ht="12.75" thickBot="1">
      <c r="A68" s="146">
        <f>mod.RK1!F68</f>
        <v>5.5</v>
      </c>
      <c r="B68" s="147">
        <f>mod.RK1!I68</f>
        <v>2.5404615996639252E+19</v>
      </c>
      <c r="C68" s="148">
        <f>mod.RK1!K68</f>
        <v>1.894226722097996E+21</v>
      </c>
      <c r="D68" s="147">
        <f>mod.RK1!M68</f>
        <v>8.6669720250175599E+20</v>
      </c>
      <c r="E68" s="148">
        <f>mod.RK1!O68</f>
        <v>1.1846192112618517E+20</v>
      </c>
      <c r="F68" s="147">
        <f>mod.RK1!Q68</f>
        <v>6.3368704675221922E+19</v>
      </c>
      <c r="G68" s="148">
        <f>mod.RK1!S68</f>
        <v>2.8910547701530247E+19</v>
      </c>
      <c r="H68" s="147">
        <f>mod.RK1!W68</f>
        <v>2.1488017242357608E+19</v>
      </c>
      <c r="I68" s="148">
        <f>mod.RK1!Y68</f>
        <v>1.3912761859356007E+22</v>
      </c>
      <c r="J68" s="149">
        <f>mod.O5!U68</f>
        <v>5.5</v>
      </c>
      <c r="K68" s="150">
        <f>mod.O5!AC68</f>
        <v>2.5315367986348536E+19</v>
      </c>
      <c r="L68" s="150">
        <f>mod.O5!AD68</f>
        <v>1.8941757267607455E+21</v>
      </c>
      <c r="M68" s="150">
        <f>mod.O5!AE68</f>
        <v>8.6576921962134084E+20</v>
      </c>
      <c r="N68" s="150">
        <f>mod.O5!AF68</f>
        <v>1.1860843190288674E+20</v>
      </c>
      <c r="O68" s="150">
        <f>mod.O5!AG68</f>
        <v>6.3339869889746371E+19</v>
      </c>
      <c r="P68" s="150">
        <f>mod.O5!AH68</f>
        <v>2.8941570557813686E+19</v>
      </c>
      <c r="Q68" s="150">
        <f>mod.O5!AI68</f>
        <v>2.1816624180248011E+19</v>
      </c>
      <c r="R68" s="150">
        <f>mod.O5!AJ68</f>
        <v>1.3916506589291707E+22</v>
      </c>
      <c r="T68" s="151">
        <f>mod.math.!Q68</f>
        <v>66</v>
      </c>
      <c r="U68" s="151">
        <f>mod.math.!R68</f>
        <v>5.5</v>
      </c>
      <c r="V68" s="151">
        <f>mod.math.!S68</f>
        <v>173448000</v>
      </c>
      <c r="W68" s="151">
        <f>mod.math.!T68</f>
        <v>1.1918274150563705E+19</v>
      </c>
      <c r="X68" s="151">
        <f>mod.math.!U68</f>
        <v>1.8926150941693198E+21</v>
      </c>
      <c r="Y68" s="151">
        <f>mod.math.!V68</f>
        <v>8.6561604305655955E+20</v>
      </c>
      <c r="Z68" s="151">
        <f>mod.math.!W68</f>
        <v>1.1860037913813595E+20</v>
      </c>
      <c r="AA68" s="151">
        <f>mod.math.!X68</f>
        <v>6.3339341069620576E+19</v>
      </c>
      <c r="AB68" s="151">
        <f>mod.math.!Y68</f>
        <v>2.8941091133750616E+19</v>
      </c>
      <c r="AC68" s="151">
        <f>mod.math.!Z68</f>
        <v>2.1646568272083845E+19</v>
      </c>
      <c r="AD68" s="151">
        <f>mod.math.!AA68</f>
        <v>1.3916506047254465E+22</v>
      </c>
      <c r="AF68" s="144">
        <f>dragon!L68</f>
        <v>0</v>
      </c>
      <c r="AG68" s="144">
        <f>dragon!M68</f>
        <v>0</v>
      </c>
      <c r="AH68" s="144">
        <f>dragon!N68</f>
        <v>0</v>
      </c>
      <c r="AI68" s="144">
        <f>dragon!O68</f>
        <v>0</v>
      </c>
      <c r="AJ68" s="144">
        <f>dragon!P68</f>
        <v>0</v>
      </c>
      <c r="AK68" s="144">
        <f>dragon!Q68</f>
        <v>0</v>
      </c>
      <c r="AL68" s="144">
        <f>dragon!S68</f>
        <v>0</v>
      </c>
      <c r="AM68" s="144">
        <f>dragon!R68</f>
        <v>0</v>
      </c>
      <c r="AN68" s="145"/>
      <c r="AO68" s="145"/>
      <c r="AP68" s="145"/>
      <c r="AQ68" s="145"/>
      <c r="AR68" s="145"/>
      <c r="AS68" s="145"/>
      <c r="AT68" s="145"/>
      <c r="AU68" s="145"/>
      <c r="AV68" s="145"/>
      <c r="AW68" s="145"/>
      <c r="AX68" s="145"/>
    </row>
    <row r="69" spans="1:50" ht="12.75" thickBot="1">
      <c r="A69" s="146">
        <f>mod.RK1!F69</f>
        <v>5.583333333333333</v>
      </c>
      <c r="B69" s="147">
        <f>mod.RK1!I69</f>
        <v>2.5398657114576597E+19</v>
      </c>
      <c r="C69" s="148">
        <f>mod.RK1!K69</f>
        <v>1.889559625831205E+21</v>
      </c>
      <c r="D69" s="147">
        <f>mod.RK1!M69</f>
        <v>8.6776550009759164E+20</v>
      </c>
      <c r="E69" s="148">
        <f>mod.RK1!O69</f>
        <v>1.184716698492205E+20</v>
      </c>
      <c r="F69" s="147">
        <f>mod.RK1!Q69</f>
        <v>6.3482315667727933E+19</v>
      </c>
      <c r="G69" s="148">
        <f>mod.RK1!S69</f>
        <v>2.8860359310502466E+19</v>
      </c>
      <c r="H69" s="147">
        <f>mod.RK1!W69</f>
        <v>2.1032488816009064E+19</v>
      </c>
      <c r="I69" s="148">
        <f>mod.RK1!Y69</f>
        <v>1.3873068564427282E+22</v>
      </c>
      <c r="J69" s="149">
        <f>mod.O5!U69</f>
        <v>5.583333333333333</v>
      </c>
      <c r="K69" s="150">
        <f>mod.O5!AC69</f>
        <v>2.5311454850627351E+19</v>
      </c>
      <c r="L69" s="150">
        <f>mod.O5!AD69</f>
        <v>1.8895175702796535E+21</v>
      </c>
      <c r="M69" s="150">
        <f>mod.O5!AE69</f>
        <v>8.66830686385175E+20</v>
      </c>
      <c r="N69" s="150">
        <f>mod.O5!AF69</f>
        <v>1.1861205972296478E+20</v>
      </c>
      <c r="O69" s="150">
        <f>mod.O5!AG69</f>
        <v>6.3453906290001322E+19</v>
      </c>
      <c r="P69" s="150">
        <f>mod.O5!AH69</f>
        <v>2.8891867773491024E+19</v>
      </c>
      <c r="Q69" s="150">
        <f>mod.O5!AI69</f>
        <v>2.1358970946591379E+19</v>
      </c>
      <c r="R69" s="150">
        <f>mod.O5!AJ69</f>
        <v>1.3876859194778952E+22</v>
      </c>
      <c r="T69" s="151">
        <f>mod.math.!Q69</f>
        <v>67</v>
      </c>
      <c r="U69" s="151">
        <f>mod.math.!R69</f>
        <v>5.583333333333333</v>
      </c>
      <c r="V69" s="151">
        <f>mod.math.!S69</f>
        <v>176076000</v>
      </c>
      <c r="W69" s="151">
        <f>mod.math.!T69</f>
        <v>1.1821624673316327E+19</v>
      </c>
      <c r="X69" s="151">
        <f>mod.math.!U69</f>
        <v>1.8879280190580997E+21</v>
      </c>
      <c r="Y69" s="151">
        <f>mod.math.!V69</f>
        <v>8.666721546650836E+20</v>
      </c>
      <c r="Z69" s="151">
        <f>mod.math.!W69</f>
        <v>1.1860361087664765E+20</v>
      </c>
      <c r="AA69" s="151">
        <f>mod.math.!X69</f>
        <v>6.3453346286439268E+19</v>
      </c>
      <c r="AB69" s="151">
        <f>mod.math.!Y69</f>
        <v>2.889136381648461E+19</v>
      </c>
      <c r="AC69" s="151">
        <f>mod.math.!Z69</f>
        <v>2.118803327690709E+19</v>
      </c>
      <c r="AD69" s="151">
        <f>mod.math.!AA69</f>
        <v>1.3876858644535404E+22</v>
      </c>
      <c r="AF69" s="144">
        <f>dragon!L69</f>
        <v>0</v>
      </c>
      <c r="AG69" s="144">
        <f>dragon!M69</f>
        <v>0</v>
      </c>
      <c r="AH69" s="144">
        <f>dragon!N69</f>
        <v>0</v>
      </c>
      <c r="AI69" s="144">
        <f>dragon!O69</f>
        <v>0</v>
      </c>
      <c r="AJ69" s="144">
        <f>dragon!P69</f>
        <v>0</v>
      </c>
      <c r="AK69" s="144">
        <f>dragon!Q69</f>
        <v>0</v>
      </c>
      <c r="AL69" s="144">
        <f>dragon!S69</f>
        <v>0</v>
      </c>
      <c r="AM69" s="144">
        <f>dragon!R69</f>
        <v>0</v>
      </c>
      <c r="AN69" s="145"/>
      <c r="AO69" s="145"/>
      <c r="AP69" s="145"/>
      <c r="AQ69" s="145"/>
      <c r="AR69" s="145"/>
      <c r="AS69" s="145"/>
      <c r="AT69" s="145"/>
      <c r="AU69" s="145"/>
      <c r="AV69" s="145"/>
      <c r="AW69" s="145"/>
      <c r="AX69" s="145"/>
    </row>
    <row r="70" spans="1:50" ht="12.75" thickBot="1">
      <c r="A70" s="146">
        <f>mod.RK1!F70</f>
        <v>5.666666666666667</v>
      </c>
      <c r="B70" s="147">
        <f>mod.RK1!I70</f>
        <v>2.5390105851551404E+19</v>
      </c>
      <c r="C70" s="148">
        <f>mod.RK1!K70</f>
        <v>1.884891279366022E+21</v>
      </c>
      <c r="D70" s="147">
        <f>mod.RK1!M70</f>
        <v>8.6880582959476192E+20</v>
      </c>
      <c r="E70" s="148">
        <f>mod.RK1!O70</f>
        <v>1.1848555721218985E+20</v>
      </c>
      <c r="F70" s="147">
        <f>mod.RK1!Q70</f>
        <v>6.359508902673947E+19</v>
      </c>
      <c r="G70" s="148">
        <f>mod.RK1!S70</f>
        <v>2.8811126586028016E+19</v>
      </c>
      <c r="H70" s="147">
        <f>mod.RK1!W70</f>
        <v>2.0586702244246667E+19</v>
      </c>
      <c r="I70" s="148">
        <f>mod.RK1!Y70</f>
        <v>1.3833488515043124E+22</v>
      </c>
      <c r="J70" s="149">
        <f>mod.O5!U70</f>
        <v>5.666666666666667</v>
      </c>
      <c r="K70" s="150">
        <f>mod.O5!AC70</f>
        <v>2.5304960191542432E+19</v>
      </c>
      <c r="L70" s="150">
        <f>mod.O5!AD70</f>
        <v>1.8848582451833162E+21</v>
      </c>
      <c r="M70" s="150">
        <f>mod.O5!AE70</f>
        <v>8.6786438378855858E+20</v>
      </c>
      <c r="N70" s="150">
        <f>mod.O5!AF70</f>
        <v>1.1861986074624945E+20</v>
      </c>
      <c r="O70" s="150">
        <f>mod.O5!AG70</f>
        <v>6.3567090798516355E+19</v>
      </c>
      <c r="P70" s="150">
        <f>mod.O5!AH70</f>
        <v>2.8843087433025741E+19</v>
      </c>
      <c r="Q70" s="150">
        <f>mod.O5!AI70</f>
        <v>2.0911000809472659E+19</v>
      </c>
      <c r="R70" s="150">
        <f>mod.O5!AJ70</f>
        <v>1.3837324753650045E+22</v>
      </c>
      <c r="T70" s="151">
        <f>mod.math.!Q70</f>
        <v>68</v>
      </c>
      <c r="U70" s="151">
        <f>mod.math.!R70</f>
        <v>5.666666666666667</v>
      </c>
      <c r="V70" s="151">
        <f>mod.math.!S70</f>
        <v>178704000</v>
      </c>
      <c r="W70" s="151">
        <f>mod.math.!T70</f>
        <v>1.1724452211896988E+19</v>
      </c>
      <c r="X70" s="151">
        <f>mod.math.!U70</f>
        <v>1.8832399390057733E+21</v>
      </c>
      <c r="Y70" s="151">
        <f>mod.math.!V70</f>
        <v>8.6770041903847453E+20</v>
      </c>
      <c r="Z70" s="151">
        <f>mod.math.!W70</f>
        <v>1.1861100651173439E+20</v>
      </c>
      <c r="AA70" s="151">
        <f>mod.math.!X70</f>
        <v>6.3566497989957255E+19</v>
      </c>
      <c r="AB70" s="151">
        <f>mod.math.!Y70</f>
        <v>2.8842557536915423E+19</v>
      </c>
      <c r="AC70" s="151">
        <f>mod.math.!Z70</f>
        <v>2.073921133828318E+19</v>
      </c>
      <c r="AD70" s="151">
        <f>mod.math.!AA70</f>
        <v>1.3837324195206875E+22</v>
      </c>
      <c r="AF70" s="144">
        <f>dragon!L70</f>
        <v>0</v>
      </c>
      <c r="AG70" s="144">
        <f>dragon!M70</f>
        <v>0</v>
      </c>
      <c r="AH70" s="144">
        <f>dragon!N70</f>
        <v>0</v>
      </c>
      <c r="AI70" s="144">
        <f>dragon!O70</f>
        <v>0</v>
      </c>
      <c r="AJ70" s="144">
        <f>dragon!P70</f>
        <v>0</v>
      </c>
      <c r="AK70" s="144">
        <f>dragon!Q70</f>
        <v>0</v>
      </c>
      <c r="AL70" s="144">
        <f>dragon!S70</f>
        <v>0</v>
      </c>
      <c r="AM70" s="144">
        <f>dragon!R70</f>
        <v>0</v>
      </c>
      <c r="AN70" s="145"/>
      <c r="AO70" s="145"/>
      <c r="AP70" s="145"/>
      <c r="AQ70" s="145"/>
      <c r="AR70" s="145"/>
      <c r="AS70" s="145"/>
      <c r="AT70" s="145"/>
      <c r="AU70" s="145"/>
      <c r="AV70" s="145"/>
      <c r="AW70" s="145"/>
      <c r="AX70" s="145"/>
    </row>
    <row r="71" spans="1:50" ht="12.75" thickBot="1">
      <c r="A71" s="146">
        <f>mod.RK1!F71</f>
        <v>5.75</v>
      </c>
      <c r="B71" s="147">
        <f>mod.RK1!I71</f>
        <v>2.5379061604176458E+19</v>
      </c>
      <c r="C71" s="148">
        <f>mod.RK1!K71</f>
        <v>1.8802219681856524E+21</v>
      </c>
      <c r="D71" s="147">
        <f>mod.RK1!M71</f>
        <v>8.6981840694502084E+20</v>
      </c>
      <c r="E71" s="148">
        <f>mod.RK1!O71</f>
        <v>1.1850334180561296E+20</v>
      </c>
      <c r="F71" s="147">
        <f>mod.RK1!Q71</f>
        <v>6.3707049358331421E+19</v>
      </c>
      <c r="G71" s="148">
        <f>mod.RK1!S71</f>
        <v>2.8762848767327965E+19</v>
      </c>
      <c r="H71" s="147">
        <f>mod.RK1!W71</f>
        <v>2.0150448947283411E+19</v>
      </c>
      <c r="I71" s="148">
        <f>mod.RK1!Y71</f>
        <v>1.379402138811228E+22</v>
      </c>
      <c r="J71" s="149">
        <f>mod.O5!U71</f>
        <v>5.75</v>
      </c>
      <c r="K71" s="150">
        <f>mod.O5!AC71</f>
        <v>2.5295981343081812E+19</v>
      </c>
      <c r="L71" s="150">
        <f>mod.O5!AD71</f>
        <v>1.8801980318193138E+21</v>
      </c>
      <c r="M71" s="150">
        <f>mod.O5!AE71</f>
        <v>8.6887052624037911E+20</v>
      </c>
      <c r="N71" s="150">
        <f>mod.O5!AF71</f>
        <v>1.1863159675396347E+20</v>
      </c>
      <c r="O71" s="150">
        <f>mod.O5!AG71</f>
        <v>6.3679447720961647E+19</v>
      </c>
      <c r="P71" s="150">
        <f>mod.O5!AH71</f>
        <v>2.8795229215212483E+19</v>
      </c>
      <c r="Q71" s="150">
        <f>mod.O5!AI71</f>
        <v>2.0472508484508369E+19</v>
      </c>
      <c r="R71" s="150">
        <f>mod.O5!AJ71</f>
        <v>1.3797902944105983E+22</v>
      </c>
      <c r="T71" s="151">
        <f>mod.math.!Q71</f>
        <v>69</v>
      </c>
      <c r="U71" s="151">
        <f>mod.math.!R71</f>
        <v>5.75</v>
      </c>
      <c r="V71" s="151">
        <f>mod.math.!S71</f>
        <v>181332000</v>
      </c>
      <c r="W71" s="151">
        <f>mod.math.!T71</f>
        <v>1.1626810244099473E+19</v>
      </c>
      <c r="X71" s="151">
        <f>mod.math.!U71</f>
        <v>1.8785511400910102E+21</v>
      </c>
      <c r="Y71" s="151">
        <f>mod.math.!V71</f>
        <v>8.6870105194534771E+20</v>
      </c>
      <c r="Z71" s="151">
        <f>mod.math.!W71</f>
        <v>1.1862232843678505E+20</v>
      </c>
      <c r="AA71" s="151">
        <f>mod.math.!X71</f>
        <v>6.3678820353619722E+19</v>
      </c>
      <c r="AB71" s="151">
        <f>mod.math.!Y71</f>
        <v>2.8794671789774832E+19</v>
      </c>
      <c r="AC71" s="151">
        <f>mod.math.!Z71</f>
        <v>2.0299896706446901E+19</v>
      </c>
      <c r="AD71" s="151">
        <f>mod.math.!AA71</f>
        <v>1.3797902377470535E+22</v>
      </c>
      <c r="AF71" s="144">
        <f>dragon!L71</f>
        <v>0</v>
      </c>
      <c r="AG71" s="144">
        <f>dragon!M71</f>
        <v>0</v>
      </c>
      <c r="AH71" s="144">
        <f>dragon!N71</f>
        <v>0</v>
      </c>
      <c r="AI71" s="144">
        <f>dragon!O71</f>
        <v>0</v>
      </c>
      <c r="AJ71" s="144">
        <f>dragon!P71</f>
        <v>0</v>
      </c>
      <c r="AK71" s="144">
        <f>dragon!Q71</f>
        <v>0</v>
      </c>
      <c r="AL71" s="144">
        <f>dragon!S71</f>
        <v>0</v>
      </c>
      <c r="AM71" s="144">
        <f>dragon!R71</f>
        <v>0</v>
      </c>
      <c r="AN71" s="145"/>
      <c r="AO71" s="145"/>
      <c r="AP71" s="145"/>
      <c r="AQ71" s="145"/>
      <c r="AR71" s="145"/>
      <c r="AS71" s="145"/>
      <c r="AT71" s="145"/>
      <c r="AU71" s="145"/>
      <c r="AV71" s="145"/>
      <c r="AW71" s="145"/>
      <c r="AX71" s="145"/>
    </row>
    <row r="72" spans="1:50" ht="12.75" thickBot="1">
      <c r="A72" s="146">
        <f>mod.RK1!F72</f>
        <v>5.833333333333333</v>
      </c>
      <c r="B72" s="147">
        <f>mod.RK1!I72</f>
        <v>2.5365621125816345E+19</v>
      </c>
      <c r="C72" s="148">
        <f>mod.RK1!K72</f>
        <v>1.8755519716908034E+21</v>
      </c>
      <c r="D72" s="147">
        <f>mod.RK1!M72</f>
        <v>8.7080344758631268E+20</v>
      </c>
      <c r="E72" s="148">
        <f>mod.RK1!O72</f>
        <v>1.1852479042691514E+20</v>
      </c>
      <c r="F72" s="147">
        <f>mod.RK1!Q72</f>
        <v>6.3818220113148076E+19</v>
      </c>
      <c r="G72" s="148">
        <f>mod.RK1!S72</f>
        <v>2.8715524134085796E+19</v>
      </c>
      <c r="H72" s="147">
        <f>mod.RK1!W72</f>
        <v>1.9723524811788386E+19</v>
      </c>
      <c r="I72" s="148">
        <f>mod.RK1!Y72</f>
        <v>1.3754666861465279E+22</v>
      </c>
      <c r="J72" s="149">
        <f>mod.O5!U72</f>
        <v>5.833333333333333</v>
      </c>
      <c r="K72" s="150">
        <f>mod.O5!AC72</f>
        <v>2.5284613102367257E+19</v>
      </c>
      <c r="L72" s="150">
        <f>mod.O5!AD72</f>
        <v>1.8755372046787137E+21</v>
      </c>
      <c r="M72" s="150">
        <f>mod.O5!AE72</f>
        <v>8.6984932759260208E+20</v>
      </c>
      <c r="N72" s="150">
        <f>mod.O5!AF72</f>
        <v>1.186470372151913E+20</v>
      </c>
      <c r="O72" s="150">
        <f>mod.O5!AG72</f>
        <v>6.3791000288981393E+19</v>
      </c>
      <c r="P72" s="150">
        <f>mod.O5!AH72</f>
        <v>2.8748291946613641E+19</v>
      </c>
      <c r="Q72" s="150">
        <f>mod.O5!AI72</f>
        <v>2.0043292961178141E+19</v>
      </c>
      <c r="R72" s="150">
        <f>mod.O5!AJ72</f>
        <v>1.3758593445264324E+22</v>
      </c>
      <c r="T72" s="151">
        <f>mod.math.!Q72</f>
        <v>70</v>
      </c>
      <c r="U72" s="151">
        <f>mod.math.!R72</f>
        <v>5.833333333333333</v>
      </c>
      <c r="V72" s="151">
        <f>mod.math.!S72</f>
        <v>183960000</v>
      </c>
      <c r="W72" s="151">
        <f>mod.math.!T72</f>
        <v>1.1528750415485407E+19</v>
      </c>
      <c r="X72" s="151">
        <f>mod.math.!U72</f>
        <v>1.8738619021525191E+21</v>
      </c>
      <c r="Y72" s="151">
        <f>mod.math.!V72</f>
        <v>8.6967426863340139E+20</v>
      </c>
      <c r="Z72" s="151">
        <f>mod.math.!W72</f>
        <v>1.186373470138262E+20</v>
      </c>
      <c r="AA72" s="151">
        <f>mod.math.!X72</f>
        <v>6.3790336433669243E+19</v>
      </c>
      <c r="AB72" s="151">
        <f>mod.math.!Y72</f>
        <v>2.874770514558532E+19</v>
      </c>
      <c r="AC72" s="151">
        <f>mod.math.!Z72</f>
        <v>1.9869887989989822E+19</v>
      </c>
      <c r="AD72" s="151">
        <f>mod.math.!AA72</f>
        <v>1.3758592870444826E+22</v>
      </c>
      <c r="AF72" s="144">
        <f>dragon!L72</f>
        <v>0</v>
      </c>
      <c r="AG72" s="144">
        <f>dragon!M72</f>
        <v>0</v>
      </c>
      <c r="AH72" s="144">
        <f>dragon!N72</f>
        <v>0</v>
      </c>
      <c r="AI72" s="144">
        <f>dragon!O72</f>
        <v>0</v>
      </c>
      <c r="AJ72" s="144">
        <f>dragon!P72</f>
        <v>0</v>
      </c>
      <c r="AK72" s="144">
        <f>dragon!Q72</f>
        <v>0</v>
      </c>
      <c r="AL72" s="144">
        <f>dragon!S72</f>
        <v>0</v>
      </c>
      <c r="AM72" s="144">
        <f>dragon!R72</f>
        <v>0</v>
      </c>
      <c r="AN72" s="145"/>
      <c r="AO72" s="145"/>
      <c r="AP72" s="145"/>
      <c r="AQ72" s="145"/>
      <c r="AR72" s="145"/>
      <c r="AS72" s="145"/>
      <c r="AT72" s="145"/>
      <c r="AU72" s="145"/>
      <c r="AV72" s="145"/>
      <c r="AW72" s="145"/>
      <c r="AX72" s="145"/>
    </row>
    <row r="73" spans="1:50" ht="12.75" thickBot="1">
      <c r="A73" s="146">
        <f>mod.RK1!F73</f>
        <v>5.916666666666667</v>
      </c>
      <c r="B73" s="147">
        <f>mod.RK1!I73</f>
        <v>2.5349878581103456E+19</v>
      </c>
      <c r="C73" s="148">
        <f>mod.RK1!K73</f>
        <v>1.8708815633125679E+21</v>
      </c>
      <c r="D73" s="147">
        <f>mod.RK1!M73</f>
        <v>8.7176116642139551E+20</v>
      </c>
      <c r="E73" s="148">
        <f>mod.RK1!O73</f>
        <v>1.1854967782976455E+20</v>
      </c>
      <c r="F73" s="147">
        <f>mod.RK1!Q73</f>
        <v>6.3928623625791873E+19</v>
      </c>
      <c r="G73" s="148">
        <f>mod.RK1!S73</f>
        <v>2.8669150057059422E+19</v>
      </c>
      <c r="H73" s="147">
        <f>mod.RK1!W73</f>
        <v>1.9305730095243694E+19</v>
      </c>
      <c r="I73" s="148">
        <f>mod.RK1!Y73</f>
        <v>1.3715424613851812E+22</v>
      </c>
      <c r="J73" s="149">
        <f>mod.O5!U73</f>
        <v>5.916666666666667</v>
      </c>
      <c r="K73" s="150">
        <f>mod.O5!AC73</f>
        <v>2.5270947788931817E+19</v>
      </c>
      <c r="L73" s="150">
        <f>mod.O5!AD73</f>
        <v>1.8708760325232929E+21</v>
      </c>
      <c r="M73" s="150">
        <f>mod.O5!AE73</f>
        <v>8.7080100111428026E+20</v>
      </c>
      <c r="N73" s="150">
        <f>mod.O5!AF73</f>
        <v>1.1866595897772043E+20</v>
      </c>
      <c r="O73" s="150">
        <f>mod.O5!AG73</f>
        <v>6.3901770708774896E+19</v>
      </c>
      <c r="P73" s="150">
        <f>mod.O5!AH73</f>
        <v>2.8702273667762192E+19</v>
      </c>
      <c r="Q73" s="150">
        <f>mod.O5!AI73</f>
        <v>1.9623157392387215E+19</v>
      </c>
      <c r="R73" s="150">
        <f>mod.O5!AJ73</f>
        <v>1.3719395937156493E+22</v>
      </c>
      <c r="T73" s="151">
        <f>mod.math.!Q73</f>
        <v>71</v>
      </c>
      <c r="U73" s="151">
        <f>mod.math.!R73</f>
        <v>5.916666666666667</v>
      </c>
      <c r="V73" s="151">
        <f>mod.math.!S73</f>
        <v>186588000</v>
      </c>
      <c r="W73" s="151">
        <f>mod.math.!T73</f>
        <v>1.1430322589733753E+19</v>
      </c>
      <c r="X73" s="151">
        <f>mod.math.!U73</f>
        <v>1.8691724989076917E+21</v>
      </c>
      <c r="Y73" s="151">
        <f>mod.math.!V73</f>
        <v>8.7062028380777467E+20</v>
      </c>
      <c r="Z73" s="151">
        <f>mod.math.!W73</f>
        <v>1.186558403336504E+20</v>
      </c>
      <c r="AA73" s="151">
        <f>mod.math.!X73</f>
        <v>6.3901068206801617E+19</v>
      </c>
      <c r="AB73" s="151">
        <f>mod.math.!Y73</f>
        <v>2.8701655298738782E+19</v>
      </c>
      <c r="AC73" s="151">
        <f>mod.math.!Z73</f>
        <v>1.9448988063538082E+19</v>
      </c>
      <c r="AD73" s="151">
        <f>mod.math.!AA73</f>
        <v>1.3719395354162374E+22</v>
      </c>
      <c r="AF73" s="144">
        <f>dragon!L73</f>
        <v>0</v>
      </c>
      <c r="AG73" s="144">
        <f>dragon!M73</f>
        <v>0</v>
      </c>
      <c r="AH73" s="144">
        <f>dragon!N73</f>
        <v>0</v>
      </c>
      <c r="AI73" s="144">
        <f>dragon!O73</f>
        <v>0</v>
      </c>
      <c r="AJ73" s="144">
        <f>dragon!P73</f>
        <v>0</v>
      </c>
      <c r="AK73" s="144">
        <f>dragon!Q73</f>
        <v>0</v>
      </c>
      <c r="AL73" s="144">
        <f>dragon!S73</f>
        <v>0</v>
      </c>
      <c r="AM73" s="144">
        <f>dragon!R73</f>
        <v>0</v>
      </c>
      <c r="AN73" s="145"/>
      <c r="AO73" s="145"/>
      <c r="AP73" s="145"/>
      <c r="AQ73" s="145"/>
      <c r="AR73" s="145"/>
      <c r="AS73" s="145"/>
      <c r="AT73" s="145"/>
      <c r="AU73" s="145"/>
      <c r="AV73" s="145"/>
      <c r="AW73" s="145"/>
      <c r="AX73" s="145"/>
    </row>
    <row r="74" spans="1:50" ht="12.75" thickBot="1">
      <c r="A74" s="146">
        <f>mod.RK1!F74</f>
        <v>6</v>
      </c>
      <c r="B74" s="147">
        <f>mod.RK1!I74</f>
        <v>2.5331925599649374E+19</v>
      </c>
      <c r="C74" s="148">
        <f>mod.RK1!K74</f>
        <v>1.8662110106232726E+21</v>
      </c>
      <c r="D74" s="147">
        <f>mod.RK1!M74</f>
        <v>8.7269177779710657E+20</v>
      </c>
      <c r="E74" s="148">
        <f>mod.RK1!O74</f>
        <v>1.1857778648091145E+20</v>
      </c>
      <c r="F74" s="147">
        <f>mod.RK1!Q74</f>
        <v>6.4038281153025778E+19</v>
      </c>
      <c r="G74" s="148">
        <f>mod.RK1!S74</f>
        <v>2.8623723046758384E+19</v>
      </c>
      <c r="H74" s="147">
        <f>mod.RK1!W74</f>
        <v>1.8896869332349383E+19</v>
      </c>
      <c r="I74" s="148">
        <f>mod.RK1!Y74</f>
        <v>1.3676294324938103E+22</v>
      </c>
      <c r="J74" s="149">
        <f>mod.O5!U74</f>
        <v>6</v>
      </c>
      <c r="K74" s="150">
        <f>mod.O5!AC74</f>
        <v>2.5255075303997342E+19</v>
      </c>
      <c r="L74" s="150">
        <f>mod.O5!AD74</f>
        <v>1.8662147785127588E+21</v>
      </c>
      <c r="M74" s="150">
        <f>mod.O5!AE74</f>
        <v>8.7172575946556414E+20</v>
      </c>
      <c r="N74" s="150">
        <f>mod.O5!AF74</f>
        <v>1.1868814595888251E+20</v>
      </c>
      <c r="O74" s="150">
        <f>mod.O5!AG74</f>
        <v>6.4011780209677976E+19</v>
      </c>
      <c r="P74" s="150">
        <f>mod.O5!AH74</f>
        <v>2.8657171699364463E+19</v>
      </c>
      <c r="Q74" s="150">
        <f>mod.O5!AI74</f>
        <v>1.9211908984028762E+19</v>
      </c>
      <c r="R74" s="150">
        <f>mod.O5!AJ74</f>
        <v>1.3680310100725101E+22</v>
      </c>
      <c r="T74" s="151">
        <f>mod.math.!Q74</f>
        <v>72</v>
      </c>
      <c r="U74" s="151">
        <f>mod.math.!R74</f>
        <v>6</v>
      </c>
      <c r="V74" s="151">
        <f>mod.math.!S74</f>
        <v>189216000</v>
      </c>
      <c r="W74" s="151">
        <f>mod.math.!T74</f>
        <v>1.1331574897733448E+19</v>
      </c>
      <c r="X74" s="151">
        <f>mod.math.!U74</f>
        <v>1.8644831980690926E+21</v>
      </c>
      <c r="Y74" s="151">
        <f>mod.math.!V74</f>
        <v>8.7153931161006152E+20</v>
      </c>
      <c r="Z74" s="151">
        <f>mod.math.!W74</f>
        <v>1.1867759398301221E+20</v>
      </c>
      <c r="AA74" s="151">
        <f>mod.math.!X74</f>
        <v>6.401103660670727E+19</v>
      </c>
      <c r="AB74" s="151">
        <f>mod.math.!Y74</f>
        <v>2.8656519113760899E+19</v>
      </c>
      <c r="AC74" s="151">
        <f>mod.math.!Z74</f>
        <v>1.9037003977385812E+19</v>
      </c>
      <c r="AD74" s="151">
        <f>mod.math.!AA74</f>
        <v>1.3680309509567365E+22</v>
      </c>
      <c r="AF74" s="144">
        <f>dragon!L74</f>
        <v>0</v>
      </c>
      <c r="AG74" s="144">
        <f>dragon!M74</f>
        <v>0</v>
      </c>
      <c r="AH74" s="144">
        <f>dragon!N74</f>
        <v>0</v>
      </c>
      <c r="AI74" s="144">
        <f>dragon!O74</f>
        <v>0</v>
      </c>
      <c r="AJ74" s="144">
        <f>dragon!P74</f>
        <v>0</v>
      </c>
      <c r="AK74" s="144">
        <f>dragon!Q74</f>
        <v>0</v>
      </c>
      <c r="AL74" s="144">
        <f>dragon!S74</f>
        <v>0</v>
      </c>
      <c r="AM74" s="144">
        <f>dragon!R74</f>
        <v>0</v>
      </c>
      <c r="AN74" s="145"/>
      <c r="AO74" s="145"/>
      <c r="AP74" s="145"/>
      <c r="AQ74" s="145"/>
      <c r="AR74" s="145"/>
      <c r="AS74" s="145"/>
      <c r="AT74" s="145"/>
      <c r="AU74" s="145"/>
      <c r="AV74" s="145"/>
      <c r="AW74" s="145"/>
      <c r="AX74" s="145"/>
    </row>
    <row r="75" spans="1:50" ht="12.75" thickBot="1">
      <c r="A75" s="146">
        <f>mod.RK1!F75</f>
        <v>6.083333333333333</v>
      </c>
      <c r="B75" s="147">
        <f>mod.RK1!I75</f>
        <v>2.5311851328953573E+19</v>
      </c>
      <c r="C75" s="148">
        <f>mod.RK1!K75</f>
        <v>1.8615405754453299E+21</v>
      </c>
      <c r="D75" s="147">
        <f>mod.RK1!M75</f>
        <v>8.7359549548425485E+20</v>
      </c>
      <c r="E75" s="148">
        <f>mod.RK1!O75</f>
        <v>1.1860890632430518E+20</v>
      </c>
      <c r="F75" s="147">
        <f>mod.RK1!Q75</f>
        <v>6.4147212910823973E+19</v>
      </c>
      <c r="G75" s="148">
        <f>mod.RK1!S75</f>
        <v>2.8579238800251798E+19</v>
      </c>
      <c r="H75" s="147">
        <f>mod.RK1!W75</f>
        <v>1.849675124343255E+19</v>
      </c>
      <c r="I75" s="148">
        <f>mod.RK1!Y75</f>
        <v>1.3637275675304298E+22</v>
      </c>
      <c r="J75" s="149">
        <f>mod.O5!U75</f>
        <v>6.083333333333333</v>
      </c>
      <c r="K75" s="150">
        <f>mod.O5!AC75</f>
        <v>2.5237081184178864E+19</v>
      </c>
      <c r="L75" s="150">
        <f>mod.O5!AD75</f>
        <v>1.8615536944946078E+21</v>
      </c>
      <c r="M75" s="150">
        <f>mod.O5!AE75</f>
        <v>8.726238165392809E+20</v>
      </c>
      <c r="N75" s="150">
        <f>mod.O5!AF75</f>
        <v>1.1871341216949654E+20</v>
      </c>
      <c r="O75" s="150">
        <f>mod.O5!AG75</f>
        <v>6.4121045422194622E+19</v>
      </c>
      <c r="P75" s="150">
        <f>mod.O5!AH75</f>
        <v>2.8612976527908012E+19</v>
      </c>
      <c r="Q75" s="150">
        <f>mod.O5!AI75</f>
        <v>1.8809364870653096E+19</v>
      </c>
      <c r="R75" s="150">
        <f>mod.O5!AJ75</f>
        <v>1.3641335617840795E+22</v>
      </c>
      <c r="T75" s="151">
        <f>mod.math.!Q75</f>
        <v>73</v>
      </c>
      <c r="U75" s="151">
        <f>mod.math.!R75</f>
        <v>6.083333333333333</v>
      </c>
      <c r="V75" s="151">
        <f>mod.math.!S75</f>
        <v>191844000</v>
      </c>
      <c r="W75" s="151">
        <f>mod.math.!T75</f>
        <v>1.1232553785448899E+19</v>
      </c>
      <c r="X75" s="151">
        <f>mod.math.!U75</f>
        <v>1.8597942614588405E+21</v>
      </c>
      <c r="Y75" s="151">
        <f>mod.math.!V75</f>
        <v>8.7243156559797761E+20</v>
      </c>
      <c r="Z75" s="151">
        <f>mod.math.!W75</f>
        <v>1.1870240081868459E+20</v>
      </c>
      <c r="AA75" s="151">
        <f>mod.math.!X75</f>
        <v>6.4120261559521116E+19</v>
      </c>
      <c r="AB75" s="151">
        <f>mod.math.!Y75</f>
        <v>2.8612292669822075E+19</v>
      </c>
      <c r="AC75" s="151">
        <f>mod.math.!Z75</f>
        <v>1.8633746869042786E+19</v>
      </c>
      <c r="AD75" s="151">
        <f>mod.math.!AA75</f>
        <v>1.3641335018512965E+22</v>
      </c>
      <c r="AF75" s="144">
        <f>dragon!L75</f>
        <v>0</v>
      </c>
      <c r="AG75" s="144">
        <f>dragon!M75</f>
        <v>0</v>
      </c>
      <c r="AH75" s="144">
        <f>dragon!N75</f>
        <v>0</v>
      </c>
      <c r="AI75" s="144">
        <f>dragon!O75</f>
        <v>0</v>
      </c>
      <c r="AJ75" s="144">
        <f>dragon!P75</f>
        <v>0</v>
      </c>
      <c r="AK75" s="144">
        <f>dragon!Q75</f>
        <v>0</v>
      </c>
      <c r="AL75" s="144">
        <f>dragon!S75</f>
        <v>0</v>
      </c>
      <c r="AM75" s="144">
        <f>dragon!R75</f>
        <v>0</v>
      </c>
      <c r="AN75" s="145"/>
      <c r="AO75" s="145"/>
      <c r="AP75" s="145"/>
      <c r="AQ75" s="145"/>
      <c r="AR75" s="145"/>
      <c r="AS75" s="145"/>
      <c r="AT75" s="145"/>
      <c r="AU75" s="145"/>
      <c r="AV75" s="145"/>
      <c r="AW75" s="145"/>
      <c r="AX75" s="145"/>
    </row>
    <row r="76" spans="1:50" ht="12.75" thickBot="1">
      <c r="A76" s="146">
        <f>mod.RK1!F76</f>
        <v>6.166666666666667</v>
      </c>
      <c r="B76" s="147">
        <f>mod.RK1!I76</f>
        <v>2.5289742486511772E+19</v>
      </c>
      <c r="C76" s="148">
        <f>mod.RK1!K76</f>
        <v>1.8568705139581261E+21</v>
      </c>
      <c r="D76" s="147">
        <f>mod.RK1!M76</f>
        <v>8.7447253265812803E+20</v>
      </c>
      <c r="E76" s="148">
        <f>mod.RK1!O76</f>
        <v>1.1864283455227083E+20</v>
      </c>
      <c r="F76" s="147">
        <f>mod.RK1!Q76</f>
        <v>6.4255438110304477E+19</v>
      </c>
      <c r="G76" s="148">
        <f>mod.RK1!S76</f>
        <v>2.8535692246170518E+19</v>
      </c>
      <c r="H76" s="147">
        <f>mod.RK1!W76</f>
        <v>1.8105188644817725E+19</v>
      </c>
      <c r="I76" s="148">
        <f>mod.RK1!Y76</f>
        <v>1.3598368346441853E+22</v>
      </c>
      <c r="J76" s="149">
        <f>mod.O5!U76</f>
        <v>6.166666666666667</v>
      </c>
      <c r="K76" s="150">
        <f>mod.O5!AC76</f>
        <v>2.5217051733436129E+19</v>
      </c>
      <c r="L76" s="150">
        <f>mod.O5!AD76</f>
        <v>1.8568930360184115E+21</v>
      </c>
      <c r="M76" s="150">
        <f>mod.O5!AE76</f>
        <v>8.7349538266765958E+20</v>
      </c>
      <c r="N76" s="150">
        <f>mod.O5!AF76</f>
        <v>1.1874154163880831E+20</v>
      </c>
      <c r="O76" s="150">
        <f>mod.O5!AG76</f>
        <v>6.42295878259224E+19</v>
      </c>
      <c r="P76" s="150">
        <f>mod.O5!AH76</f>
        <v>2.8569687724351353E+19</v>
      </c>
      <c r="Q76" s="150">
        <f>mod.O5!AI76</f>
        <v>1.8415336722063604E+19</v>
      </c>
      <c r="R76" s="150">
        <f>mod.O5!AJ76</f>
        <v>1.3602472171250125E+22</v>
      </c>
      <c r="T76" s="151">
        <f>mod.math.!Q76</f>
        <v>74</v>
      </c>
      <c r="U76" s="151">
        <f>mod.math.!R76</f>
        <v>6.166666666666667</v>
      </c>
      <c r="V76" s="151">
        <f>mod.math.!S76</f>
        <v>194472000</v>
      </c>
      <c r="W76" s="151">
        <f>mod.math.!T76</f>
        <v>1.1133304060587461E+19</v>
      </c>
      <c r="X76" s="151">
        <f>mod.math.!U76</f>
        <v>1.8551059451209056E+21</v>
      </c>
      <c r="Y76" s="151">
        <f>mod.math.!V76</f>
        <v>8.7329725872565112E+20</v>
      </c>
      <c r="Z76" s="151">
        <f>mod.math.!W76</f>
        <v>1.1873006074817259E+20</v>
      </c>
      <c r="AA76" s="151">
        <f>mod.math.!X76</f>
        <v>6.4228762018219983E+19</v>
      </c>
      <c r="AB76" s="151">
        <f>mod.math.!Y76</f>
        <v>2.8568971303553679E+19</v>
      </c>
      <c r="AC76" s="151">
        <f>mod.math.!Z76</f>
        <v>1.8239031876655733E+19</v>
      </c>
      <c r="AD76" s="151">
        <f>mod.math.!AA76</f>
        <v>1.3602471563758727E+22</v>
      </c>
      <c r="AF76" s="144">
        <f>dragon!L76</f>
        <v>0</v>
      </c>
      <c r="AG76" s="144">
        <f>dragon!M76</f>
        <v>0</v>
      </c>
      <c r="AH76" s="144">
        <f>dragon!N76</f>
        <v>0</v>
      </c>
      <c r="AI76" s="144">
        <f>dragon!O76</f>
        <v>0</v>
      </c>
      <c r="AJ76" s="144">
        <f>dragon!P76</f>
        <v>0</v>
      </c>
      <c r="AK76" s="144">
        <f>dragon!Q76</f>
        <v>0</v>
      </c>
      <c r="AL76" s="144">
        <f>dragon!S76</f>
        <v>0</v>
      </c>
      <c r="AM76" s="144">
        <f>dragon!R76</f>
        <v>0</v>
      </c>
      <c r="AN76" s="145"/>
      <c r="AO76" s="145"/>
      <c r="AP76" s="145"/>
      <c r="AQ76" s="145"/>
      <c r="AR76" s="145"/>
      <c r="AS76" s="145"/>
      <c r="AT76" s="145"/>
      <c r="AU76" s="145"/>
      <c r="AV76" s="145"/>
      <c r="AW76" s="145"/>
      <c r="AX76" s="145"/>
    </row>
    <row r="77" spans="1:50" ht="12.75" thickBot="1">
      <c r="A77" s="146">
        <f>mod.RK1!F77</f>
        <v>6.25</v>
      </c>
      <c r="B77" s="147">
        <f>mod.RK1!I77</f>
        <v>2.5265683411126804E+19</v>
      </c>
      <c r="C77" s="148">
        <f>mod.RK1!K77</f>
        <v>1.8522010768029857E+21</v>
      </c>
      <c r="D77" s="147">
        <f>mod.RK1!M77</f>
        <v>8.7532310187960094E+20</v>
      </c>
      <c r="E77" s="148">
        <f>mod.RK1!O77</f>
        <v>1.1867937538353457E+20</v>
      </c>
      <c r="F77" s="147">
        <f>mod.RK1!Q77</f>
        <v>6.4362974992576455E+19</v>
      </c>
      <c r="G77" s="148">
        <f>mod.RK1!S77</f>
        <v>2.8493077587964944E+19</v>
      </c>
      <c r="H77" s="147">
        <f>mod.RK1!W77</f>
        <v>1.7721998361116479E+19</v>
      </c>
      <c r="I77" s="148">
        <f>mod.RK1!Y77</f>
        <v>1.3559572020750937E+22</v>
      </c>
      <c r="J77" s="149">
        <f>mod.O5!U77</f>
        <v>6.25</v>
      </c>
      <c r="K77" s="150">
        <f>mod.O5!AC77</f>
        <v>2.5195069630603432E+19</v>
      </c>
      <c r="L77" s="150">
        <f>mod.O5!AD77</f>
        <v>1.8522330493107257E+21</v>
      </c>
      <c r="M77" s="150">
        <f>mod.O5!AE77</f>
        <v>8.7434066881102637E+20</v>
      </c>
      <c r="N77" s="150">
        <f>mod.O5!AF77</f>
        <v>1.1877234108723852E+20</v>
      </c>
      <c r="O77" s="150">
        <f>mod.O5!AG77</f>
        <v>6.4337425467452604E+19</v>
      </c>
      <c r="P77" s="150">
        <f>mod.O5!AH77</f>
        <v>2.8527299942410707E+19</v>
      </c>
      <c r="Q77" s="150">
        <f>mod.O5!AI77</f>
        <v>1.8029644146195816E+19</v>
      </c>
      <c r="R77" s="150">
        <f>mod.O5!AJ77</f>
        <v>1.3563719444616337E+22</v>
      </c>
      <c r="T77" s="151">
        <f>mod.math.!Q77</f>
        <v>75</v>
      </c>
      <c r="U77" s="151">
        <f>mod.math.!R77</f>
        <v>6.25</v>
      </c>
      <c r="V77" s="151">
        <f>mod.math.!S77</f>
        <v>197100000</v>
      </c>
      <c r="W77" s="151">
        <f>mod.math.!T77</f>
        <v>1.1033868938097353E+19</v>
      </c>
      <c r="X77" s="151">
        <f>mod.math.!U77</f>
        <v>1.8504184994313722E+21</v>
      </c>
      <c r="Y77" s="151">
        <f>mod.math.!V77</f>
        <v>8.7413660332453986E+20</v>
      </c>
      <c r="Z77" s="151">
        <f>mod.math.!W77</f>
        <v>1.1876038051688931E+20</v>
      </c>
      <c r="AA77" s="151">
        <f>mod.math.!X77</f>
        <v>6.4336555995992261E+19</v>
      </c>
      <c r="AB77" s="151">
        <f>mod.math.!Y77</f>
        <v>2.8526549650226364E+19</v>
      </c>
      <c r="AC77" s="151">
        <f>mod.math.!Z77</f>
        <v>1.785267805426364E+19</v>
      </c>
      <c r="AD77" s="151">
        <f>mod.math.!AA77</f>
        <v>1.356371882896799E+22</v>
      </c>
      <c r="AF77" s="144">
        <f>dragon!L77</f>
        <v>0</v>
      </c>
      <c r="AG77" s="144">
        <f>dragon!M77</f>
        <v>0</v>
      </c>
      <c r="AH77" s="144">
        <f>dragon!N77</f>
        <v>0</v>
      </c>
      <c r="AI77" s="144">
        <f>dragon!O77</f>
        <v>0</v>
      </c>
      <c r="AJ77" s="144">
        <f>dragon!P77</f>
        <v>0</v>
      </c>
      <c r="AK77" s="144">
        <f>dragon!Q77</f>
        <v>0</v>
      </c>
      <c r="AL77" s="144">
        <f>dragon!S77</f>
        <v>0</v>
      </c>
      <c r="AM77" s="144">
        <f>dragon!R77</f>
        <v>0</v>
      </c>
      <c r="AN77" s="145"/>
      <c r="AO77" s="145"/>
      <c r="AP77" s="145"/>
      <c r="AQ77" s="145"/>
      <c r="AR77" s="145"/>
      <c r="AS77" s="145"/>
      <c r="AT77" s="145"/>
      <c r="AU77" s="145"/>
      <c r="AV77" s="145"/>
      <c r="AW77" s="145"/>
      <c r="AX77" s="145"/>
    </row>
    <row r="78" spans="1:50" ht="12.75" thickBot="1">
      <c r="A78" s="146">
        <f>mod.RK1!F78</f>
        <v>6.333333333333333</v>
      </c>
      <c r="B78" s="147">
        <f>mod.RK1!I78</f>
        <v>2.5239756113425281E+19</v>
      </c>
      <c r="C78" s="148">
        <f>mod.RK1!K78</f>
        <v>1.8475325091862455E+21</v>
      </c>
      <c r="D78" s="147">
        <f>mod.RK1!M78</f>
        <v>8.7614741507683163E+20</v>
      </c>
      <c r="E78" s="148">
        <f>mod.RK1!O78</f>
        <v>1.187183398478926E+20</v>
      </c>
      <c r="F78" s="147">
        <f>mod.RK1!Q78</f>
        <v>6.4469840862533804E+19</v>
      </c>
      <c r="G78" s="148">
        <f>mod.RK1!S78</f>
        <v>2.8451388345477984E+19</v>
      </c>
      <c r="H78" s="147">
        <f>mod.RK1!W78</f>
        <v>1.7347001139395228E+19</v>
      </c>
      <c r="I78" s="148">
        <f>mod.RK1!Y78</f>
        <v>1.3520886381537839E+22</v>
      </c>
      <c r="J78" s="149">
        <f>mod.O5!U78</f>
        <v>6.333333333333333</v>
      </c>
      <c r="K78" s="150">
        <f>mod.O5!AC78</f>
        <v>2.5171215297860641E+19</v>
      </c>
      <c r="L78" s="150">
        <f>mod.O5!AD78</f>
        <v>1.8475739753011814E+21</v>
      </c>
      <c r="M78" s="150">
        <f>mod.O5!AE78</f>
        <v>8.7515988528138342E+20</v>
      </c>
      <c r="N78" s="150">
        <f>mod.O5!AF78</f>
        <v>1.188056238478662E+20</v>
      </c>
      <c r="O78" s="150">
        <f>mod.O5!AG78</f>
        <v>6.4444575487855272E+19</v>
      </c>
      <c r="P78" s="150">
        <f>mod.O5!AH78</f>
        <v>2.8485807177089118E+19</v>
      </c>
      <c r="Q78" s="150">
        <f>mod.O5!AI78</f>
        <v>1.7652110568845099E+19</v>
      </c>
      <c r="R78" s="150">
        <f>mod.O5!AJ78</f>
        <v>1.3525077122503896E+22</v>
      </c>
      <c r="T78" s="151">
        <f>mod.math.!Q78</f>
        <v>76</v>
      </c>
      <c r="U78" s="151">
        <f>mod.math.!R78</f>
        <v>6.333333333333333</v>
      </c>
      <c r="V78" s="151">
        <f>mod.math.!S78</f>
        <v>199728000</v>
      </c>
      <c r="W78" s="151">
        <f>mod.math.!T78</f>
        <v>1.0934290084523665E+19</v>
      </c>
      <c r="X78" s="151">
        <f>mod.math.!U78</f>
        <v>1.8457321692066905E+21</v>
      </c>
      <c r="Y78" s="151">
        <f>mod.math.!V78</f>
        <v>8.7494981108494919E+20</v>
      </c>
      <c r="Z78" s="151">
        <f>mod.math.!W78</f>
        <v>1.1879317350160332E+20</v>
      </c>
      <c r="AA78" s="151">
        <f>mod.math.!X78</f>
        <v>6.4443660598611837E+19</v>
      </c>
      <c r="AB78" s="151">
        <f>mod.math.!Y78</f>
        <v>2.8485021683345863E+19</v>
      </c>
      <c r="AC78" s="151">
        <f>mod.math.!Z78</f>
        <v>1.7474508288848167E+19</v>
      </c>
      <c r="AD78" s="151">
        <f>mod.math.!AA78</f>
        <v>1.352507649870534E+22</v>
      </c>
      <c r="AF78" s="144">
        <f>dragon!L78</f>
        <v>0</v>
      </c>
      <c r="AG78" s="144">
        <f>dragon!M78</f>
        <v>0</v>
      </c>
      <c r="AH78" s="144">
        <f>dragon!N78</f>
        <v>0</v>
      </c>
      <c r="AI78" s="144">
        <f>dragon!O78</f>
        <v>0</v>
      </c>
      <c r="AJ78" s="144">
        <f>dragon!P78</f>
        <v>0</v>
      </c>
      <c r="AK78" s="144">
        <f>dragon!Q78</f>
        <v>0</v>
      </c>
      <c r="AL78" s="144">
        <f>dragon!S78</f>
        <v>0</v>
      </c>
      <c r="AM78" s="144">
        <f>dragon!R78</f>
        <v>0</v>
      </c>
      <c r="AN78" s="145"/>
      <c r="AO78" s="145"/>
      <c r="AP78" s="145"/>
      <c r="AQ78" s="145"/>
      <c r="AR78" s="145"/>
      <c r="AS78" s="145"/>
      <c r="AT78" s="145"/>
      <c r="AU78" s="145"/>
      <c r="AV78" s="145"/>
      <c r="AW78" s="145"/>
      <c r="AX78" s="145"/>
    </row>
    <row r="79" spans="1:50" ht="12.75" thickBot="1">
      <c r="A79" s="146">
        <f>mod.RK1!F79</f>
        <v>6.416666666666667</v>
      </c>
      <c r="B79" s="147">
        <f>mod.RK1!I79</f>
        <v>2.5212040325583688E+19</v>
      </c>
      <c r="C79" s="148">
        <f>mod.RK1!K79</f>
        <v>1.8428650509804726E+21</v>
      </c>
      <c r="D79" s="147">
        <f>mod.RK1!M79</f>
        <v>8.7694568352753438E+20</v>
      </c>
      <c r="E79" s="148">
        <f>mod.RK1!O79</f>
        <v>1.1875954557732504E+20</v>
      </c>
      <c r="F79" s="147">
        <f>mod.RK1!Q79</f>
        <v>6.4576052121625969E+19</v>
      </c>
      <c r="G79" s="148">
        <f>mod.RK1!S79</f>
        <v>2.8410617394890641E+19</v>
      </c>
      <c r="H79" s="147">
        <f>mod.RK1!W79</f>
        <v>1.6980021565180957E+19</v>
      </c>
      <c r="I79" s="148">
        <f>mod.RK1!Y79</f>
        <v>1.3482311113012383E+22</v>
      </c>
      <c r="J79" s="149">
        <f>mod.O5!U79</f>
        <v>6.416666666666667</v>
      </c>
      <c r="K79" s="150">
        <f>mod.O5!AC79</f>
        <v>2.5145566950595908E+19</v>
      </c>
      <c r="L79" s="150">
        <f>mod.O5!AD79</f>
        <v>1.8429160497249182E+21</v>
      </c>
      <c r="M79" s="150">
        <f>mod.O5!AE79</f>
        <v>8.7595324172423804E+20</v>
      </c>
      <c r="N79" s="150">
        <f>mod.O5!AF79</f>
        <v>1.1884120965056289E+20</v>
      </c>
      <c r="O79" s="150">
        <f>mod.O5!AG79</f>
        <v>6.4551054156531876E+19</v>
      </c>
      <c r="P79" s="150">
        <f>mod.O5!AH79</f>
        <v>2.8445202806640751E+19</v>
      </c>
      <c r="Q79" s="150">
        <f>mod.O5!AI79</f>
        <v>1.7282563148254206E+19</v>
      </c>
      <c r="R79" s="150">
        <f>mod.O5!AJ79</f>
        <v>1.3486544890375904E+22</v>
      </c>
      <c r="T79" s="151">
        <f>mod.math.!Q79</f>
        <v>77</v>
      </c>
      <c r="U79" s="151">
        <f>mod.math.!R79</f>
        <v>6.416666666666667</v>
      </c>
      <c r="V79" s="151">
        <f>mod.math.!S79</f>
        <v>202356000</v>
      </c>
      <c r="W79" s="151">
        <f>mod.math.!T79</f>
        <v>1.0834607661249677E+19</v>
      </c>
      <c r="X79" s="151">
        <f>mod.math.!U79</f>
        <v>1.8410471938099614E+21</v>
      </c>
      <c r="Y79" s="151">
        <f>mod.math.!V79</f>
        <v>8.7573709303814475E+20</v>
      </c>
      <c r="Z79" s="151">
        <f>mod.math.!W79</f>
        <v>1.1882825950997286E+20</v>
      </c>
      <c r="AA79" s="151">
        <f>mod.math.!X79</f>
        <v>6.4550092055847502E+19</v>
      </c>
      <c r="AB79" s="151">
        <f>mod.math.!Y79</f>
        <v>2.8444380752718889E+19</v>
      </c>
      <c r="AC79" s="151">
        <f>mod.math.!Z79</f>
        <v>1.7104349219141188E+19</v>
      </c>
      <c r="AD79" s="151">
        <f>mod.math.!AA79</f>
        <v>1.3486544258434008E+22</v>
      </c>
      <c r="AF79" s="144">
        <f>dragon!L79</f>
        <v>0</v>
      </c>
      <c r="AG79" s="144">
        <f>dragon!M79</f>
        <v>0</v>
      </c>
      <c r="AH79" s="144">
        <f>dragon!N79</f>
        <v>0</v>
      </c>
      <c r="AI79" s="144">
        <f>dragon!O79</f>
        <v>0</v>
      </c>
      <c r="AJ79" s="144">
        <f>dragon!P79</f>
        <v>0</v>
      </c>
      <c r="AK79" s="144">
        <f>dragon!Q79</f>
        <v>0</v>
      </c>
      <c r="AL79" s="144">
        <f>dragon!S79</f>
        <v>0</v>
      </c>
      <c r="AM79" s="144">
        <f>dragon!R79</f>
        <v>0</v>
      </c>
      <c r="AN79" s="145"/>
      <c r="AO79" s="145"/>
      <c r="AP79" s="145"/>
      <c r="AQ79" s="145"/>
      <c r="AR79" s="145"/>
      <c r="AS79" s="145"/>
      <c r="AT79" s="145"/>
      <c r="AU79" s="145"/>
      <c r="AV79" s="145"/>
      <c r="AW79" s="145"/>
      <c r="AX79" s="145"/>
    </row>
    <row r="80" spans="1:50" ht="12.75" thickBot="1">
      <c r="A80" s="146">
        <f>mod.RK1!F80</f>
        <v>6.5</v>
      </c>
      <c r="B80" s="147">
        <f>mod.RK1!I80</f>
        <v>2.5182613550267953E+19</v>
      </c>
      <c r="C80" s="148">
        <f>mod.RK1!K80</f>
        <v>1.8381989368238608E+21</v>
      </c>
      <c r="D80" s="147">
        <f>mod.RK1!M80</f>
        <v>8.7771811784181521E+20</v>
      </c>
      <c r="E80" s="148">
        <f>mod.RK1!O80</f>
        <v>1.1880281660336189E+20</v>
      </c>
      <c r="F80" s="147">
        <f>mod.RK1!Q80</f>
        <v>6.4681624299635761E+19</v>
      </c>
      <c r="G80" s="148">
        <f>mod.RK1!S80</f>
        <v>2.8370757007096029E+19</v>
      </c>
      <c r="H80" s="147">
        <f>mod.RK1!W80</f>
        <v>1.662088798026556E+19</v>
      </c>
      <c r="I80" s="148">
        <f>mod.RK1!Y80</f>
        <v>1.3443845900285348E+22</v>
      </c>
      <c r="J80" s="149">
        <f>mod.O5!U80</f>
        <v>6.5</v>
      </c>
      <c r="K80" s="150">
        <f>mod.O5!AC80</f>
        <v>2.5118200647268413E+19</v>
      </c>
      <c r="L80" s="150">
        <f>mod.O5!AD80</f>
        <v>1.8382595032250277E+21</v>
      </c>
      <c r="M80" s="150">
        <f>mod.O5!AE80</f>
        <v>8.7672094710043155E+20</v>
      </c>
      <c r="N80" s="150">
        <f>mod.O5!AF80</f>
        <v>1.1887892440612676E+20</v>
      </c>
      <c r="O80" s="150">
        <f>mod.O5!AG80</f>
        <v>6.4656876905067708E+19</v>
      </c>
      <c r="P80" s="150">
        <f>mod.O5!AH80</f>
        <v>2.8405479634535158E+19</v>
      </c>
      <c r="Q80" s="150">
        <f>mod.O5!AI80</f>
        <v>1.6920832689700876E+19</v>
      </c>
      <c r="R80" s="150">
        <f>mod.O5!AJ80</f>
        <v>1.344812243459149E+22</v>
      </c>
      <c r="T80" s="151">
        <f>mod.math.!Q80</f>
        <v>78</v>
      </c>
      <c r="U80" s="151">
        <f>mod.math.!R80</f>
        <v>6.5</v>
      </c>
      <c r="V80" s="151">
        <f>mod.math.!S80</f>
        <v>204984000</v>
      </c>
      <c r="W80" s="151">
        <f>mod.math.!T80</f>
        <v>1.0734860366649954E+19</v>
      </c>
      <c r="X80" s="151">
        <f>mod.math.!U80</f>
        <v>1.8363638072552818E+21</v>
      </c>
      <c r="Y80" s="151">
        <f>mod.math.!V80</f>
        <v>8.7649865953904309E+20</v>
      </c>
      <c r="Z80" s="151">
        <f>mod.math.!W80</f>
        <v>1.1886546458598811E+20</v>
      </c>
      <c r="AA80" s="151">
        <f>mod.math.!X80</f>
        <v>6.4655865751927521E+19</v>
      </c>
      <c r="AB80" s="151">
        <f>mod.math.!Y80</f>
        <v>2.8404619621041807E+19</v>
      </c>
      <c r="AC80" s="151">
        <f>mod.math.!Z80</f>
        <v>1.6742031156152195E+19</v>
      </c>
      <c r="AD80" s="151">
        <f>mod.math.!AA80</f>
        <v>1.3448121794513326E+22</v>
      </c>
      <c r="AF80" s="144">
        <f>dragon!L80</f>
        <v>0</v>
      </c>
      <c r="AG80" s="144">
        <f>dragon!M80</f>
        <v>0</v>
      </c>
      <c r="AH80" s="144">
        <f>dragon!N80</f>
        <v>0</v>
      </c>
      <c r="AI80" s="144">
        <f>dragon!O80</f>
        <v>0</v>
      </c>
      <c r="AJ80" s="144">
        <f>dragon!P80</f>
        <v>0</v>
      </c>
      <c r="AK80" s="144">
        <f>dragon!Q80</f>
        <v>0</v>
      </c>
      <c r="AL80" s="144">
        <f>dragon!S80</f>
        <v>0</v>
      </c>
      <c r="AM80" s="144">
        <f>dragon!R80</f>
        <v>0</v>
      </c>
      <c r="AN80" s="145"/>
      <c r="AO80" s="145"/>
      <c r="AP80" s="145"/>
      <c r="AQ80" s="145"/>
      <c r="AR80" s="145"/>
      <c r="AS80" s="145"/>
      <c r="AT80" s="145"/>
      <c r="AU80" s="145"/>
      <c r="AV80" s="145"/>
      <c r="AW80" s="145"/>
      <c r="AX80" s="145"/>
    </row>
    <row r="81" spans="1:50" ht="12.75" thickBot="1">
      <c r="A81" s="146">
        <f>mod.RK1!F81</f>
        <v>6.583333333333333</v>
      </c>
      <c r="B81" s="147">
        <f>mod.RK1!I81</f>
        <v>2.5151551108790915E+19</v>
      </c>
      <c r="C81" s="148">
        <f>mod.RK1!K81</f>
        <v>1.8335343962178383E+21</v>
      </c>
      <c r="D81" s="147">
        <f>mod.RK1!M81</f>
        <v>8.7846492794555951E+20</v>
      </c>
      <c r="E81" s="148">
        <f>mod.RK1!O81</f>
        <v>1.1884798316051428E+20</v>
      </c>
      <c r="F81" s="147">
        <f>mod.RK1!Q81</f>
        <v>6.4786572085493244E+19</v>
      </c>
      <c r="G81" s="148">
        <f>mod.RK1!S81</f>
        <v>2.8331798884555629E+19</v>
      </c>
      <c r="H81" s="147">
        <f>mod.RK1!W81</f>
        <v>1.6269432402270241E+19</v>
      </c>
      <c r="I81" s="148">
        <f>mod.RK1!Y81</f>
        <v>1.3405490429365901E+22</v>
      </c>
      <c r="J81" s="149">
        <f>mod.O5!U81</f>
        <v>6.583333333333333</v>
      </c>
      <c r="K81" s="150">
        <f>mod.O5!AC81</f>
        <v>2.5089190339271029E+19</v>
      </c>
      <c r="L81" s="150">
        <f>mod.O5!AD81</f>
        <v>1.8336045614549875E+21</v>
      </c>
      <c r="M81" s="150">
        <f>mod.O5!AE81</f>
        <v>8.7746320966796863E+20</v>
      </c>
      <c r="N81" s="150">
        <f>mod.O5!AF81</f>
        <v>1.1891859999041726E+20</v>
      </c>
      <c r="O81" s="150">
        <f>mod.O5!AG81</f>
        <v>6.4762058361084551E+19</v>
      </c>
      <c r="P81" s="150">
        <f>mod.O5!AH81</f>
        <v>2.8366629931421598E+19</v>
      </c>
      <c r="Q81" s="150">
        <f>mod.O5!AI81</f>
        <v>1.6566753560085393E+19</v>
      </c>
      <c r="R81" s="150">
        <f>mod.O5!AJ81</f>
        <v>1.3409809442403248E+22</v>
      </c>
      <c r="T81" s="151">
        <f>mod.math.!Q81</f>
        <v>79</v>
      </c>
      <c r="U81" s="151">
        <f>mod.math.!R81</f>
        <v>6.583333333333333</v>
      </c>
      <c r="V81" s="151">
        <f>mod.math.!S81</f>
        <v>207612000</v>
      </c>
      <c r="W81" s="151">
        <f>mod.math.!T81</f>
        <v>1.0635085477181104E+19</v>
      </c>
      <c r="X81" s="151">
        <f>mod.math.!U81</f>
        <v>1.8316822383101902E+21</v>
      </c>
      <c r="Y81" s="151">
        <f>mod.math.!V81</f>
        <v>8.772347202494717E+20</v>
      </c>
      <c r="Z81" s="151">
        <f>mod.math.!W81</f>
        <v>1.1890462082114712E+20</v>
      </c>
      <c r="AA81" s="151">
        <f>mod.math.!X81</f>
        <v>6.4760996255098995E+19</v>
      </c>
      <c r="AB81" s="151">
        <f>mod.math.!Y81</f>
        <v>2.8365730499060859E+19</v>
      </c>
      <c r="AC81" s="151">
        <f>mod.math.!Z81</f>
        <v>1.6387388005379164E+19</v>
      </c>
      <c r="AD81" s="151">
        <f>mod.math.!AA81</f>
        <v>1.340980879419618E+22</v>
      </c>
      <c r="AF81" s="144">
        <f>dragon!L81</f>
        <v>0</v>
      </c>
      <c r="AG81" s="144">
        <f>dragon!M81</f>
        <v>0</v>
      </c>
      <c r="AH81" s="144">
        <f>dragon!N81</f>
        <v>0</v>
      </c>
      <c r="AI81" s="144">
        <f>dragon!O81</f>
        <v>0</v>
      </c>
      <c r="AJ81" s="144">
        <f>dragon!P81</f>
        <v>0</v>
      </c>
      <c r="AK81" s="144">
        <f>dragon!Q81</f>
        <v>0</v>
      </c>
      <c r="AL81" s="144">
        <f>dragon!S81</f>
        <v>0</v>
      </c>
      <c r="AM81" s="144">
        <f>dragon!R81</f>
        <v>0</v>
      </c>
    </row>
    <row r="82" spans="1:50" ht="12.75" thickBot="1">
      <c r="A82" s="146">
        <f>mod.RK1!F82</f>
        <v>6.666666666666667</v>
      </c>
      <c r="B82" s="147">
        <f>mod.RK1!I82</f>
        <v>2.5118926188492378E+19</v>
      </c>
      <c r="C82" s="148">
        <f>mod.RK1!K82</f>
        <v>1.8288716536229195E+21</v>
      </c>
      <c r="D82" s="147">
        <f>mod.RK1!M82</f>
        <v>8.7918632306435896E+20</v>
      </c>
      <c r="E82" s="148">
        <f>mod.RK1!O82</f>
        <v>1.1889488149558931E+20</v>
      </c>
      <c r="F82" s="147">
        <f>mod.RK1!Q82</f>
        <v>6.4890909357153829E+19</v>
      </c>
      <c r="G82" s="148">
        <f>mod.RK1!S82</f>
        <v>2.8293734196689998E+19</v>
      </c>
      <c r="H82" s="147">
        <f>mod.RK1!W82</f>
        <v>1.5925490445932313E+19</v>
      </c>
      <c r="I82" s="148">
        <f>mod.RK1!Y82</f>
        <v>1.3367244387159028E+22</v>
      </c>
      <c r="J82" s="149">
        <f>mod.O5!U82</f>
        <v>6.666666666666667</v>
      </c>
      <c r="K82" s="150">
        <f>mod.O5!AC82</f>
        <v>2.5058607920793072E+19</v>
      </c>
      <c r="L82" s="150">
        <f>mod.O5!AD82</f>
        <v>1.828951445181102E+21</v>
      </c>
      <c r="M82" s="150">
        <f>mod.O5!AE82</f>
        <v>8.7818023696384616E+20</v>
      </c>
      <c r="N82" s="150">
        <f>mod.O5!AF82</f>
        <v>1.1896007402848926E+20</v>
      </c>
      <c r="O82" s="150">
        <f>mod.O5!AG82</f>
        <v>6.4866612382093066E+19</v>
      </c>
      <c r="P82" s="150">
        <f>mod.O5!AH82</f>
        <v>2.8328645477093319E+19</v>
      </c>
      <c r="Q82" s="150">
        <f>mod.O5!AI82</f>
        <v>1.6220163602518149E+19</v>
      </c>
      <c r="R82" s="150">
        <f>mod.O5!AJ82</f>
        <v>1.337160560195464E+22</v>
      </c>
      <c r="T82" s="151">
        <f>mod.math.!Q82</f>
        <v>80</v>
      </c>
      <c r="U82" s="151">
        <f>mod.math.!R82</f>
        <v>6.666666666666667</v>
      </c>
      <c r="V82" s="151">
        <f>mod.math.!S82</f>
        <v>210240000</v>
      </c>
      <c r="W82" s="151">
        <f>mod.math.!T82</f>
        <v>1.0535318887435528E+19</v>
      </c>
      <c r="X82" s="151">
        <f>mod.math.!U82</f>
        <v>1.8270027105962411E+21</v>
      </c>
      <c r="Y82" s="151">
        <f>mod.math.!V82</f>
        <v>8.7794548412198014E+20</v>
      </c>
      <c r="Z82" s="151">
        <f>mod.math.!W82</f>
        <v>1.189455661711971E+20</v>
      </c>
      <c r="AA82" s="151">
        <f>mod.math.!X82</f>
        <v>6.4865497346293498E+19</v>
      </c>
      <c r="AB82" s="151">
        <f>mod.math.!Y82</f>
        <v>2.8327705079353524E+19</v>
      </c>
      <c r="AC82" s="151">
        <f>mod.math.!Z82</f>
        <v>1.6040257190667223E+19</v>
      </c>
      <c r="AD82" s="151">
        <f>mod.math.!AA82</f>
        <v>1.3371604945626445E+22</v>
      </c>
      <c r="AF82" s="144">
        <f>dragon!L82</f>
        <v>0</v>
      </c>
      <c r="AG82" s="144">
        <f>dragon!M82</f>
        <v>0</v>
      </c>
      <c r="AH82" s="144">
        <f>dragon!N82</f>
        <v>0</v>
      </c>
      <c r="AI82" s="144">
        <f>dragon!O82</f>
        <v>0</v>
      </c>
      <c r="AJ82" s="144">
        <f>dragon!P82</f>
        <v>0</v>
      </c>
      <c r="AK82" s="144">
        <f>dragon!Q82</f>
        <v>0</v>
      </c>
      <c r="AL82" s="144">
        <f>dragon!S82</f>
        <v>0</v>
      </c>
      <c r="AM82" s="144">
        <f>dragon!R82</f>
        <v>0</v>
      </c>
    </row>
    <row r="83" spans="1:50" ht="12.75" thickBot="1">
      <c r="A83" s="146">
        <f>mod.RK1!F83</f>
        <v>6.75</v>
      </c>
      <c r="B83" s="147">
        <f>mod.RK1!I83</f>
        <v>2.5084809889346843E+19</v>
      </c>
      <c r="C83" s="148">
        <f>mod.RK1!K83</f>
        <v>1.8242109285528327E+21</v>
      </c>
      <c r="D83" s="147">
        <f>mod.RK1!M83</f>
        <v>8.7988251170796667E+20</v>
      </c>
      <c r="E83" s="148">
        <f>mod.RK1!O83</f>
        <v>1.1894335368271279E+20</v>
      </c>
      <c r="F83" s="147">
        <f>mod.RK1!Q83</f>
        <v>6.4994649210567967E+19</v>
      </c>
      <c r="G83" s="148">
        <f>mod.RK1!S83</f>
        <v>2.8256553613854433E+19</v>
      </c>
      <c r="H83" s="147">
        <f>mod.RK1!W83</f>
        <v>1.5588901246077503E+19</v>
      </c>
      <c r="I83" s="148">
        <f>mod.RK1!Y83</f>
        <v>1.3329107461462984E+22</v>
      </c>
      <c r="J83" s="149">
        <f>mod.O5!U83</f>
        <v>6.75</v>
      </c>
      <c r="K83" s="150">
        <f>mod.O5!AC83</f>
        <v>2.5026523278682993E+19</v>
      </c>
      <c r="L83" s="150">
        <f>mod.O5!AD83</f>
        <v>1.8243003703849407E+21</v>
      </c>
      <c r="M83" s="150">
        <f>mod.O5!AE83</f>
        <v>8.7887223578588191E+20</v>
      </c>
      <c r="N83" s="150">
        <f>mod.O5!AF83</f>
        <v>1.1900318967872725E+20</v>
      </c>
      <c r="O83" s="150">
        <f>mod.O5!AG83</f>
        <v>6.4970552089345352E+19</v>
      </c>
      <c r="P83" s="150">
        <f>mod.O5!AH83</f>
        <v>2.8291517602451825E+19</v>
      </c>
      <c r="Q83" s="150">
        <f>mod.O5!AI83</f>
        <v>1.588090405090722E+19</v>
      </c>
      <c r="R83" s="150">
        <f>mod.O5!AJ83</f>
        <v>1.3333510602277404E+22</v>
      </c>
      <c r="T83" s="151">
        <f>mod.math.!Q83</f>
        <v>81</v>
      </c>
      <c r="U83" s="151">
        <f>mod.math.!R83</f>
        <v>6.75</v>
      </c>
      <c r="V83" s="151">
        <f>mod.math.!S83</f>
        <v>212868000</v>
      </c>
      <c r="W83" s="151">
        <f>mod.math.!T83</f>
        <v>1.0435595149182833E+19</v>
      </c>
      <c r="X83" s="151">
        <f>mod.math.!U83</f>
        <v>1.8223254426877467E+21</v>
      </c>
      <c r="Y83" s="151">
        <f>mod.math.!V83</f>
        <v>8.7863115938419809E+20</v>
      </c>
      <c r="Z83" s="151">
        <f>mod.math.!W83</f>
        <v>1.1898814427827687E+20</v>
      </c>
      <c r="AA83" s="151">
        <f>mod.math.!X83</f>
        <v>6.4969382046938694E+19</v>
      </c>
      <c r="AB83" s="151">
        <f>mod.math.!Y83</f>
        <v>2.8290534568776901E+19</v>
      </c>
      <c r="AC83" s="151">
        <f>mod.math.!Z83</f>
        <v>1.570047957968018E+19</v>
      </c>
      <c r="AD83" s="151">
        <f>mod.math.!AA83</f>
        <v>1.333350993783647E+22</v>
      </c>
      <c r="AF83" s="144">
        <f>dragon!L83</f>
        <v>0</v>
      </c>
      <c r="AG83" s="144">
        <f>dragon!M83</f>
        <v>0</v>
      </c>
      <c r="AH83" s="144">
        <f>dragon!N83</f>
        <v>0</v>
      </c>
      <c r="AI83" s="144">
        <f>dragon!O83</f>
        <v>0</v>
      </c>
      <c r="AJ83" s="144">
        <f>dragon!P83</f>
        <v>0</v>
      </c>
      <c r="AK83" s="144">
        <f>dragon!Q83</f>
        <v>0</v>
      </c>
      <c r="AL83" s="144">
        <f>dragon!S83</f>
        <v>0</v>
      </c>
      <c r="AM83" s="144">
        <f>dragon!R83</f>
        <v>0</v>
      </c>
    </row>
    <row r="84" spans="1:50" ht="12.75" thickBot="1">
      <c r="A84" s="146">
        <f>mod.RK1!F84</f>
        <v>6.833333333333333</v>
      </c>
      <c r="B84" s="147">
        <f>mod.RK1!I84</f>
        <v>2.504927126980422E+19</v>
      </c>
      <c r="C84" s="148">
        <f>mod.RK1!K84</f>
        <v>1.819552435666955E+21</v>
      </c>
      <c r="D84" s="147">
        <f>mod.RK1!M84</f>
        <v>8.8055370165526882E+20</v>
      </c>
      <c r="E84" s="148">
        <f>mod.RK1!O84</f>
        <v>1.1899324744388916E+20</v>
      </c>
      <c r="F84" s="147">
        <f>mod.RK1!Q84</f>
        <v>6.5097803987768943E+19</v>
      </c>
      <c r="G84" s="148">
        <f>mod.RK1!S84</f>
        <v>2.8220247339948384E+19</v>
      </c>
      <c r="H84" s="147">
        <f>mod.RK1!W84</f>
        <v>1.5259507382241681E+19</v>
      </c>
      <c r="I84" s="148">
        <f>mod.RK1!Y84</f>
        <v>1.329107934096674E+22</v>
      </c>
      <c r="J84" s="149">
        <f>mod.O5!U84</f>
        <v>6.833333333333333</v>
      </c>
      <c r="K84" s="150">
        <f>mod.O5!AC84</f>
        <v>2.4993004342311072E+19</v>
      </c>
      <c r="L84" s="150">
        <f>mod.O5!AD84</f>
        <v>1.8196515483657754E+21</v>
      </c>
      <c r="M84" s="150">
        <f>mod.O5!AE84</f>
        <v>8.7953941217454431E+20</v>
      </c>
      <c r="N84" s="150">
        <f>mod.O5!AF84</f>
        <v>1.190477954169798E+20</v>
      </c>
      <c r="O84" s="150">
        <f>mod.O5!AG84</f>
        <v>6.5073889901687562E+19</v>
      </c>
      <c r="P84" s="150">
        <f>mod.O5!AH84</f>
        <v>2.8255237231471215E+19</v>
      </c>
      <c r="Q84" s="150">
        <f>mod.O5!AI84</f>
        <v>1.554881944454595E+19</v>
      </c>
      <c r="R84" s="150">
        <f>mod.O5!AJ84</f>
        <v>1.3295524133288985E+22</v>
      </c>
      <c r="T84" s="151">
        <f>mod.math.!Q84</f>
        <v>82</v>
      </c>
      <c r="U84" s="151">
        <f>mod.math.!R84</f>
        <v>6.833333333333333</v>
      </c>
      <c r="V84" s="151">
        <f>mod.math.!S84</f>
        <v>215496000</v>
      </c>
      <c r="W84" s="151">
        <f>mod.math.!T84</f>
        <v>1.0335947509423067E+19</v>
      </c>
      <c r="X84" s="151">
        <f>mod.math.!U84</f>
        <v>1.8176506482087079E+21</v>
      </c>
      <c r="Y84" s="151">
        <f>mod.math.!V84</f>
        <v>8.7929195352372072E+20</v>
      </c>
      <c r="Z84" s="151">
        <f>mod.math.!W84</f>
        <v>1.190322042983019E+20</v>
      </c>
      <c r="AA84" s="151">
        <f>mod.math.!X84</f>
        <v>6.5072662645929247E+19</v>
      </c>
      <c r="AB84" s="151">
        <f>mod.math.!Y84</f>
        <v>2.8254209719629087E+19</v>
      </c>
      <c r="AC84" s="151">
        <f>mod.math.!Z84</f>
        <v>1.5367899410950814E+19</v>
      </c>
      <c r="AD84" s="151">
        <f>mod.math.!AA84</f>
        <v>1.3295523460744521E+22</v>
      </c>
      <c r="AF84" s="144">
        <f>dragon!L84</f>
        <v>0</v>
      </c>
      <c r="AG84" s="144">
        <f>dragon!M84</f>
        <v>0</v>
      </c>
      <c r="AH84" s="144">
        <f>dragon!N84</f>
        <v>0</v>
      </c>
      <c r="AI84" s="144">
        <f>dragon!O84</f>
        <v>0</v>
      </c>
      <c r="AJ84" s="144">
        <f>dragon!P84</f>
        <v>0</v>
      </c>
      <c r="AK84" s="144">
        <f>dragon!Q84</f>
        <v>0</v>
      </c>
      <c r="AL84" s="144">
        <f>dragon!S84</f>
        <v>0</v>
      </c>
      <c r="AM84" s="144">
        <f>dragon!R84</f>
        <v>0</v>
      </c>
    </row>
    <row r="85" spans="1:50" ht="12.75" thickBot="1">
      <c r="A85" s="146">
        <f>mod.RK1!F85</f>
        <v>6.916666666666667</v>
      </c>
      <c r="B85" s="147">
        <f>mod.RK1!I85</f>
        <v>2.5012377391869145E+19</v>
      </c>
      <c r="C85" s="148">
        <f>mod.RK1!K85</f>
        <v>1.8148963848610846E+21</v>
      </c>
      <c r="D85" s="147">
        <f>mod.RK1!M85</f>
        <v>8.8120009993976152E+20</v>
      </c>
      <c r="E85" s="148">
        <f>mod.RK1!O85</f>
        <v>1.1904441597493302E+20</v>
      </c>
      <c r="F85" s="147">
        <f>mod.RK1!Q85</f>
        <v>6.5200385304104559E+19</v>
      </c>
      <c r="G85" s="148">
        <f>mod.RK1!S85</f>
        <v>2.818480514370594E+19</v>
      </c>
      <c r="H85" s="147">
        <f>mod.RK1!W85</f>
        <v>1.4937154804906676E+19</v>
      </c>
      <c r="I85" s="148">
        <f>mod.RK1!Y85</f>
        <v>1.3253159715247447E+22</v>
      </c>
      <c r="J85" s="149">
        <f>mod.O5!U85</f>
        <v>6.916666666666667</v>
      </c>
      <c r="K85" s="150">
        <f>mod.O5!AC85</f>
        <v>2.4958117133432164E+19</v>
      </c>
      <c r="L85" s="150">
        <f>mod.O5!AD85</f>
        <v>1.815005185843017E+21</v>
      </c>
      <c r="M85" s="150">
        <f>mod.O5!AE85</f>
        <v>8.8018197139478059E+20</v>
      </c>
      <c r="N85" s="150">
        <f>mod.O5!AF85</f>
        <v>1.1909374482069384E+20</v>
      </c>
      <c r="O85" s="150">
        <f>mod.O5!AG85</f>
        <v>6.517663756941226E+19</v>
      </c>
      <c r="P85" s="150">
        <f>mod.O5!AH85</f>
        <v>2.8219794923162419E+19</v>
      </c>
      <c r="Q85" s="150">
        <f>mod.O5!AI85</f>
        <v>1.5223757542700495E+19</v>
      </c>
      <c r="R85" s="150">
        <f>mod.O5!AJ85</f>
        <v>1.3257645885789934E+22</v>
      </c>
      <c r="T85" s="151">
        <f>mod.math.!Q85</f>
        <v>83</v>
      </c>
      <c r="U85" s="151">
        <f>mod.math.!R85</f>
        <v>6.916666666666667</v>
      </c>
      <c r="V85" s="151">
        <f>mod.math.!S85</f>
        <v>218124000</v>
      </c>
      <c r="W85" s="151">
        <f>mod.math.!T85</f>
        <v>1.0236407947475427E+19</v>
      </c>
      <c r="X85" s="151">
        <f>mod.math.!U85</f>
        <v>1.8129785359279805E+21</v>
      </c>
      <c r="Y85" s="151">
        <f>mod.math.!V85</f>
        <v>8.7992807327351518E+20</v>
      </c>
      <c r="Z85" s="151">
        <f>mod.math.!W85</f>
        <v>1.1907760073343774E+20</v>
      </c>
      <c r="AA85" s="151">
        <f>mod.math.!X85</f>
        <v>6.5175350725789811E+19</v>
      </c>
      <c r="AB85" s="151">
        <f>mod.math.!Y85</f>
        <v>2.8218720859567358E+19</v>
      </c>
      <c r="AC85" s="151">
        <f>mod.math.!Z85</f>
        <v>1.5042364222476397E+19</v>
      </c>
      <c r="AD85" s="151">
        <f>mod.math.!AA85</f>
        <v>1.3257645205152281E+22</v>
      </c>
      <c r="AF85" s="144">
        <f>dragon!L85</f>
        <v>0</v>
      </c>
      <c r="AG85" s="144">
        <f>dragon!M85</f>
        <v>0</v>
      </c>
      <c r="AH85" s="144">
        <f>dragon!N85</f>
        <v>0</v>
      </c>
      <c r="AI85" s="144">
        <f>dragon!O85</f>
        <v>0</v>
      </c>
      <c r="AJ85" s="144">
        <f>dragon!P85</f>
        <v>0</v>
      </c>
      <c r="AK85" s="144">
        <f>dragon!Q85</f>
        <v>0</v>
      </c>
      <c r="AL85" s="144">
        <f>dragon!S85</f>
        <v>0</v>
      </c>
      <c r="AM85" s="144">
        <f>dragon!R85</f>
        <v>0</v>
      </c>
    </row>
    <row r="86" spans="1:50" ht="12.75" thickBot="1">
      <c r="A86" s="146">
        <f>mod.RK1!F86</f>
        <v>7</v>
      </c>
      <c r="B86" s="147">
        <f>mod.RK1!I86</f>
        <v>2.4974193365424767E+19</v>
      </c>
      <c r="C86" s="148">
        <f>mod.RK1!K86</f>
        <v>1.8102429813565812E+21</v>
      </c>
      <c r="D86" s="147">
        <f>mod.RK1!M86</f>
        <v>8.8182191283552269E+20</v>
      </c>
      <c r="E86" s="148">
        <f>mod.RK1!O86</f>
        <v>1.1909671777661166E+20</v>
      </c>
      <c r="F86" s="147">
        <f>mod.RK1!Q86</f>
        <v>6.5302404074637689E+19</v>
      </c>
      <c r="G86" s="148">
        <f>mod.RK1!S86</f>
        <v>2.8150216388713116E+19</v>
      </c>
      <c r="H86" s="147">
        <f>mod.RK1!W86</f>
        <v>1.462169276331564E+19</v>
      </c>
      <c r="I86" s="148">
        <f>mod.RK1!Y86</f>
        <v>1.3215348274767895E+22</v>
      </c>
      <c r="J86" s="149">
        <f>mod.O5!U86</f>
        <v>7</v>
      </c>
      <c r="K86" s="150">
        <f>mod.O5!AC86</f>
        <v>2.4921925816048378E+19</v>
      </c>
      <c r="L86" s="150">
        <f>mod.O5!AD86</f>
        <v>1.8103614850586591E+21</v>
      </c>
      <c r="M86" s="150">
        <f>mod.O5!AE86</f>
        <v>8.8080011791784647E+20</v>
      </c>
      <c r="N86" s="150">
        <f>mod.O5!AF86</f>
        <v>1.1914089635304884E+20</v>
      </c>
      <c r="O86" s="150">
        <f>mod.O5!AG86</f>
        <v>6.5278806208111084E+19</v>
      </c>
      <c r="P86" s="150">
        <f>mod.O5!AH86</f>
        <v>2.8185180913537544E+19</v>
      </c>
      <c r="Q86" s="150">
        <f>mod.O5!AI86</f>
        <v>1.4905569239197424E+19</v>
      </c>
      <c r="R86" s="150">
        <f>mod.O5!AJ86</f>
        <v>1.3219875551461331E+22</v>
      </c>
      <c r="T86" s="151">
        <f>mod.math.!Q86</f>
        <v>84</v>
      </c>
      <c r="U86" s="151">
        <f>mod.math.!R86</f>
        <v>7</v>
      </c>
      <c r="V86" s="151">
        <f>mod.math.!S86</f>
        <v>220752000</v>
      </c>
      <c r="W86" s="151">
        <f>mod.math.!T86</f>
        <v>1.0137007211125389E+19</v>
      </c>
      <c r="X86" s="151">
        <f>mod.math.!U86</f>
        <v>1.8083093098526923E+21</v>
      </c>
      <c r="Y86" s="151">
        <f>mod.math.!V86</f>
        <v>8.8053972459783455E+20</v>
      </c>
      <c r="Z86" s="151">
        <f>mod.math.!W86</f>
        <v>1.191241932695118E+20</v>
      </c>
      <c r="AA86" s="151">
        <f>mod.math.!X86</f>
        <v>6.5277457188045652E+19</v>
      </c>
      <c r="AB86" s="151">
        <f>mod.math.!Y86</f>
        <v>2.8184057920325493E+19</v>
      </c>
      <c r="AC86" s="151">
        <f>mod.math.!Z86</f>
        <v>1.4723724781826793E+19</v>
      </c>
      <c r="AD86" s="151">
        <f>mod.math.!AA86</f>
        <v>1.321987486274232E+22</v>
      </c>
      <c r="AF86" s="144">
        <f>dragon!L86</f>
        <v>0</v>
      </c>
      <c r="AG86" s="144">
        <f>dragon!M86</f>
        <v>0</v>
      </c>
      <c r="AH86" s="144">
        <f>dragon!N86</f>
        <v>0</v>
      </c>
      <c r="AI86" s="144">
        <f>dragon!O86</f>
        <v>0</v>
      </c>
      <c r="AJ86" s="144">
        <f>dragon!P86</f>
        <v>0</v>
      </c>
      <c r="AK86" s="144">
        <f>dragon!Q86</f>
        <v>0</v>
      </c>
      <c r="AL86" s="144">
        <f>dragon!S86</f>
        <v>0</v>
      </c>
      <c r="AM86" s="144">
        <f>dragon!R86</f>
        <v>0</v>
      </c>
    </row>
    <row r="87" spans="1:50" ht="12.75" thickBot="1">
      <c r="A87" s="146">
        <f>mod.RK1!F87</f>
        <v>7.083333333333333</v>
      </c>
      <c r="B87" s="147">
        <f>mod.RK1!I87</f>
        <v>2.4934782391807123E+19</v>
      </c>
      <c r="C87" s="148">
        <f>mod.RK1!K87</f>
        <v>1.8055924257879037E+21</v>
      </c>
      <c r="D87" s="147">
        <f>mod.RK1!M87</f>
        <v>8.8241934584366734E+20</v>
      </c>
      <c r="E87" s="148">
        <f>mod.RK1!O87</f>
        <v>1.1915001649084295E+20</v>
      </c>
      <c r="F87" s="147">
        <f>mod.RK1!Q87</f>
        <v>6.5403870539740054E+19</v>
      </c>
      <c r="G87" s="148">
        <f>mod.RK1!S87</f>
        <v>2.8116470062196179E+19</v>
      </c>
      <c r="H87" s="147">
        <f>mod.RK1!W87</f>
        <v>1.4312973734834119E+19</v>
      </c>
      <c r="I87" s="148">
        <f>mod.RK1!Y87</f>
        <v>1.3177644710873994E+22</v>
      </c>
      <c r="J87" s="149">
        <f>mod.O5!U87</f>
        <v>7.083333333333333</v>
      </c>
      <c r="K87" s="150">
        <f>mod.O5!AC87</f>
        <v>2.4884490773279646E+19</v>
      </c>
      <c r="L87" s="150">
        <f>mod.O5!AD87</f>
        <v>1.8057206392006391E+21</v>
      </c>
      <c r="M87" s="150">
        <f>mod.O5!AE87</f>
        <v>8.8139405685140305E+20</v>
      </c>
      <c r="N87" s="150">
        <f>mod.O5!AF87</f>
        <v>1.1918912943913681E+20</v>
      </c>
      <c r="O87" s="150">
        <f>mod.O5!AG87</f>
        <v>6.5380403748300882E+19</v>
      </c>
      <c r="P87" s="150">
        <f>mod.O5!AH87</f>
        <v>2.8151381039278285E+19</v>
      </c>
      <c r="Q87" s="150">
        <f>mod.O5!AI87</f>
        <v>1.4594113106690859E+19</v>
      </c>
      <c r="R87" s="150">
        <f>mod.O5!AJ87</f>
        <v>1.3182212822881039E+22</v>
      </c>
      <c r="T87" s="151">
        <f>mod.math.!Q87</f>
        <v>85</v>
      </c>
      <c r="U87" s="151">
        <f>mod.math.!R87</f>
        <v>7.083333333333333</v>
      </c>
      <c r="V87" s="151">
        <f>mod.math.!S87</f>
        <v>223380000</v>
      </c>
      <c r="W87" s="151">
        <f>mod.math.!T87</f>
        <v>1.0037774851852859E+19</v>
      </c>
      <c r="X87" s="151">
        <f>mod.math.!U87</f>
        <v>1.8036431693199568E+21</v>
      </c>
      <c r="Y87" s="151">
        <f>mod.math.!V87</f>
        <v>8.8112711267862761E+20</v>
      </c>
      <c r="Z87" s="151">
        <f>mod.math.!W87</f>
        <v>1.1917184661821848E+20</v>
      </c>
      <c r="AA87" s="151">
        <f>mod.math.!X87</f>
        <v>6.5378992277832892E+19</v>
      </c>
      <c r="AB87" s="151">
        <f>mod.math.!Y87</f>
        <v>2.8150210465271538E+19</v>
      </c>
      <c r="AC87" s="151">
        <f>mod.math.!Z87</f>
        <v>1.4411835017733075E+19</v>
      </c>
      <c r="AD87" s="151">
        <f>mod.math.!AA87</f>
        <v>1.318221212607559E+22</v>
      </c>
      <c r="AF87" s="144">
        <f>dragon!L87</f>
        <v>0</v>
      </c>
      <c r="AG87" s="144">
        <f>dragon!M87</f>
        <v>0</v>
      </c>
      <c r="AH87" s="144">
        <f>dragon!N87</f>
        <v>0</v>
      </c>
      <c r="AI87" s="144">
        <f>dragon!O87</f>
        <v>0</v>
      </c>
      <c r="AJ87" s="144">
        <f>dragon!P87</f>
        <v>0</v>
      </c>
      <c r="AK87" s="144">
        <f>dragon!Q87</f>
        <v>0</v>
      </c>
      <c r="AL87" s="144">
        <f>dragon!S87</f>
        <v>0</v>
      </c>
      <c r="AM87" s="144">
        <f>dragon!R87</f>
        <v>0</v>
      </c>
    </row>
    <row r="88" spans="1:50" ht="12.75" thickBot="1">
      <c r="A88" s="146">
        <f>mod.RK1!F88</f>
        <v>7.166666666666667</v>
      </c>
      <c r="B88" s="147">
        <f>mod.RK1!I88</f>
        <v>2.4894205806636413E+19</v>
      </c>
      <c r="C88" s="148">
        <f>mod.RK1!K88</f>
        <v>1.8009449142885753E+21</v>
      </c>
      <c r="D88" s="147">
        <f>mod.RK1!M88</f>
        <v>8.8299260367927601E+20</v>
      </c>
      <c r="E88" s="148">
        <f>mod.RK1!O88</f>
        <v>1.1920418074179743E+20</v>
      </c>
      <c r="F88" s="147">
        <f>mod.RK1!Q88</f>
        <v>6.5504794289902739E+19</v>
      </c>
      <c r="G88" s="148">
        <f>mod.RK1!S88</f>
        <v>2.8083554802623865E+19</v>
      </c>
      <c r="H88" s="147">
        <f>mod.RK1!W88</f>
        <v>1.4010853355823743E+19</v>
      </c>
      <c r="I88" s="148">
        <f>mod.RK1!Y88</f>
        <v>1.3140048715792245E+22</v>
      </c>
      <c r="J88" s="149">
        <f>mod.O5!U88</f>
        <v>7.166666666666667</v>
      </c>
      <c r="K88" s="150">
        <f>mod.O5!AC88</f>
        <v>2.4845873662625366E+19</v>
      </c>
      <c r="L88" s="150">
        <f>mod.O5!AD88</f>
        <v>1.8010828444367357E+21</v>
      </c>
      <c r="M88" s="150">
        <f>mod.O5!AE88</f>
        <v>8.8196399022376957E+20</v>
      </c>
      <c r="N88" s="150">
        <f>mod.O5!AF88</f>
        <v>1.1923830251988946E+20</v>
      </c>
      <c r="O88" s="150">
        <f>mod.O5!AG88</f>
        <v>6.5481441586761097E+19</v>
      </c>
      <c r="P88" s="150">
        <f>mod.O5!AH88</f>
        <v>2.8118387345578435E+19</v>
      </c>
      <c r="Q88" s="150">
        <f>mod.O5!AI88</f>
        <v>1.4289243491340442E+19</v>
      </c>
      <c r="R88" s="150">
        <f>mod.O5!AJ88</f>
        <v>1.3144657393473351E+22</v>
      </c>
      <c r="T88" s="151">
        <f>mod.math.!Q88</f>
        <v>86</v>
      </c>
      <c r="U88" s="151">
        <f>mod.math.!R88</f>
        <v>7.166666666666667</v>
      </c>
      <c r="V88" s="151">
        <f>mod.math.!S88</f>
        <v>226008000</v>
      </c>
      <c r="W88" s="151">
        <f>mod.math.!T88</f>
        <v>9.9387392591632712E+18</v>
      </c>
      <c r="X88" s="151">
        <f>mod.math.!U88</f>
        <v>1.7989803090868998E+21</v>
      </c>
      <c r="Y88" s="151">
        <f>mod.math.!V88</f>
        <v>8.8169044190243363E+20</v>
      </c>
      <c r="Z88" s="151">
        <f>mod.math.!W88</f>
        <v>1.1922043036397658E+20</v>
      </c>
      <c r="AA88" s="151">
        <f>mod.math.!X88</f>
        <v>6.5479965607758135E+19</v>
      </c>
      <c r="AB88" s="151">
        <f>mod.math.!Y88</f>
        <v>2.8117167715845951E+19</v>
      </c>
      <c r="AC88" s="151">
        <f>mod.math.!Z88</f>
        <v>1.4106551953125243E+19</v>
      </c>
      <c r="AD88" s="151">
        <f>mod.math.!AA88</f>
        <v>1.3144656688588916E+22</v>
      </c>
      <c r="AF88" s="144">
        <f>dragon!L88</f>
        <v>0</v>
      </c>
      <c r="AG88" s="144">
        <f>dragon!M88</f>
        <v>0</v>
      </c>
      <c r="AH88" s="144">
        <f>dragon!N88</f>
        <v>0</v>
      </c>
      <c r="AI88" s="144">
        <f>dragon!O88</f>
        <v>0</v>
      </c>
      <c r="AJ88" s="144">
        <f>dragon!P88</f>
        <v>0</v>
      </c>
      <c r="AK88" s="144">
        <f>dragon!Q88</f>
        <v>0</v>
      </c>
      <c r="AL88" s="144">
        <f>dragon!S88</f>
        <v>0</v>
      </c>
      <c r="AM88" s="144">
        <f>dragon!R88</f>
        <v>0</v>
      </c>
    </row>
    <row r="89" spans="1:50" ht="12.75" thickBot="1">
      <c r="A89" s="146">
        <f>mod.RK1!F89</f>
        <v>7.25</v>
      </c>
      <c r="B89" s="147">
        <f>mod.RK1!I89</f>
        <v>2.4852523121911722E+19</v>
      </c>
      <c r="C89" s="148">
        <f>mod.RK1!K89</f>
        <v>1.7963006385756014E+21</v>
      </c>
      <c r="D89" s="147">
        <f>mod.RK1!M89</f>
        <v>8.8354189025878645E+20</v>
      </c>
      <c r="E89" s="148">
        <f>mod.RK1!O89</f>
        <v>1.1925908398175804E+20</v>
      </c>
      <c r="F89" s="147">
        <f>mod.RK1!Q89</f>
        <v>6.5605184289786356E+19</v>
      </c>
      <c r="G89" s="148">
        <f>mod.RK1!S89</f>
        <v>2.8051458926164906E+19</v>
      </c>
      <c r="H89" s="147">
        <f>mod.RK1!W89</f>
        <v>1.3715190353996143E+19</v>
      </c>
      <c r="I89" s="148">
        <f>mod.RK1!Y89</f>
        <v>1.3102559982627234E+22</v>
      </c>
      <c r="J89" s="149">
        <f>mod.O5!U89</f>
        <v>7.25</v>
      </c>
      <c r="K89" s="150">
        <f>mod.O5!AC89</f>
        <v>2.4806133062407373E+19</v>
      </c>
      <c r="L89" s="150">
        <f>mod.O5!AD89</f>
        <v>1.7964482894770356E+21</v>
      </c>
      <c r="M89" s="150">
        <f>mod.O5!AE89</f>
        <v>8.8251012023514694E+20</v>
      </c>
      <c r="N89" s="150">
        <f>mod.O5!AF89</f>
        <v>1.1928828982923649E+20</v>
      </c>
      <c r="O89" s="150">
        <f>mod.O5!AG89</f>
        <v>6.5581928755328508E+19</v>
      </c>
      <c r="P89" s="150">
        <f>mod.O5!AH89</f>
        <v>2.8086188749629649E+19</v>
      </c>
      <c r="Q89" s="150">
        <f>mod.O5!AI89</f>
        <v>1.3990820878654276E+19</v>
      </c>
      <c r="R89" s="150">
        <f>mod.O5!AJ89</f>
        <v>1.3107208957548407E+22</v>
      </c>
      <c r="T89" s="151">
        <f>mod.math.!Q89</f>
        <v>87</v>
      </c>
      <c r="U89" s="151">
        <f>mod.math.!R89</f>
        <v>7.25</v>
      </c>
      <c r="V89" s="151">
        <f>mod.math.!S89</f>
        <v>228636000</v>
      </c>
      <c r="W89" s="151">
        <f>mod.math.!T89</f>
        <v>9.8399276940431892E+18</v>
      </c>
      <c r="X89" s="151">
        <f>mod.math.!U89</f>
        <v>1.7943209194190398E+21</v>
      </c>
      <c r="Y89" s="151">
        <f>mod.math.!V89</f>
        <v>8.8222991584775569E+20</v>
      </c>
      <c r="Z89" s="151">
        <f>mod.math.!W89</f>
        <v>1.1926981881530237E+20</v>
      </c>
      <c r="AA89" s="151">
        <f>mod.math.!X89</f>
        <v>6.5580386181043454E+19</v>
      </c>
      <c r="AB89" s="151">
        <f>mod.math.!Y89</f>
        <v>2.8084918576918413E+19</v>
      </c>
      <c r="AC89" s="151">
        <f>mod.math.!Z89</f>
        <v>1.3807735639588434E+19</v>
      </c>
      <c r="AD89" s="151">
        <f>mod.math.!AA89</f>
        <v>1.3107208244592506E+22</v>
      </c>
      <c r="AF89" s="144">
        <f>dragon!L89</f>
        <v>0</v>
      </c>
      <c r="AG89" s="144">
        <f>dragon!M89</f>
        <v>0</v>
      </c>
      <c r="AH89" s="144">
        <f>dragon!N89</f>
        <v>0</v>
      </c>
      <c r="AI89" s="144">
        <f>dragon!O89</f>
        <v>0</v>
      </c>
      <c r="AJ89" s="144">
        <f>dragon!P89</f>
        <v>0</v>
      </c>
      <c r="AK89" s="144">
        <f>dragon!Q89</f>
        <v>0</v>
      </c>
      <c r="AL89" s="144">
        <f>dragon!S89</f>
        <v>0</v>
      </c>
      <c r="AM89" s="144">
        <f>dragon!R89</f>
        <v>0</v>
      </c>
    </row>
    <row r="90" spans="1:50" ht="12.75" thickBot="1">
      <c r="A90" s="146">
        <f>mod.RK1!F90</f>
        <v>7.333333333333333</v>
      </c>
      <c r="B90" s="147">
        <f>mod.RK1!I90</f>
        <v>2.4809792067375911E+19</v>
      </c>
      <c r="C90" s="148">
        <f>mod.RK1!K90</f>
        <v>1.7916597860323717E+21</v>
      </c>
      <c r="D90" s="147">
        <f>mod.RK1!M90</f>
        <v>8.8406740868783761E+20</v>
      </c>
      <c r="E90" s="148">
        <f>mod.RK1!O90</f>
        <v>1.1931460434159541E+20</v>
      </c>
      <c r="F90" s="147">
        <f>mod.RK1!Q90</f>
        <v>6.5705048901533073E+19</v>
      </c>
      <c r="G90" s="148">
        <f>mod.RK1!S90</f>
        <v>2.8020170452040942E+19</v>
      </c>
      <c r="H90" s="147">
        <f>mod.RK1!W90</f>
        <v>1.3425846482215395E+19</v>
      </c>
      <c r="I90" s="148">
        <f>mod.RK1!Y90</f>
        <v>1.3065178205359127E+22</v>
      </c>
      <c r="J90" s="149">
        <f>mod.O5!U90</f>
        <v>7.333333333333333</v>
      </c>
      <c r="K90" s="150">
        <f>mod.O5!AC90</f>
        <v>2.4765325820404527E+19</v>
      </c>
      <c r="L90" s="150">
        <f>mod.O5!AD90</f>
        <v>1.7918171588004356E+21</v>
      </c>
      <c r="M90" s="150">
        <f>mod.O5!AE90</f>
        <v>8.8303264826932134E+20</v>
      </c>
      <c r="N90" s="150">
        <f>mod.O5!AF90</f>
        <v>1.1933897016790301E+20</v>
      </c>
      <c r="O90" s="150">
        <f>mod.O5!AG90</f>
        <v>6.5681873699958014E+19</v>
      </c>
      <c r="P90" s="150">
        <f>mod.O5!AH90</f>
        <v>2.8054773878144205E+19</v>
      </c>
      <c r="Q90" s="150">
        <f>mod.O5!AI90</f>
        <v>1.3698708706853534E+19</v>
      </c>
      <c r="R90" s="150">
        <f>mod.O5!AJ90</f>
        <v>1.3069867210287228E+22</v>
      </c>
      <c r="T90" s="151">
        <f>mod.math.!Q90</f>
        <v>88</v>
      </c>
      <c r="U90" s="151">
        <f>mod.math.!R90</f>
        <v>7.333333333333333</v>
      </c>
      <c r="V90" s="151">
        <f>mod.math.!S90</f>
        <v>231264000</v>
      </c>
      <c r="W90" s="151">
        <f>mod.math.!T90</f>
        <v>9.7413663215613501E+18</v>
      </c>
      <c r="X90" s="151">
        <f>mod.math.!U90</f>
        <v>1.7896651861770416E+21</v>
      </c>
      <c r="Y90" s="151">
        <f>mod.math.!V90</f>
        <v>8.8274573727289403E+20</v>
      </c>
      <c r="Z90" s="151">
        <f>mod.math.!W90</f>
        <v>1.1931989086056546E+20</v>
      </c>
      <c r="AA90" s="151">
        <f>mod.math.!X90</f>
        <v>6.5680262413963166E+19</v>
      </c>
      <c r="AB90" s="151">
        <f>mod.math.!Y90</f>
        <v>2.8053451661101142E+19</v>
      </c>
      <c r="AC90" s="151">
        <f>mod.math.!Z90</f>
        <v>1.3515249093207515E+19</v>
      </c>
      <c r="AD90" s="151">
        <f>mod.math.!AA90</f>
        <v>1.3069866489267473E+22</v>
      </c>
      <c r="AF90" s="144">
        <f>dragon!L90</f>
        <v>0</v>
      </c>
      <c r="AG90" s="144">
        <f>dragon!M90</f>
        <v>0</v>
      </c>
      <c r="AH90" s="144">
        <f>dragon!N90</f>
        <v>0</v>
      </c>
      <c r="AI90" s="144">
        <f>dragon!O90</f>
        <v>0</v>
      </c>
      <c r="AJ90" s="144">
        <f>dragon!P90</f>
        <v>0</v>
      </c>
      <c r="AK90" s="144">
        <f>dragon!Q90</f>
        <v>0</v>
      </c>
      <c r="AL90" s="144">
        <f>dragon!S90</f>
        <v>0</v>
      </c>
      <c r="AM90" s="144">
        <f>dragon!R90</f>
        <v>0</v>
      </c>
    </row>
    <row r="91" spans="1:50" ht="12.75" thickBot="1">
      <c r="A91" s="146">
        <f>mod.RK1!F91</f>
        <v>7.416666666666667</v>
      </c>
      <c r="B91" s="147">
        <f>mod.RK1!I91</f>
        <v>2.4766068631157588E+19</v>
      </c>
      <c r="C91" s="148">
        <f>mod.RK1!K91</f>
        <v>1.7870225397900708E+21</v>
      </c>
      <c r="D91" s="147">
        <f>mod.RK1!M91</f>
        <v>8.8456936124955715E+20</v>
      </c>
      <c r="E91" s="148">
        <f>mod.RK1!O91</f>
        <v>1.1937062448572067E+20</v>
      </c>
      <c r="F91" s="147">
        <f>mod.RK1!Q91</f>
        <v>6.5804395907362111E+19</v>
      </c>
      <c r="G91" s="148">
        <f>mod.RK1!S91</f>
        <v>2.7989677126813606E+19</v>
      </c>
      <c r="H91" s="147">
        <f>mod.RK1!W91</f>
        <v>1.3142686453717981E+19</v>
      </c>
      <c r="I91" s="148">
        <f>mod.RK1!Y91</f>
        <v>1.3027903078841172E+22</v>
      </c>
      <c r="J91" s="149">
        <f>mod.O5!U91</f>
        <v>7.416666666666667</v>
      </c>
      <c r="K91" s="150">
        <f>mod.O5!AC91</f>
        <v>2.4723507094782747E+19</v>
      </c>
      <c r="L91" s="150">
        <f>mod.O5!AD91</f>
        <v>1.7871896327371817E+21</v>
      </c>
      <c r="M91" s="150">
        <f>mod.O5!AE91</f>
        <v>8.8353177488154244E+20</v>
      </c>
      <c r="N91" s="150">
        <f>mod.O5!AF91</f>
        <v>1.1939022675269732E+20</v>
      </c>
      <c r="O91" s="150">
        <f>mod.O5!AG91</f>
        <v>6.578128430420453E+19</v>
      </c>
      <c r="P91" s="150">
        <f>mod.O5!AH91</f>
        <v>2.8024131093233676E+19</v>
      </c>
      <c r="Q91" s="150">
        <f>mod.O5!AI91</f>
        <v>1.3412773300814555E+19</v>
      </c>
      <c r="R91" s="150">
        <f>mod.O5!AJ91</f>
        <v>1.3032631847739212E+22</v>
      </c>
      <c r="T91" s="151">
        <f>mod.math.!Q91</f>
        <v>89</v>
      </c>
      <c r="U91" s="151">
        <f>mod.math.!R91</f>
        <v>7.416666666666667</v>
      </c>
      <c r="V91" s="151">
        <f>mod.math.!S91</f>
        <v>233892000</v>
      </c>
      <c r="W91" s="151">
        <f>mod.math.!T91</f>
        <v>9.6430802426356982E+18</v>
      </c>
      <c r="X91" s="151">
        <f>mod.math.!U91</f>
        <v>1.7850132909018817E+21</v>
      </c>
      <c r="Y91" s="151">
        <f>mod.math.!V91</f>
        <v>8.8323810810423306E+20</v>
      </c>
      <c r="Z91" s="151">
        <f>mod.math.!W91</f>
        <v>1.1937052982799806E+20</v>
      </c>
      <c r="AA91" s="151">
        <f>mod.math.!X91</f>
        <v>6.5779602157604831E+19</v>
      </c>
      <c r="AB91" s="151">
        <f>mod.math.!Y91</f>
        <v>2.8022755312054051E+19</v>
      </c>
      <c r="AC91" s="151">
        <f>mod.math.!Z91</f>
        <v>1.3228958231770661E+19</v>
      </c>
      <c r="AD91" s="151">
        <f>mod.math.!AA91</f>
        <v>1.303263111866333E+22</v>
      </c>
      <c r="AF91" s="144">
        <f>dragon!L91</f>
        <v>0</v>
      </c>
      <c r="AG91" s="144">
        <f>dragon!M91</f>
        <v>0</v>
      </c>
      <c r="AH91" s="144">
        <f>dragon!N91</f>
        <v>0</v>
      </c>
      <c r="AI91" s="144">
        <f>dragon!O91</f>
        <v>0</v>
      </c>
      <c r="AJ91" s="144">
        <f>dragon!P91</f>
        <v>0</v>
      </c>
      <c r="AK91" s="144">
        <f>dragon!Q91</f>
        <v>0</v>
      </c>
      <c r="AL91" s="144">
        <f>dragon!S91</f>
        <v>0</v>
      </c>
      <c r="AM91" s="144">
        <f>dragon!R91</f>
        <v>0</v>
      </c>
    </row>
    <row r="92" spans="1:50" ht="12.75" thickBot="1">
      <c r="A92" s="146">
        <f>mod.RK1!F92</f>
        <v>7.5</v>
      </c>
      <c r="B92" s="147">
        <f>mod.RK1!I92</f>
        <v>2.4721407099697209E+19</v>
      </c>
      <c r="C92" s="148">
        <f>mod.RK1!K92</f>
        <v>1.7823890788076272E+21</v>
      </c>
      <c r="D92" s="147">
        <f>mod.RK1!M92</f>
        <v>8.8504794939328155E+20</v>
      </c>
      <c r="E92" s="148">
        <f>mod.RK1!O92</f>
        <v>1.1942703147138227E+20</v>
      </c>
      <c r="F92" s="147">
        <f>mod.RK1!Q92</f>
        <v>6.5903232531469574E+19</v>
      </c>
      <c r="G92" s="148">
        <f>mod.RK1!S92</f>
        <v>2.7959966447643324E+19</v>
      </c>
      <c r="H92" s="147">
        <f>mod.RK1!W92</f>
        <v>1.2865577878719906E+19</v>
      </c>
      <c r="I92" s="148">
        <f>mod.RK1!Y92</f>
        <v>1.2990734298797199E+22</v>
      </c>
      <c r="J92" s="149">
        <f>mod.O5!U92</f>
        <v>7.5</v>
      </c>
      <c r="K92" s="150">
        <f>mod.O5!AC92</f>
        <v>2.468073039502506E+19</v>
      </c>
      <c r="L92" s="150">
        <f>mod.O5!AD92</f>
        <v>1.7825658875514066E+21</v>
      </c>
      <c r="M92" s="150">
        <f>mod.O5!AE92</f>
        <v>8.840076997864004E+20</v>
      </c>
      <c r="N92" s="150">
        <f>mod.O5!AF92</f>
        <v>1.1944194706579823E+20</v>
      </c>
      <c r="O92" s="150">
        <f>mod.O5!AG92</f>
        <v>6.5880167912704991E+19</v>
      </c>
      <c r="P92" s="150">
        <f>mod.O5!AH92</f>
        <v>2.7994248518287573E+19</v>
      </c>
      <c r="Q92" s="150">
        <f>mod.O5!AI92</f>
        <v>1.3132883806010974E+19</v>
      </c>
      <c r="R92" s="150">
        <f>mod.O5!AJ92</f>
        <v>1.2995502566819657E+22</v>
      </c>
      <c r="T92" s="151">
        <f>mod.math.!Q92</f>
        <v>90</v>
      </c>
      <c r="U92" s="151">
        <f>mod.math.!R92</f>
        <v>7.5</v>
      </c>
      <c r="V92" s="151">
        <f>mod.math.!S92</f>
        <v>236520000</v>
      </c>
      <c r="W92" s="151">
        <f>mod.math.!T92</f>
        <v>9.5450935249864233E+18</v>
      </c>
      <c r="X92" s="151">
        <f>mod.math.!U92</f>
        <v>1.780365410898444E+21</v>
      </c>
      <c r="Y92" s="151">
        <f>mod.math.!V92</f>
        <v>8.8370722942497744E+20</v>
      </c>
      <c r="Z92" s="151">
        <f>mod.math.!W92</f>
        <v>1.1942162334983358E+20</v>
      </c>
      <c r="AA92" s="151">
        <f>mod.math.!X92</f>
        <v>6.5878412718964441E+19</v>
      </c>
      <c r="AB92" s="151">
        <f>mod.math.!Y92</f>
        <v>2.7992817626817683E+19</v>
      </c>
      <c r="AC92" s="151">
        <f>mod.math.!Z92</f>
        <v>1.2948731813303153E+19</v>
      </c>
      <c r="AD92" s="151">
        <f>mod.math.!AA92</f>
        <v>1.2995501829695532E+22</v>
      </c>
      <c r="AF92" s="144">
        <f>dragon!L92</f>
        <v>0</v>
      </c>
      <c r="AG92" s="144">
        <f>dragon!M92</f>
        <v>0</v>
      </c>
      <c r="AH92" s="144">
        <f>dragon!N92</f>
        <v>0</v>
      </c>
      <c r="AI92" s="144">
        <f>dragon!O92</f>
        <v>0</v>
      </c>
      <c r="AJ92" s="144">
        <f>dragon!P92</f>
        <v>0</v>
      </c>
      <c r="AK92" s="144">
        <f>dragon!Q92</f>
        <v>0</v>
      </c>
      <c r="AL92" s="144">
        <f>dragon!S92</f>
        <v>0</v>
      </c>
      <c r="AM92" s="144">
        <f>dragon!R92</f>
        <v>0</v>
      </c>
    </row>
    <row r="93" spans="1:50" ht="12.75" thickBot="1">
      <c r="A93" s="146">
        <f>mod.RK1!F93</f>
        <v>7.583333333333333</v>
      </c>
      <c r="B93" s="147">
        <f>mod.RK1!I93</f>
        <v>2.4675860096964538E+19</v>
      </c>
      <c r="C93" s="148">
        <f>mod.RK1!K93</f>
        <v>1.7777595779502231E+21</v>
      </c>
      <c r="D93" s="147">
        <f>mod.RK1!M93</f>
        <v>8.8550337372369977E+20</v>
      </c>
      <c r="E93" s="148">
        <f>mod.RK1!O93</f>
        <v>1.1948371661217674E+20</v>
      </c>
      <c r="F93" s="147">
        <f>mod.RK1!Q93</f>
        <v>6.6001565461253022E+19</v>
      </c>
      <c r="G93" s="148">
        <f>mod.RK1!S93</f>
        <v>2.793102568455605E+19</v>
      </c>
      <c r="H93" s="147">
        <f>mod.RK1!W93</f>
        <v>1.2594391202381277E+19</v>
      </c>
      <c r="I93" s="148">
        <f>mod.RK1!Y93</f>
        <v>1.2953671561819149E+22</v>
      </c>
      <c r="J93" s="149">
        <f>mod.O5!U93</f>
        <v>7.583333333333333</v>
      </c>
      <c r="K93" s="150">
        <f>mod.O5!AC93</f>
        <v>2.4637047622861672E+19</v>
      </c>
      <c r="L93" s="150">
        <f>mod.O5!AD93</f>
        <v>1.7779460955236705E+21</v>
      </c>
      <c r="M93" s="150">
        <f>mod.O5!AE93</f>
        <v>8.8446062184570461E+20</v>
      </c>
      <c r="N93" s="150">
        <f>mod.O5!AF93</f>
        <v>1.194940227040427E+20</v>
      </c>
      <c r="O93" s="150">
        <f>mod.O5!AG93</f>
        <v>6.5978531354660282E+19</v>
      </c>
      <c r="P93" s="150">
        <f>mod.O5!AH93</f>
        <v>2.7965114063851999E+19</v>
      </c>
      <c r="Q93" s="150">
        <f>mod.O5!AI93</f>
        <v>1.2858912122455824E+19</v>
      </c>
      <c r="R93" s="150">
        <f>mod.O5!AJ93</f>
        <v>1.2958479065307222E+22</v>
      </c>
      <c r="T93" s="151">
        <f>mod.math.!Q93</f>
        <v>91</v>
      </c>
      <c r="U93" s="151">
        <f>mod.math.!R93</f>
        <v>7.583333333333333</v>
      </c>
      <c r="V93" s="151">
        <f>mod.math.!S93</f>
        <v>239148000</v>
      </c>
      <c r="W93" s="151">
        <f>mod.math.!T93</f>
        <v>9.4474292332945367E+18</v>
      </c>
      <c r="X93" s="151">
        <f>mod.math.!U93</f>
        <v>1.7757217193175802E+21</v>
      </c>
      <c r="Y93" s="151">
        <f>mod.math.!V93</f>
        <v>8.8415330146431599E+20</v>
      </c>
      <c r="Z93" s="151">
        <f>mod.math.!W93</f>
        <v>1.1947306323045278E+20</v>
      </c>
      <c r="AA93" s="151">
        <f>mod.math.!X93</f>
        <v>6.59767008814022E+19</v>
      </c>
      <c r="AB93" s="151">
        <f>mod.math.!Y93</f>
        <v>2.7963626477207003E+19</v>
      </c>
      <c r="AC93" s="151">
        <f>mod.math.!Z93</f>
        <v>1.2674441375903187E+19</v>
      </c>
      <c r="AD93" s="151">
        <f>mod.math.!AA93</f>
        <v>1.2958478320143012E+22</v>
      </c>
      <c r="AF93" s="144">
        <f>dragon!L93</f>
        <v>0</v>
      </c>
      <c r="AG93" s="144">
        <f>dragon!M93</f>
        <v>0</v>
      </c>
      <c r="AH93" s="144">
        <f>dragon!N93</f>
        <v>0</v>
      </c>
      <c r="AI93" s="144">
        <f>dragon!O93</f>
        <v>0</v>
      </c>
      <c r="AJ93" s="144">
        <f>dragon!P93</f>
        <v>0</v>
      </c>
      <c r="AK93" s="144">
        <f>dragon!Q93</f>
        <v>0</v>
      </c>
      <c r="AL93" s="144">
        <f>dragon!S93</f>
        <v>0</v>
      </c>
      <c r="AM93" s="144">
        <f>dragon!R93</f>
        <v>0</v>
      </c>
    </row>
    <row r="94" spans="1:50" ht="12.75" thickBot="1">
      <c r="A94" s="146">
        <f>mod.RK1!F94</f>
        <v>7.666666666666667</v>
      </c>
      <c r="B94" s="147">
        <f>mod.RK1!I94</f>
        <v>2.4629478622974808E+19</v>
      </c>
      <c r="C94" s="148">
        <f>mod.RK1!K94</f>
        <v>1.7731342080663948E+21</v>
      </c>
      <c r="D94" s="147">
        <f>mod.RK1!M94</f>
        <v>8.8593583399041158E+20</v>
      </c>
      <c r="E94" s="148">
        <f>mod.RK1!O94</f>
        <v>1.1954057534564788E+20</v>
      </c>
      <c r="F94" s="147">
        <f>mod.RK1!Q94</f>
        <v>6.6099400867880509E+19</v>
      </c>
      <c r="G94" s="148">
        <f>mod.RK1!S94</f>
        <v>2.7902841901753127E+19</v>
      </c>
      <c r="H94" s="147">
        <f>mod.RK1!W94</f>
        <v>1.2328999644099273E+19</v>
      </c>
      <c r="I94" s="148">
        <f>mod.RK1!Y94</f>
        <v>1.2916714565364592E+22</v>
      </c>
      <c r="J94" s="149">
        <f>mod.O5!U94</f>
        <v>7.666666666666667</v>
      </c>
      <c r="K94" s="150">
        <f>mod.O5!AC94</f>
        <v>2.4592509113199976E+19</v>
      </c>
      <c r="L94" s="150">
        <f>mod.O5!AD94</f>
        <v>1.773330425033498E+21</v>
      </c>
      <c r="M94" s="150">
        <f>mod.O5!AE94</f>
        <v>8.8489073905636042E+20</v>
      </c>
      <c r="N94" s="150">
        <f>mod.O5!AF94</f>
        <v>1.195463492282134E+20</v>
      </c>
      <c r="O94" s="150">
        <f>mod.O5!AG94</f>
        <v>6.6076380967317217E+19</v>
      </c>
      <c r="P94" s="150">
        <f>mod.O5!AH94</f>
        <v>2.7936715453508301E+19</v>
      </c>
      <c r="Q94" s="150">
        <f>mod.O5!AI94</f>
        <v>1.2590732838643671E+19</v>
      </c>
      <c r="R94" s="150">
        <f>mod.O5!AJ94</f>
        <v>1.292156104184146E+22</v>
      </c>
      <c r="T94" s="151">
        <f>mod.math.!Q94</f>
        <v>92</v>
      </c>
      <c r="U94" s="151">
        <f>mod.math.!R94</f>
        <v>7.666666666666667</v>
      </c>
      <c r="V94" s="151">
        <f>mod.math.!S94</f>
        <v>241776000</v>
      </c>
      <c r="W94" s="151">
        <f>mod.math.!T94</f>
        <v>9.350109458585172E+18</v>
      </c>
      <c r="X94" s="151">
        <f>mod.math.!U94</f>
        <v>1.7710823852366595E+21</v>
      </c>
      <c r="Y94" s="151">
        <f>mod.math.!V94</f>
        <v>8.8457652358701371E+20</v>
      </c>
      <c r="Z94" s="151">
        <f>mod.math.!W94</f>
        <v>1.1952474531841909E+20</v>
      </c>
      <c r="AA94" s="151">
        <f>mod.math.!X94</f>
        <v>6.607447292447241E+19</v>
      </c>
      <c r="AB94" s="151">
        <f>mod.math.!Y94</f>
        <v>2.7935169530299236E+19</v>
      </c>
      <c r="AC94" s="151">
        <f>mod.math.!Z94</f>
        <v>1.2405961178852149E+19</v>
      </c>
      <c r="AD94" s="151">
        <f>mod.math.!AA94</f>
        <v>1.2921560288645712E+22</v>
      </c>
      <c r="AF94" s="144">
        <f>dragon!L94</f>
        <v>0</v>
      </c>
      <c r="AG94" s="144">
        <f>dragon!M94</f>
        <v>0</v>
      </c>
      <c r="AH94" s="144">
        <f>dragon!N94</f>
        <v>0</v>
      </c>
      <c r="AI94" s="144">
        <f>dragon!O94</f>
        <v>0</v>
      </c>
      <c r="AJ94" s="144">
        <f>dragon!P94</f>
        <v>0</v>
      </c>
      <c r="AK94" s="144">
        <f>dragon!Q94</f>
        <v>0</v>
      </c>
      <c r="AL94" s="144">
        <f>dragon!S94</f>
        <v>0</v>
      </c>
      <c r="AM94" s="144">
        <f>dragon!R94</f>
        <v>0</v>
      </c>
    </row>
    <row r="95" spans="1:50" ht="12.75" thickBot="1">
      <c r="A95" s="146">
        <f>mod.RK1!F95</f>
        <v>7.75</v>
      </c>
      <c r="B95" s="147">
        <f>mod.RK1!I95</f>
        <v>2.4582312091611066E+19</v>
      </c>
      <c r="C95" s="148">
        <f>mod.RK1!K95</f>
        <v>1.7685131360637459E+21</v>
      </c>
      <c r="D95" s="147">
        <f>mod.RK1!M95</f>
        <v>8.8634552907789055E+20</v>
      </c>
      <c r="E95" s="148">
        <f>mod.RK1!O95</f>
        <v>1.195975071048519E+20</v>
      </c>
      <c r="F95" s="147">
        <f>mod.RK1!Q95</f>
        <v>6.6196744426223206E+19</v>
      </c>
      <c r="G95" s="148">
        <f>mod.RK1!S95</f>
        <v>2.7875401977998168E+19</v>
      </c>
      <c r="H95" s="147">
        <f>mod.RK1!W95</f>
        <v>1.2069279138101045E+19</v>
      </c>
      <c r="I95" s="148">
        <f>mod.RK1!Y95</f>
        <v>1.2879863007754255E+22</v>
      </c>
      <c r="J95" s="149">
        <f>mod.O5!U95</f>
        <v>7.75</v>
      </c>
      <c r="K95" s="150">
        <f>mod.O5!AC95</f>
        <v>2.4547163675054653E+19</v>
      </c>
      <c r="L95" s="150">
        <f>mod.O5!AD95</f>
        <v>1.7687190406419175E+21</v>
      </c>
      <c r="M95" s="150">
        <f>mod.O5!AE95</f>
        <v>8.8529824853824753E+20</v>
      </c>
      <c r="N95" s="150">
        <f>mod.O5!AF95</f>
        <v>1.1959882601232615E+20</v>
      </c>
      <c r="O95" s="150">
        <f>mod.O5!AG95</f>
        <v>6.617372261945054E+19</v>
      </c>
      <c r="P95" s="150">
        <f>mod.O5!AH95</f>
        <v>2.7909040249751736E+19</v>
      </c>
      <c r="Q95" s="150">
        <f>mod.O5!AI95</f>
        <v>1.2328223165492701E+19</v>
      </c>
      <c r="R95" s="150">
        <f>mod.O5!AJ95</f>
        <v>1.2884748195920311E+22</v>
      </c>
      <c r="S95" s="153"/>
      <c r="T95" s="151">
        <f>mod.math.!Q95</f>
        <v>93</v>
      </c>
      <c r="U95" s="151">
        <f>mod.math.!R95</f>
        <v>7.75</v>
      </c>
      <c r="V95" s="151">
        <f>mod.math.!S95</f>
        <v>244404000</v>
      </c>
      <c r="W95" s="151">
        <f>mod.math.!T95</f>
        <v>9.2531553468542771E+18</v>
      </c>
      <c r="X95" s="151">
        <f>mod.math.!U95</f>
        <v>1.7664475737386325E+21</v>
      </c>
      <c r="Y95" s="151">
        <f>mod.math.!V95</f>
        <v>8.8497709428341434E+20</v>
      </c>
      <c r="Z95" s="151">
        <f>mod.math.!W95</f>
        <v>1.1957656938228944E+20</v>
      </c>
      <c r="AA95" s="151">
        <f>mod.math.!X95</f>
        <v>6.6171734643147309E+19</v>
      </c>
      <c r="AB95" s="151">
        <f>mod.math.!Y95</f>
        <v>2.7907434268047266E+19</v>
      </c>
      <c r="AC95" s="151">
        <f>mod.math.!Z95</f>
        <v>1.2143168144972313E+19</v>
      </c>
      <c r="AD95" s="151">
        <f>mod.math.!AA95</f>
        <v>1.2884747434702129E+22</v>
      </c>
      <c r="AF95" s="144">
        <f>dragon!L95</f>
        <v>0</v>
      </c>
      <c r="AG95" s="144">
        <f>dragon!M95</f>
        <v>0</v>
      </c>
      <c r="AH95" s="144">
        <f>dragon!N95</f>
        <v>0</v>
      </c>
      <c r="AI95" s="144">
        <f>dragon!O95</f>
        <v>0</v>
      </c>
      <c r="AJ95" s="144">
        <f>dragon!P95</f>
        <v>0</v>
      </c>
      <c r="AK95" s="144">
        <f>dragon!Q95</f>
        <v>0</v>
      </c>
      <c r="AL95" s="144">
        <f>dragon!S95</f>
        <v>0</v>
      </c>
      <c r="AM95" s="144">
        <f>dragon!R95</f>
        <v>0</v>
      </c>
      <c r="AN95" s="153"/>
      <c r="AO95" s="153"/>
      <c r="AP95" s="153"/>
      <c r="AQ95" s="153"/>
      <c r="AR95" s="153"/>
      <c r="AS95" s="153"/>
      <c r="AT95" s="153"/>
      <c r="AU95" s="153"/>
      <c r="AV95" s="153"/>
      <c r="AW95" s="153"/>
      <c r="AX95" s="153"/>
    </row>
    <row r="96" spans="1:50" ht="12.75" thickBot="1">
      <c r="A96" s="146">
        <f>mod.RK1!F96</f>
        <v>7.833333333333333</v>
      </c>
      <c r="B96" s="147">
        <f>mod.RK1!I96</f>
        <v>2.4534408367760273E+19</v>
      </c>
      <c r="C96" s="148">
        <f>mod.RK1!K96</f>
        <v>1.7638965249833E+21</v>
      </c>
      <c r="D96" s="147">
        <f>mod.RK1!M96</f>
        <v>8.8673265699584318E+20</v>
      </c>
      <c r="E96" s="148">
        <f>mod.RK1!O96</f>
        <v>1.1965441519377056E+20</v>
      </c>
      <c r="F96" s="147">
        <f>mod.RK1!Q96</f>
        <v>6.6293601334170272E+19</v>
      </c>
      <c r="G96" s="148">
        <f>mod.RK1!S96</f>
        <v>2.7848692626113819E+19</v>
      </c>
      <c r="H96" s="147">
        <f>mod.RK1!W96</f>
        <v>1.1815108275308755E+19</v>
      </c>
      <c r="I96" s="148">
        <f>mod.RK1!Y96</f>
        <v>1.2843116588169559E+22</v>
      </c>
      <c r="J96" s="149">
        <f>mod.O5!U96</f>
        <v>7.833333333333333</v>
      </c>
      <c r="K96" s="150">
        <f>mod.O5!AC96</f>
        <v>2.4501058632477688E+19</v>
      </c>
      <c r="L96" s="150">
        <f>mod.O5!AD96</f>
        <v>1.7641121031739998E+21</v>
      </c>
      <c r="M96" s="150">
        <f>mod.O5!AE96</f>
        <v>8.8568334652209837E+20</v>
      </c>
      <c r="N96" s="150">
        <f>mod.O5!AF96</f>
        <v>1.1965135609291743E+20</v>
      </c>
      <c r="O96" s="150">
        <f>mod.O5!AG96</f>
        <v>6.6270561734844867E+19</v>
      </c>
      <c r="P96" s="150">
        <f>mod.O5!AH96</f>
        <v>2.788207587987012E+19</v>
      </c>
      <c r="Q96" s="150">
        <f>mod.O5!AI96</f>
        <v>1.2071262870286868E+19</v>
      </c>
      <c r="R96" s="150">
        <f>mod.O5!AJ96</f>
        <v>1.2848040227897604E+22</v>
      </c>
      <c r="S96" s="153"/>
      <c r="T96" s="151">
        <f>mod.math.!Q96</f>
        <v>94</v>
      </c>
      <c r="U96" s="151">
        <f>mod.math.!R96</f>
        <v>7.833333333333333</v>
      </c>
      <c r="V96" s="151">
        <f>mod.math.!S96</f>
        <v>247032000</v>
      </c>
      <c r="W96" s="151">
        <f>mod.math.!T96</f>
        <v>9.1565871269568635E+18</v>
      </c>
      <c r="X96" s="151">
        <f>mod.math.!U96</f>
        <v>1.7618174459896424E+21</v>
      </c>
      <c r="Y96" s="151">
        <f>mod.math.!V96</f>
        <v>8.8535521115985281E+20</v>
      </c>
      <c r="Z96" s="151">
        <f>mod.math.!W96</f>
        <v>1.1962843899009004E+20</v>
      </c>
      <c r="AA96" s="151">
        <f>mod.math.!X96</f>
        <v>6.6268491366454624E+19</v>
      </c>
      <c r="AB96" s="151">
        <f>mod.math.!Y96</f>
        <v>2.7880408006049378E+19</v>
      </c>
      <c r="AC96" s="151">
        <f>mod.math.!Z96</f>
        <v>1.1885941804205576E+19</v>
      </c>
      <c r="AD96" s="151">
        <f>mod.math.!AA96</f>
        <v>1.2848039458666883E+22</v>
      </c>
      <c r="AF96" s="144">
        <f>dragon!L96</f>
        <v>0</v>
      </c>
      <c r="AG96" s="144">
        <f>dragon!M96</f>
        <v>0</v>
      </c>
      <c r="AH96" s="144">
        <f>dragon!N96</f>
        <v>0</v>
      </c>
      <c r="AI96" s="144">
        <f>dragon!O96</f>
        <v>0</v>
      </c>
      <c r="AJ96" s="144">
        <f>dragon!P96</f>
        <v>0</v>
      </c>
      <c r="AK96" s="144">
        <f>dragon!Q96</f>
        <v>0</v>
      </c>
      <c r="AL96" s="144">
        <f>dragon!S96</f>
        <v>0</v>
      </c>
      <c r="AM96" s="144">
        <f>dragon!R96</f>
        <v>0</v>
      </c>
      <c r="AN96" s="153"/>
      <c r="AO96" s="153"/>
      <c r="AP96" s="153"/>
      <c r="AQ96" s="153"/>
      <c r="AR96" s="153"/>
      <c r="AS96" s="153"/>
      <c r="AT96" s="153"/>
      <c r="AU96" s="153"/>
      <c r="AV96" s="153"/>
      <c r="AW96" s="153"/>
      <c r="AX96" s="153"/>
    </row>
    <row r="97" spans="1:50" ht="12.75" thickBot="1">
      <c r="A97" s="146">
        <f>mod.RK1!F97</f>
        <v>7.916666666666667</v>
      </c>
      <c r="B97" s="147">
        <f>mod.RK1!I97</f>
        <v>2.4485813803770864E+19</v>
      </c>
      <c r="C97" s="148">
        <f>mod.RK1!K97</f>
        <v>1.759284534072516E+21</v>
      </c>
      <c r="D97" s="147">
        <f>mod.RK1!M97</f>
        <v>8.8709741486995512E+20</v>
      </c>
      <c r="E97" s="148">
        <f>mod.RK1!O97</f>
        <v>1.1971120666645694E+20</v>
      </c>
      <c r="F97" s="147">
        <f>mod.RK1!Q97</f>
        <v>6.6389976331343995E+19</v>
      </c>
      <c r="G97" s="148">
        <f>mod.RK1!S97</f>
        <v>2.7822700411620192E+19</v>
      </c>
      <c r="H97" s="147">
        <f>mod.RK1!W97</f>
        <v>1.1566368246449453E+19</v>
      </c>
      <c r="I97" s="148">
        <f>mod.RK1!Y97</f>
        <v>1.2806475006650169E+22</v>
      </c>
      <c r="J97" s="149">
        <f>mod.O5!U97</f>
        <v>7.916666666666667</v>
      </c>
      <c r="K97" s="150">
        <f>mod.O5!AC97</f>
        <v>2.4454239865488421E+19</v>
      </c>
      <c r="L97" s="150">
        <f>mod.O5!AD97</f>
        <v>1.7595097698013972E+21</v>
      </c>
      <c r="M97" s="150">
        <f>mod.O5!AE97</f>
        <v>8.8604622833737413E+20</v>
      </c>
      <c r="N97" s="150">
        <f>mod.O5!AF97</f>
        <v>1.1970384601833198E+20</v>
      </c>
      <c r="O97" s="150">
        <f>mod.O5!AG97</f>
        <v>6.6366903315776627E+19</v>
      </c>
      <c r="P97" s="150">
        <f>mod.O5!AH97</f>
        <v>2.7855809661822476E+19</v>
      </c>
      <c r="Q97" s="150">
        <f>mod.O5!AI97</f>
        <v>1.1819734210617989E+19</v>
      </c>
      <c r="R97" s="150">
        <f>mod.O5!AJ97</f>
        <v>1.2811436838980552E+22</v>
      </c>
      <c r="S97" s="153"/>
      <c r="T97" s="151">
        <f>mod.math.!Q97</f>
        <v>95</v>
      </c>
      <c r="U97" s="151">
        <f>mod.math.!R97</f>
        <v>7.916666666666667</v>
      </c>
      <c r="V97" s="151">
        <f>mod.math.!S97</f>
        <v>249660000</v>
      </c>
      <c r="W97" s="151">
        <f>mod.math.!T97</f>
        <v>9.0604241377746821E+18</v>
      </c>
      <c r="X97" s="151">
        <f>mod.math.!U97</f>
        <v>1.7571921593151974E+21</v>
      </c>
      <c r="Y97" s="151">
        <f>mod.math.!V97</f>
        <v>8.8571107092945961E+20</v>
      </c>
      <c r="Z97" s="151">
        <f>mod.math.!W97</f>
        <v>1.1968026139234807E+20</v>
      </c>
      <c r="AA97" s="151">
        <f>mod.math.!X97</f>
        <v>6.6364747975539556E+19</v>
      </c>
      <c r="AB97" s="151">
        <f>mod.math.!Y97</f>
        <v>2.7854077911504904E+19</v>
      </c>
      <c r="AC97" s="151">
        <f>mod.math.!Z97</f>
        <v>1.1634164238387382E+19</v>
      </c>
      <c r="AD97" s="151">
        <f>mod.math.!AA97</f>
        <v>1.2811436061748252E+22</v>
      </c>
      <c r="AF97" s="144">
        <f>dragon!L97</f>
        <v>0</v>
      </c>
      <c r="AG97" s="144">
        <f>dragon!M97</f>
        <v>0</v>
      </c>
      <c r="AH97" s="144">
        <f>dragon!N97</f>
        <v>0</v>
      </c>
      <c r="AI97" s="144">
        <f>dragon!O97</f>
        <v>0</v>
      </c>
      <c r="AJ97" s="144">
        <f>dragon!P97</f>
        <v>0</v>
      </c>
      <c r="AK97" s="144">
        <f>dragon!Q97</f>
        <v>0</v>
      </c>
      <c r="AL97" s="144">
        <f>dragon!S97</f>
        <v>0</v>
      </c>
      <c r="AM97" s="144">
        <f>dragon!R97</f>
        <v>0</v>
      </c>
      <c r="AN97" s="153"/>
      <c r="AO97" s="153"/>
      <c r="AP97" s="153"/>
      <c r="AQ97" s="153"/>
      <c r="AR97" s="153"/>
      <c r="AS97" s="153"/>
      <c r="AT97" s="153"/>
      <c r="AU97" s="153"/>
      <c r="AV97" s="153"/>
      <c r="AW97" s="153"/>
      <c r="AX97" s="153"/>
    </row>
    <row r="98" spans="1:50" ht="12.75" thickBot="1">
      <c r="A98" s="146">
        <f>mod.RK1!F98</f>
        <v>8</v>
      </c>
      <c r="B98" s="147">
        <f>mod.RK1!I98</f>
        <v>2.4436573275239539E+19</v>
      </c>
      <c r="C98" s="148">
        <f>mod.RK1!K98</f>
        <v>1.754677318856991E+21</v>
      </c>
      <c r="D98" s="147">
        <f>mod.RK1!M98</f>
        <v>8.8743999893301625E+20</v>
      </c>
      <c r="E98" s="148">
        <f>mod.RK1!O98</f>
        <v>1.1976779220980281E+20</v>
      </c>
      <c r="F98" s="147">
        <f>mod.RK1!Q98</f>
        <v>6.6485873717232787E+19</v>
      </c>
      <c r="G98" s="148">
        <f>mod.RK1!S98</f>
        <v>2.779741177054566E+19</v>
      </c>
      <c r="H98" s="147">
        <f>mod.RK1!W98</f>
        <v>1.1322942786383188E+19</v>
      </c>
      <c r="I98" s="148">
        <f>mod.RK1!Y98</f>
        <v>1.2769937964091541E+22</v>
      </c>
      <c r="J98" s="149">
        <f>mod.O5!U98</f>
        <v>8</v>
      </c>
      <c r="K98" s="150">
        <f>mod.O5!AC98</f>
        <v>2.4406751851003613E+19</v>
      </c>
      <c r="L98" s="150">
        <f>mod.O5!AD98</f>
        <v>1.7549121941248811E+21</v>
      </c>
      <c r="M98" s="150">
        <f>mod.O5!AE98</f>
        <v>8.8638708840014453E+20</v>
      </c>
      <c r="N98" s="150">
        <f>mod.O5!AF98</f>
        <v>1.1975620569801028E+20</v>
      </c>
      <c r="O98" s="150">
        <f>mod.O5!AG98</f>
        <v>6.6462751966496096E+19</v>
      </c>
      <c r="P98" s="150">
        <f>mod.O5!AH98</f>
        <v>2.7830228830117704E+19</v>
      </c>
      <c r="Q98" s="150">
        <f>mod.O5!AI98</f>
        <v>1.1573521868327852E+19</v>
      </c>
      <c r="R98" s="150">
        <f>mod.O5!AJ98</f>
        <v>1.277493773122725E+22</v>
      </c>
      <c r="S98" s="153"/>
      <c r="T98" s="151">
        <f>mod.math.!Q98</f>
        <v>96</v>
      </c>
      <c r="U98" s="151">
        <f>mod.math.!R98</f>
        <v>8</v>
      </c>
      <c r="V98" s="151">
        <f>mod.math.!S98</f>
        <v>252288000</v>
      </c>
      <c r="W98" s="151">
        <f>mod.math.!T98</f>
        <v>8.9646848546807706E+18</v>
      </c>
      <c r="X98" s="151">
        <f>mod.math.!U98</f>
        <v>1.7525718672749463E+21</v>
      </c>
      <c r="Y98" s="151">
        <f>mod.math.!V98</f>
        <v>8.8604486940335355E+20</v>
      </c>
      <c r="Z98" s="151">
        <f>mod.math.!W98</f>
        <v>1.1973194740857641E+20</v>
      </c>
      <c r="AA98" s="151">
        <f>mod.math.!X98</f>
        <v>6.6460508921175769E+19</v>
      </c>
      <c r="AB98" s="151">
        <f>mod.math.!Y98</f>
        <v>2.7828431020384694E+19</v>
      </c>
      <c r="AC98" s="151">
        <f>mod.math.!Z98</f>
        <v>1.1387720027190438E+19</v>
      </c>
      <c r="AD98" s="151">
        <f>mod.math.!AA98</f>
        <v>1.2774936946005777E+22</v>
      </c>
      <c r="AF98" s="144">
        <f>dragon!L98</f>
        <v>0</v>
      </c>
      <c r="AG98" s="144">
        <f>dragon!M98</f>
        <v>0</v>
      </c>
      <c r="AH98" s="144">
        <f>dragon!N98</f>
        <v>0</v>
      </c>
      <c r="AI98" s="144">
        <f>dragon!O98</f>
        <v>0</v>
      </c>
      <c r="AJ98" s="144">
        <f>dragon!P98</f>
        <v>0</v>
      </c>
      <c r="AK98" s="144">
        <f>dragon!Q98</f>
        <v>0</v>
      </c>
      <c r="AL98" s="144">
        <f>dragon!S98</f>
        <v>0</v>
      </c>
      <c r="AM98" s="144">
        <f>dragon!R98</f>
        <v>0</v>
      </c>
      <c r="AN98" s="153"/>
      <c r="AO98" s="153"/>
      <c r="AP98" s="153"/>
      <c r="AQ98" s="153"/>
      <c r="AR98" s="153"/>
      <c r="AS98" s="153"/>
      <c r="AT98" s="153"/>
      <c r="AU98" s="153"/>
      <c r="AV98" s="153"/>
      <c r="AW98" s="153"/>
      <c r="AX98" s="153"/>
    </row>
    <row r="99" spans="1:50" ht="12.75" thickBot="1">
      <c r="A99" s="146">
        <f>mod.RK1!F99</f>
        <v>8.0833333333333339</v>
      </c>
      <c r="B99" s="147">
        <f>mod.RK1!I99</f>
        <v>2.4386730216135143E+19</v>
      </c>
      <c r="C99" s="148">
        <f>mod.RK1!K99</f>
        <v>1.7500750312108736E+21</v>
      </c>
      <c r="D99" s="147">
        <f>mod.RK1!M99</f>
        <v>8.877606045164157E+20</v>
      </c>
      <c r="E99" s="148">
        <f>mod.RK1!O99</f>
        <v>1.1982408602981915E+20</v>
      </c>
      <c r="F99" s="147">
        <f>mod.RK1!Q99</f>
        <v>6.6581297368758993E+19</v>
      </c>
      <c r="G99" s="148">
        <f>mod.RK1!S99</f>
        <v>2.7772813026439754E+19</v>
      </c>
      <c r="H99" s="147">
        <f>mod.RK1!W99</f>
        <v>1.1084718119623242E+19</v>
      </c>
      <c r="I99" s="148">
        <f>mod.RK1!Y99</f>
        <v>1.2733505162242477E+22</v>
      </c>
      <c r="J99" s="149">
        <f>mod.O5!U99</f>
        <v>8.0833333333333339</v>
      </c>
      <c r="K99" s="150">
        <f>mod.O5!AC99</f>
        <v>2.4358635898320036E+19</v>
      </c>
      <c r="L99" s="150">
        <f>mod.O5!AD99</f>
        <v>1.7503195224924543E+21</v>
      </c>
      <c r="M99" s="150">
        <f>mod.O5!AE99</f>
        <v>8.8670612131716216E+20</v>
      </c>
      <c r="N99" s="150">
        <f>mod.O5!AF99</f>
        <v>1.1980835963261544E+20</v>
      </c>
      <c r="O99" s="150">
        <f>mod.O5!AG99</f>
        <v>6.6558110097062633E+19</v>
      </c>
      <c r="P99" s="150">
        <f>mod.O5!AH99</f>
        <v>2.780531784469479E+19</v>
      </c>
      <c r="Q99" s="150">
        <f>mod.O5!AI99</f>
        <v>1.1332516464059711E+19</v>
      </c>
      <c r="R99" s="150">
        <f>mod.O5!AJ99</f>
        <v>1.2738542607562405E+22</v>
      </c>
      <c r="S99" s="153"/>
      <c r="T99" s="151">
        <f>mod.math.!Q99</f>
        <v>97</v>
      </c>
      <c r="U99" s="151">
        <f>mod.math.!R99</f>
        <v>8.0833333333333339</v>
      </c>
      <c r="V99" s="151">
        <f>mod.math.!S99</f>
        <v>254916000</v>
      </c>
      <c r="W99" s="151">
        <f>mod.math.!T99</f>
        <v>8.8693869153178419E+18</v>
      </c>
      <c r="X99" s="151">
        <f>mod.math.!U99</f>
        <v>1.7479567197360617E+21</v>
      </c>
      <c r="Y99" s="151">
        <f>mod.math.!V99</f>
        <v>8.8635680148221329E+20</v>
      </c>
      <c r="Z99" s="151">
        <f>mod.math.!W99</f>
        <v>1.197834113171087E+20</v>
      </c>
      <c r="AA99" s="151">
        <f>mod.math.!X99</f>
        <v>6.6555778240733872E+19</v>
      </c>
      <c r="AB99" s="151">
        <f>mod.math.!Y99</f>
        <v>2.7803454253844066E+19</v>
      </c>
      <c r="AC99" s="151">
        <f>mod.math.!Z99</f>
        <v>1.1146496195213521E+19</v>
      </c>
      <c r="AD99" s="151">
        <f>mod.math.!AA99</f>
        <v>1.2738541814347798E+22</v>
      </c>
      <c r="AF99" s="144">
        <f>dragon!L99</f>
        <v>0</v>
      </c>
      <c r="AG99" s="144">
        <f>dragon!M99</f>
        <v>0</v>
      </c>
      <c r="AH99" s="144">
        <f>dragon!N99</f>
        <v>0</v>
      </c>
      <c r="AI99" s="144">
        <f>dragon!O99</f>
        <v>0</v>
      </c>
      <c r="AJ99" s="144">
        <f>dragon!P99</f>
        <v>0</v>
      </c>
      <c r="AK99" s="144">
        <f>dragon!Q99</f>
        <v>0</v>
      </c>
      <c r="AL99" s="144">
        <f>dragon!S99</f>
        <v>0</v>
      </c>
      <c r="AM99" s="144">
        <f>dragon!R99</f>
        <v>0</v>
      </c>
      <c r="AN99" s="153"/>
      <c r="AO99" s="153"/>
      <c r="AP99" s="153"/>
      <c r="AQ99" s="153"/>
      <c r="AR99" s="153"/>
      <c r="AS99" s="153"/>
      <c r="AT99" s="153"/>
      <c r="AU99" s="153"/>
      <c r="AV99" s="153"/>
      <c r="AW99" s="153"/>
      <c r="AX99" s="153"/>
    </row>
    <row r="100" spans="1:50" ht="12.75" thickBot="1">
      <c r="A100" s="146">
        <f>mod.RK1!F100</f>
        <v>8.1666666666666661</v>
      </c>
      <c r="B100" s="147">
        <f>mod.RK1!I100</f>
        <v>2.4336326653267583E+19</v>
      </c>
      <c r="C100" s="148">
        <f>mod.RK1!K100</f>
        <v>1.7454778194260103E+21</v>
      </c>
      <c r="D100" s="147">
        <f>mod.RK1!M100</f>
        <v>8.8805942604199848E+20</v>
      </c>
      <c r="E100" s="148">
        <f>mod.RK1!O100</f>
        <v>1.1988000574132539E+20</v>
      </c>
      <c r="F100" s="147">
        <f>mod.RK1!Q100</f>
        <v>6.667625075729811E+19</v>
      </c>
      <c r="G100" s="148">
        <f>mod.RK1!S100</f>
        <v>2.7748890406616875E+19</v>
      </c>
      <c r="H100" s="147">
        <f>mod.RK1!W100</f>
        <v>1.0851582907022963E+19</v>
      </c>
      <c r="I100" s="148">
        <f>mod.RK1!Y100</f>
        <v>1.2697176303702702E+22</v>
      </c>
      <c r="J100" s="149">
        <f>mod.O5!U100</f>
        <v>8.1666666666666661</v>
      </c>
      <c r="K100" s="150">
        <f>mod.O5!AC100</f>
        <v>2.4309934778589184E+19</v>
      </c>
      <c r="L100" s="150">
        <f>mod.O5!AD100</f>
        <v>1.7457319036800826E+21</v>
      </c>
      <c r="M100" s="150">
        <f>mod.O5!AE100</f>
        <v>8.8700351902331686E+20</v>
      </c>
      <c r="N100" s="150">
        <f>mod.O5!AF100</f>
        <v>1.1986021761302816E+20</v>
      </c>
      <c r="O100" s="150">
        <f>mod.O5!AG100</f>
        <v>6.6652982606448599E+19</v>
      </c>
      <c r="P100" s="150">
        <f>mod.O5!AH100</f>
        <v>2.7781065390016774E+19</v>
      </c>
      <c r="Q100" s="150">
        <f>mod.O5!AI100</f>
        <v>1.1096605349643246E+19</v>
      </c>
      <c r="R100" s="150">
        <f>mod.O5!AJ100</f>
        <v>1.2702251171728662E+22</v>
      </c>
      <c r="S100" s="153"/>
      <c r="T100" s="151">
        <f>mod.math.!Q100</f>
        <v>98</v>
      </c>
      <c r="U100" s="151">
        <f>mod.math.!R100</f>
        <v>8.1666666666666661</v>
      </c>
      <c r="V100" s="151">
        <f>mod.math.!S100</f>
        <v>257544000</v>
      </c>
      <c r="W100" s="151">
        <f>mod.math.!T100</f>
        <v>8.7745471447070269E+18</v>
      </c>
      <c r="X100" s="151">
        <f>mod.math.!U100</f>
        <v>1.7433468629452768E+21</v>
      </c>
      <c r="Y100" s="151">
        <f>mod.math.!V100</f>
        <v>8.8664706114821476E+20</v>
      </c>
      <c r="Z100" s="151">
        <f>mod.math.!W100</f>
        <v>1.1983457074818694E+20</v>
      </c>
      <c r="AA100" s="151">
        <f>mod.math.!X100</f>
        <v>6.6650559574629319E+19</v>
      </c>
      <c r="AB100" s="151">
        <f>mod.math.!Y100</f>
        <v>2.7779134433905164E+19</v>
      </c>
      <c r="AC100" s="151">
        <f>mod.math.!Z100</f>
        <v>1.0910382160191103E+19</v>
      </c>
      <c r="AD100" s="151">
        <f>mod.math.!AA100</f>
        <v>1.2702250370529061E+22</v>
      </c>
      <c r="AF100" s="144">
        <f>dragon!L100</f>
        <v>0</v>
      </c>
      <c r="AG100" s="144">
        <f>dragon!M100</f>
        <v>0</v>
      </c>
      <c r="AH100" s="144">
        <f>dragon!N100</f>
        <v>0</v>
      </c>
      <c r="AI100" s="144">
        <f>dragon!O100</f>
        <v>0</v>
      </c>
      <c r="AJ100" s="144">
        <f>dragon!P100</f>
        <v>0</v>
      </c>
      <c r="AK100" s="144">
        <f>dragon!Q100</f>
        <v>0</v>
      </c>
      <c r="AL100" s="144">
        <f>dragon!S100</f>
        <v>0</v>
      </c>
      <c r="AM100" s="144">
        <f>dragon!R100</f>
        <v>0</v>
      </c>
      <c r="AN100" s="153"/>
      <c r="AO100" s="153"/>
      <c r="AP100" s="153"/>
      <c r="AQ100" s="153"/>
      <c r="AR100" s="153"/>
      <c r="AS100" s="153"/>
      <c r="AT100" s="153"/>
      <c r="AU100" s="153"/>
      <c r="AV100" s="153"/>
      <c r="AW100" s="153"/>
      <c r="AX100" s="153"/>
    </row>
    <row r="101" spans="1:50" ht="12.75" thickBot="1">
      <c r="A101" s="146">
        <f>mod.RK1!F101</f>
        <v>8.25</v>
      </c>
      <c r="B101" s="147">
        <f>mod.RK1!I101</f>
        <v>2.428540324010972E+19</v>
      </c>
      <c r="C101" s="148">
        <f>mod.RK1!K101</f>
        <v>1.7408858282798489E+21</v>
      </c>
      <c r="D101" s="147">
        <f>mod.RK1!M101</f>
        <v>8.8833665701427583E+20</v>
      </c>
      <c r="E101" s="148">
        <f>mod.RK1!O101</f>
        <v>1.1993547226094513E+20</v>
      </c>
      <c r="F101" s="147">
        <f>mod.RK1!Q101</f>
        <v>6.6770736965165449E+19</v>
      </c>
      <c r="G101" s="148">
        <f>mod.RK1!S101</f>
        <v>2.7725630057658622E+19</v>
      </c>
      <c r="H101" s="147">
        <f>mod.RK1!W101</f>
        <v>1.0623428193604219E+19</v>
      </c>
      <c r="I101" s="148">
        <f>mod.RK1!Y101</f>
        <v>1.2660951091920421E+22</v>
      </c>
      <c r="J101" s="149">
        <f>mod.O5!U101</f>
        <v>8.25</v>
      </c>
      <c r="K101" s="150">
        <f>mod.O5!AC101</f>
        <v>2.4260688723264397E+19</v>
      </c>
      <c r="L101" s="150">
        <f>mod.O5!AD101</f>
        <v>1.7411494804960929E+21</v>
      </c>
      <c r="M101" s="150">
        <f>mod.O5!AE101</f>
        <v>8.8727947329029656E+20</v>
      </c>
      <c r="N101" s="150">
        <f>mod.O5!AF101</f>
        <v>1.1991170041050869E+20</v>
      </c>
      <c r="O101" s="150">
        <f>mod.O5!AG101</f>
        <v>6.6747372776208253E+19</v>
      </c>
      <c r="P101" s="150">
        <f>mod.O5!AH101</f>
        <v>2.7757458209656992E+19</v>
      </c>
      <c r="Q101" s="150">
        <f>mod.O5!AI101</f>
        <v>1.0865680625072339E+19</v>
      </c>
      <c r="R101" s="150">
        <f>mod.O5!AJ101</f>
        <v>1.2666063128324697E+22</v>
      </c>
      <c r="S101" s="153"/>
      <c r="T101" s="151">
        <f>mod.math.!Q101</f>
        <v>99</v>
      </c>
      <c r="U101" s="151">
        <f>mod.math.!R101</f>
        <v>8.25</v>
      </c>
      <c r="V101" s="151">
        <f>mod.math.!S101</f>
        <v>260172000</v>
      </c>
      <c r="W101" s="151">
        <f>mod.math.!T101</f>
        <v>8.6801815797033759E+18</v>
      </c>
      <c r="X101" s="151">
        <f>mod.math.!U101</f>
        <v>1.7387424395995833E+21</v>
      </c>
      <c r="Y101" s="151">
        <f>mod.math.!V101</f>
        <v>8.8691584145733491E+20</v>
      </c>
      <c r="Z101" s="151">
        <f>mod.math.!W101</f>
        <v>1.1988534658020621E+20</v>
      </c>
      <c r="AA101" s="151">
        <f>mod.math.!X101</f>
        <v>6.6744856182258336E+19</v>
      </c>
      <c r="AB101" s="151">
        <f>mod.math.!Y101</f>
        <v>2.7755458298434707E+19</v>
      </c>
      <c r="AC101" s="151">
        <f>mod.math.!Z101</f>
        <v>1.0679269682300021E+19</v>
      </c>
      <c r="AD101" s="151">
        <f>mod.math.!AA101</f>
        <v>1.2666062319148302E+22</v>
      </c>
      <c r="AF101" s="144">
        <f>dragon!L101</f>
        <v>0</v>
      </c>
      <c r="AG101" s="144">
        <f>dragon!M101</f>
        <v>0</v>
      </c>
      <c r="AH101" s="144">
        <f>dragon!N101</f>
        <v>0</v>
      </c>
      <c r="AI101" s="144">
        <f>dragon!O101</f>
        <v>0</v>
      </c>
      <c r="AJ101" s="144">
        <f>dragon!P101</f>
        <v>0</v>
      </c>
      <c r="AK101" s="144">
        <f>dragon!Q101</f>
        <v>0</v>
      </c>
      <c r="AL101" s="144">
        <f>dragon!S101</f>
        <v>0</v>
      </c>
      <c r="AM101" s="144">
        <f>dragon!R101</f>
        <v>0</v>
      </c>
      <c r="AN101" s="153"/>
      <c r="AO101" s="153"/>
      <c r="AP101" s="153"/>
      <c r="AQ101" s="153"/>
      <c r="AR101" s="153"/>
      <c r="AS101" s="153"/>
      <c r="AT101" s="153"/>
      <c r="AU101" s="153"/>
      <c r="AV101" s="153"/>
      <c r="AW101" s="153"/>
      <c r="AX101" s="153"/>
    </row>
    <row r="102" spans="1:50" ht="12.75" thickBot="1">
      <c r="A102" s="146">
        <f>mod.RK1!F102</f>
        <v>8.3333333333333339</v>
      </c>
      <c r="B102" s="147">
        <f>mod.RK1!I102</f>
        <v>2.4233999289980363E+19</v>
      </c>
      <c r="C102" s="148">
        <f>mod.RK1!K102</f>
        <v>1.7362991991021191E+21</v>
      </c>
      <c r="D102" s="147">
        <f>mod.RK1!M102</f>
        <v>8.8859249001298133E+20</v>
      </c>
      <c r="E102" s="148">
        <f>mod.RK1!O102</f>
        <v>1.199904097033102E+20</v>
      </c>
      <c r="F102" s="147">
        <f>mod.RK1!Q102</f>
        <v>6.6864758701585801E+19</v>
      </c>
      <c r="G102" s="148">
        <f>mod.RK1!S102</f>
        <v>2.7703018060201603E+19</v>
      </c>
      <c r="H102" s="147">
        <f>mod.RK1!W102</f>
        <v>1.0400147357503033E+19</v>
      </c>
      <c r="I102" s="148">
        <f>mod.RK1!Y102</f>
        <v>1.2624829231189912E+22</v>
      </c>
      <c r="J102" s="149">
        <f>mod.O5!U102</f>
        <v>8.3333333333333339</v>
      </c>
      <c r="K102" s="150">
        <f>mod.O5!AC102</f>
        <v>2.421093665938781E+19</v>
      </c>
      <c r="L102" s="150">
        <f>mod.O5!AD102</f>
        <v>1.7365723923764079E+21</v>
      </c>
      <c r="M102" s="150">
        <f>mod.O5!AE102</f>
        <v>8.8753417496631955E+20</v>
      </c>
      <c r="N102" s="150">
        <f>mod.O5!AF102</f>
        <v>1.1996273193499722E+20</v>
      </c>
      <c r="O102" s="150">
        <f>mod.O5!AG102</f>
        <v>6.6841283522829304E+19</v>
      </c>
      <c r="P102" s="150">
        <f>mod.O5!AH102</f>
        <v>2.7734482978298253E+19</v>
      </c>
      <c r="Q102" s="150">
        <f>mod.O5!AI102</f>
        <v>1.0639636673950966E+19</v>
      </c>
      <c r="R102" s="150">
        <f>mod.O5!AJ102</f>
        <v>1.2629978182790756E+22</v>
      </c>
      <c r="S102" s="153"/>
      <c r="T102" s="151">
        <f>mod.math.!Q102</f>
        <v>100</v>
      </c>
      <c r="U102" s="151">
        <f>mod.math.!R102</f>
        <v>8.3333333333333339</v>
      </c>
      <c r="V102" s="151">
        <f>mod.math.!S102</f>
        <v>262800000</v>
      </c>
      <c r="W102" s="151">
        <f>mod.math.!T102</f>
        <v>8.5863054928138015E+18</v>
      </c>
      <c r="X102" s="151">
        <f>mod.math.!U102</f>
        <v>1.7341435889156235E+21</v>
      </c>
      <c r="Y102" s="151">
        <f>mod.math.!V102</f>
        <v>8.8716333453200314E+20</v>
      </c>
      <c r="Z102" s="151">
        <f>mod.math.!W102</f>
        <v>1.1993566283902329E+20</v>
      </c>
      <c r="AA102" s="151">
        <f>mod.math.!X102</f>
        <v>6.6838670957444071E+19</v>
      </c>
      <c r="AB102" s="151">
        <f>mod.math.!Y102</f>
        <v>2.7732412515442426E+19</v>
      </c>
      <c r="AC102" s="151">
        <f>mod.math.!Z102</f>
        <v>1.0453052814539979E+19</v>
      </c>
      <c r="AD102" s="151">
        <f>mod.math.!AA102</f>
        <v>1.2629977365645835E+22</v>
      </c>
      <c r="AE102" s="153"/>
      <c r="AF102" s="144">
        <f>dragon!L102</f>
        <v>0</v>
      </c>
      <c r="AG102" s="144">
        <f>dragon!M102</f>
        <v>0</v>
      </c>
      <c r="AH102" s="144">
        <f>dragon!N102</f>
        <v>0</v>
      </c>
      <c r="AI102" s="144">
        <f>dragon!O102</f>
        <v>0</v>
      </c>
      <c r="AJ102" s="144">
        <f>dragon!P102</f>
        <v>0</v>
      </c>
      <c r="AK102" s="144">
        <f>dragon!Q102</f>
        <v>0</v>
      </c>
      <c r="AL102" s="144">
        <f>dragon!S102</f>
        <v>0</v>
      </c>
      <c r="AM102" s="144">
        <f>dragon!R102</f>
        <v>0</v>
      </c>
      <c r="AN102" s="153"/>
      <c r="AO102" s="153"/>
      <c r="AP102" s="153"/>
      <c r="AQ102" s="153"/>
      <c r="AR102" s="153"/>
      <c r="AS102" s="153"/>
      <c r="AT102" s="153"/>
      <c r="AU102" s="153"/>
      <c r="AV102" s="153"/>
      <c r="AW102" s="153"/>
      <c r="AX102" s="153"/>
    </row>
    <row r="103" spans="1:50" ht="12.75" thickBot="1">
      <c r="A103" s="146">
        <f>mod.RK1!F103</f>
        <v>8.4166666666666661</v>
      </c>
      <c r="B103" s="147">
        <f>mod.RK1!I103</f>
        <v>2.4182152808596365E+19</v>
      </c>
      <c r="C103" s="148">
        <f>mod.RK1!K103</f>
        <v>1.7317180698403136E+21</v>
      </c>
      <c r="D103" s="147">
        <f>mod.RK1!M103</f>
        <v>8.8882711668596421E+20</v>
      </c>
      <c r="E103" s="148">
        <f>mod.RK1!O103</f>
        <v>1.2004474528037685E+20</v>
      </c>
      <c r="F103" s="147">
        <f>mod.RK1!Q103</f>
        <v>6.6958318318161256E+19</v>
      </c>
      <c r="G103" s="148">
        <f>mod.RK1!S103</f>
        <v>2.7681040443036725E+19</v>
      </c>
      <c r="H103" s="147">
        <f>mod.RK1!W103</f>
        <v>1.0181636060008462E+19</v>
      </c>
      <c r="I103" s="148">
        <f>mod.RK1!Y103</f>
        <v>1.2588810426649101E+22</v>
      </c>
      <c r="J103" s="149">
        <f>mod.O5!U103</f>
        <v>8.4166666666666661</v>
      </c>
      <c r="K103" s="150">
        <f>mod.O5!AC103</f>
        <v>2.4160716242524951E+19</v>
      </c>
      <c r="L103" s="150">
        <f>mod.O5!AD103</f>
        <v>1.7320007754510544E+21</v>
      </c>
      <c r="M103" s="150">
        <f>mod.O5!AE103</f>
        <v>8.8776781396865883E+20</v>
      </c>
      <c r="N103" s="150">
        <f>mod.O5!AF103</f>
        <v>1.2001323912992332E+20</v>
      </c>
      <c r="O103" s="150">
        <f>mod.O5!AG103</f>
        <v>6.6934717413913403E+19</v>
      </c>
      <c r="P103" s="150">
        <f>mod.O5!AH103</f>
        <v>2.7712126317054501E+19</v>
      </c>
      <c r="Q103" s="150">
        <f>mod.O5!AI103</f>
        <v>1.041837011240414E+19</v>
      </c>
      <c r="R103" s="150">
        <f>mod.O5!AJ103</f>
        <v>1.2593996041406235E+22</v>
      </c>
      <c r="S103" s="153"/>
      <c r="T103" s="151">
        <f>mod.math.!Q103</f>
        <v>101</v>
      </c>
      <c r="U103" s="151">
        <f>mod.math.!R103</f>
        <v>8.4166666666666661</v>
      </c>
      <c r="V103" s="151">
        <f>mod.math.!S103</f>
        <v>265428000</v>
      </c>
      <c r="W103" s="151">
        <f>mod.math.!T103</f>
        <v>8.492933415393022E+18</v>
      </c>
      <c r="X103" s="151">
        <f>mod.math.!U103</f>
        <v>1.7295504466977937E+21</v>
      </c>
      <c r="Y103" s="151">
        <f>mod.math.!V103</f>
        <v>8.8738973155409841E+20</v>
      </c>
      <c r="Z103" s="151">
        <f>mod.math.!W103</f>
        <v>1.1998544660023974E+20</v>
      </c>
      <c r="AA103" s="151">
        <f>mod.math.!X103</f>
        <v>6.6932006443399676E+19</v>
      </c>
      <c r="AB103" s="151">
        <f>mod.math.!Y103</f>
        <v>2.7709983696724394E+19</v>
      </c>
      <c r="AC103" s="151">
        <f>mod.math.!Z103</f>
        <v>1.0231627854165137E+19</v>
      </c>
      <c r="AD103" s="151">
        <f>mod.math.!AA103</f>
        <v>1.2593995216301161E+22</v>
      </c>
      <c r="AE103" s="153"/>
      <c r="AF103" s="144">
        <f>dragon!L103</f>
        <v>0</v>
      </c>
      <c r="AG103" s="144">
        <f>dragon!M103</f>
        <v>0</v>
      </c>
      <c r="AH103" s="144">
        <f>dragon!N103</f>
        <v>0</v>
      </c>
      <c r="AI103" s="144">
        <f>dragon!O103</f>
        <v>0</v>
      </c>
      <c r="AJ103" s="144">
        <f>dragon!P103</f>
        <v>0</v>
      </c>
      <c r="AK103" s="144">
        <f>dragon!Q103</f>
        <v>0</v>
      </c>
      <c r="AL103" s="144">
        <f>dragon!S103</f>
        <v>0</v>
      </c>
      <c r="AM103" s="144">
        <f>dragon!R103</f>
        <v>0</v>
      </c>
      <c r="AN103" s="153"/>
      <c r="AO103" s="153"/>
      <c r="AP103" s="153"/>
      <c r="AQ103" s="153"/>
      <c r="AR103" s="153"/>
      <c r="AS103" s="153"/>
      <c r="AT103" s="153"/>
      <c r="AU103" s="153"/>
      <c r="AV103" s="153"/>
      <c r="AW103" s="153"/>
      <c r="AX103" s="153"/>
    </row>
    <row r="104" spans="1:50" ht="12.75" thickBot="1">
      <c r="A104" s="146">
        <f>mod.RK1!F104</f>
        <v>8.5</v>
      </c>
      <c r="B104" s="147">
        <f>mod.RK1!I104</f>
        <v>2.4129900526002029E+19</v>
      </c>
      <c r="C104" s="148">
        <f>mod.RK1!K104</f>
        <v>1.7271425751239914E+21</v>
      </c>
      <c r="D104" s="147">
        <f>mod.RK1!M104</f>
        <v>8.8904072774241367E+20</v>
      </c>
      <c r="E104" s="148">
        <f>mod.RK1!O104</f>
        <v>1.2009840920376164E+20</v>
      </c>
      <c r="F104" s="147">
        <f>mod.RK1!Q104</f>
        <v>6.7051417823851897E+19</v>
      </c>
      <c r="G104" s="148">
        <f>mod.RK1!S104</f>
        <v>2.7659683196545044E+19</v>
      </c>
      <c r="H104" s="147">
        <f>mod.RK1!W104</f>
        <v>9.9677921966713221E+18</v>
      </c>
      <c r="I104" s="148">
        <f>mod.RK1!Y104</f>
        <v>1.2552894384277165E+22</v>
      </c>
      <c r="J104" s="149">
        <f>mod.O5!U104</f>
        <v>8.5</v>
      </c>
      <c r="K104" s="150">
        <f>mod.O5!AC104</f>
        <v>2.4110063889699303E+19</v>
      </c>
      <c r="L104" s="150">
        <f>mod.O5!AD104</f>
        <v>1.7274347626106729E+21</v>
      </c>
      <c r="M104" s="150">
        <f>mod.O5!AE104</f>
        <v>8.8798057927616496E+20</v>
      </c>
      <c r="N104" s="150">
        <f>mod.O5!AF104</f>
        <v>1.2006315186701541E+20</v>
      </c>
      <c r="O104" s="150">
        <f>mod.O5!AG104</f>
        <v>6.702767668435642E+19</v>
      </c>
      <c r="P104" s="150">
        <f>mod.O5!AH104</f>
        <v>2.7690374808792449E+19</v>
      </c>
      <c r="Q104" s="150">
        <f>mod.O5!AI104</f>
        <v>1.0201779737988913E+19</v>
      </c>
      <c r="R104" s="150">
        <f>mod.O5!AJ104</f>
        <v>1.2558116411287271E+22</v>
      </c>
      <c r="S104" s="153"/>
      <c r="T104" s="151">
        <f>mod.math.!Q104</f>
        <v>102</v>
      </c>
      <c r="U104" s="151">
        <f>mod.math.!R104</f>
        <v>8.5</v>
      </c>
      <c r="V104" s="151">
        <f>mod.math.!S104</f>
        <v>268056000</v>
      </c>
      <c r="W104" s="151">
        <f>mod.math.!T104</f>
        <v>8.4000791602326098E+18</v>
      </c>
      <c r="X104" s="151">
        <f>mod.math.!U104</f>
        <v>1.7249631454050892E+21</v>
      </c>
      <c r="Y104" s="151">
        <f>mod.math.!V104</f>
        <v>8.8759522275828328E+20</v>
      </c>
      <c r="Z104" s="151">
        <f>mod.math.!W104</f>
        <v>1.2003462789437132E+20</v>
      </c>
      <c r="AA104" s="151">
        <f>mod.math.!X104</f>
        <v>6.7024864847227978E+19</v>
      </c>
      <c r="AB104" s="151">
        <f>mod.math.!Y104</f>
        <v>2.7688158410874962E+19</v>
      </c>
      <c r="AC104" s="151">
        <f>mod.math.!Z104</f>
        <v>1.0014893295144511E+19</v>
      </c>
      <c r="AD104" s="151">
        <f>mod.math.!AA104</f>
        <v>1.2558115578230574E+22</v>
      </c>
      <c r="AE104" s="153"/>
      <c r="AF104" s="144">
        <f>dragon!L104</f>
        <v>0</v>
      </c>
      <c r="AG104" s="144">
        <f>dragon!M104</f>
        <v>0</v>
      </c>
      <c r="AH104" s="144">
        <f>dragon!N104</f>
        <v>0</v>
      </c>
      <c r="AI104" s="144">
        <f>dragon!O104</f>
        <v>0</v>
      </c>
      <c r="AJ104" s="144">
        <f>dragon!P104</f>
        <v>0</v>
      </c>
      <c r="AK104" s="144">
        <f>dragon!Q104</f>
        <v>0</v>
      </c>
      <c r="AL104" s="144">
        <f>dragon!S104</f>
        <v>0</v>
      </c>
      <c r="AM104" s="144">
        <f>dragon!R104</f>
        <v>0</v>
      </c>
      <c r="AN104" s="153"/>
      <c r="AO104" s="153"/>
      <c r="AP104" s="153"/>
      <c r="AQ104" s="153"/>
      <c r="AR104" s="153"/>
      <c r="AS104" s="153"/>
      <c r="AT104" s="153"/>
      <c r="AU104" s="153"/>
      <c r="AV104" s="153"/>
      <c r="AW104" s="153"/>
      <c r="AX104" s="153"/>
    </row>
    <row r="105" spans="1:50" ht="12.75" thickBot="1">
      <c r="A105" s="146">
        <f>mod.RK1!F105</f>
        <v>8.5833333333333339</v>
      </c>
      <c r="B105" s="147">
        <f>mod.RK1!I105</f>
        <v>2.4077277927883907E+19</v>
      </c>
      <c r="C105" s="148">
        <f>mod.RK1!K105</f>
        <v>1.7225728463279222E+21</v>
      </c>
      <c r="D105" s="147">
        <f>mod.RK1!M105</f>
        <v>8.8923351294640469E+20</v>
      </c>
      <c r="E105" s="148">
        <f>mod.RK1!O105</f>
        <v>1.2015133459000671E+20</v>
      </c>
      <c r="F105" s="147">
        <f>mod.RK1!Q105</f>
        <v>6.7144058899483566E+19</v>
      </c>
      <c r="G105" s="148">
        <f>mod.RK1!S105</f>
        <v>2.7638932285494518E+19</v>
      </c>
      <c r="H105" s="147">
        <f>mod.RK1!W105</f>
        <v>9.7585158494598574E+18</v>
      </c>
      <c r="I105" s="148">
        <f>mod.RK1!Y105</f>
        <v>1.2517080810892124E+22</v>
      </c>
      <c r="J105" s="149">
        <f>mod.O5!U105</f>
        <v>8.5833333333333339</v>
      </c>
      <c r="K105" s="150">
        <f>mod.O5!AC105</f>
        <v>2.4059014812326941E+19</v>
      </c>
      <c r="L105" s="150">
        <f>mod.O5!AD105</f>
        <v>1.7228744835730251E+21</v>
      </c>
      <c r="M105" s="150">
        <f>mod.O5!AE105</f>
        <v>8.881726589217909E+20</v>
      </c>
      <c r="N105" s="150">
        <f>mod.O5!AF105</f>
        <v>1.2011240284111032E+20</v>
      </c>
      <c r="O105" s="150">
        <f>mod.O5!AG105</f>
        <v>6.7120163252528923E+19</v>
      </c>
      <c r="P105" s="150">
        <f>mod.O5!AH105</f>
        <v>2.7669215013453222E+19</v>
      </c>
      <c r="Q105" s="150">
        <f>mod.O5!AI105</f>
        <v>9.9897664786053448E+18</v>
      </c>
      <c r="R105" s="150">
        <f>mod.O5!AJ105</f>
        <v>1.2522339000384326E+22</v>
      </c>
      <c r="S105" s="153"/>
      <c r="T105" s="151">
        <f>mod.math.!Q105</f>
        <v>103</v>
      </c>
      <c r="U105" s="151">
        <f>mod.math.!R105</f>
        <v>8.5833333333333339</v>
      </c>
      <c r="V105" s="151">
        <f>mod.math.!S105</f>
        <v>270684000</v>
      </c>
      <c r="W105" s="151">
        <f>mod.math.!T105</f>
        <v>8.3077558435578593E+18</v>
      </c>
      <c r="X105" s="151">
        <f>mod.math.!U105</f>
        <v>1.7203818142167057E+21</v>
      </c>
      <c r="Y105" s="151">
        <f>mod.math.!V105</f>
        <v>8.8777999742566649E+20</v>
      </c>
      <c r="Z105" s="151">
        <f>mod.math.!W105</f>
        <v>1.2008313961482045E+20</v>
      </c>
      <c r="AA105" s="151">
        <f>mod.math.!X105</f>
        <v>6.7117248053967585E+19</v>
      </c>
      <c r="AB105" s="151">
        <f>mod.math.!Y105</f>
        <v>2.7666923195689878E+19</v>
      </c>
      <c r="AC105" s="151">
        <f>mod.math.!Z105</f>
        <v>9.8027497816293908E+18</v>
      </c>
      <c r="AD105" s="151">
        <f>mod.math.!AA105</f>
        <v>1.2522338159384783E+22</v>
      </c>
      <c r="AE105" s="153"/>
      <c r="AF105" s="144">
        <f>dragon!L105</f>
        <v>0</v>
      </c>
      <c r="AG105" s="144">
        <f>dragon!M105</f>
        <v>0</v>
      </c>
      <c r="AH105" s="144">
        <f>dragon!N105</f>
        <v>0</v>
      </c>
      <c r="AI105" s="144">
        <f>dragon!O105</f>
        <v>0</v>
      </c>
      <c r="AJ105" s="144">
        <f>dragon!P105</f>
        <v>0</v>
      </c>
      <c r="AK105" s="144">
        <f>dragon!Q105</f>
        <v>0</v>
      </c>
      <c r="AL105" s="144">
        <f>dragon!S105</f>
        <v>0</v>
      </c>
      <c r="AM105" s="144">
        <f>dragon!R105</f>
        <v>0</v>
      </c>
      <c r="AN105" s="153"/>
      <c r="AO105" s="153"/>
      <c r="AP105" s="153"/>
      <c r="AQ105" s="153"/>
      <c r="AR105" s="153"/>
      <c r="AS105" s="153"/>
      <c r="AT105" s="153"/>
      <c r="AU105" s="153"/>
      <c r="AV105" s="153"/>
      <c r="AW105" s="153"/>
      <c r="AX105" s="153"/>
    </row>
    <row r="106" spans="1:50" ht="12.75" thickBot="1">
      <c r="A106" s="146">
        <f>mod.RK1!F106</f>
        <v>8.6666666666666661</v>
      </c>
      <c r="B106" s="147">
        <f>mod.RK1!I106</f>
        <v>2.4024319286279217E+19</v>
      </c>
      <c r="C106" s="148">
        <f>mod.RK1!K106</f>
        <v>1.7180090116340945E+21</v>
      </c>
      <c r="D106" s="147">
        <f>mod.RK1!M106</f>
        <v>8.8940566111075972E+20</v>
      </c>
      <c r="E106" s="148">
        <f>mod.RK1!O106</f>
        <v>1.2020345736868708E+20</v>
      </c>
      <c r="F106" s="147">
        <f>mod.RK1!Q106</f>
        <v>6.7236242911796634E+19</v>
      </c>
      <c r="G106" s="148">
        <f>mod.RK1!S106</f>
        <v>2.7618773661221089E+19</v>
      </c>
      <c r="H106" s="147">
        <f>mod.RK1!W106</f>
        <v>9.5537092399399117E+18</v>
      </c>
      <c r="I106" s="148">
        <f>mod.RK1!Y106</f>
        <v>1.248136941414845E+22</v>
      </c>
      <c r="J106" s="149">
        <f>mod.O5!U106</f>
        <v>8.6666666666666661</v>
      </c>
      <c r="K106" s="150">
        <f>mod.O5!AC106</f>
        <v>2.4007603049151082E+19</v>
      </c>
      <c r="L106" s="150">
        <f>mod.O5!AD106</f>
        <v>1.718320064949505E+21</v>
      </c>
      <c r="M106" s="150">
        <f>mod.O5!AE106</f>
        <v>8.8834423998511487E+20</v>
      </c>
      <c r="N106" s="150">
        <f>mod.O5!AF106</f>
        <v>1.2016092746496247E+20</v>
      </c>
      <c r="O106" s="150">
        <f>mod.O5!AG106</f>
        <v>6.7212178736456516E+19</v>
      </c>
      <c r="P106" s="150">
        <f>mod.O5!AH106</f>
        <v>2.7648633483373974E+19</v>
      </c>
      <c r="Q106" s="150">
        <f>mod.O5!AI106</f>
        <v>9.7822333414074634E+18</v>
      </c>
      <c r="R106" s="150">
        <f>mod.O5!AJ106</f>
        <v>1.2486663517479778E+22</v>
      </c>
      <c r="S106" s="153"/>
      <c r="T106" s="151">
        <f>mod.math.!Q106</f>
        <v>104</v>
      </c>
      <c r="U106" s="151">
        <f>mod.math.!R106</f>
        <v>8.6666666666666661</v>
      </c>
      <c r="V106" s="151">
        <f>mod.math.!S106</f>
        <v>273312000</v>
      </c>
      <c r="W106" s="151">
        <f>mod.math.!T106</f>
        <v>8.2159759064469463E+18</v>
      </c>
      <c r="X106" s="151">
        <f>mod.math.!U106</f>
        <v>1.7158065790964256E+21</v>
      </c>
      <c r="Y106" s="151">
        <f>mod.math.!V106</f>
        <v>8.8794424387778458E+20</v>
      </c>
      <c r="Z106" s="151">
        <f>mod.math.!W106</f>
        <v>1.2013091742856779E+20</v>
      </c>
      <c r="AA106" s="151">
        <f>mod.math.!X106</f>
        <v>6.7209157640200421E+19</v>
      </c>
      <c r="AB106" s="151">
        <f>mod.math.!Y106</f>
        <v>2.7646264569982939E+19</v>
      </c>
      <c r="AC106" s="151">
        <f>mod.math.!Z106</f>
        <v>9.5951000624064573E+18</v>
      </c>
      <c r="AD106" s="151">
        <f>mod.math.!AA106</f>
        <v>1.2486662668546524E+22</v>
      </c>
      <c r="AE106" s="153"/>
      <c r="AF106" s="144">
        <f>dragon!L106</f>
        <v>0</v>
      </c>
      <c r="AG106" s="144">
        <f>dragon!M106</f>
        <v>0</v>
      </c>
      <c r="AH106" s="144">
        <f>dragon!N106</f>
        <v>0</v>
      </c>
      <c r="AI106" s="144">
        <f>dragon!O106</f>
        <v>0</v>
      </c>
      <c r="AJ106" s="144">
        <f>dragon!P106</f>
        <v>0</v>
      </c>
      <c r="AK106" s="144">
        <f>dragon!Q106</f>
        <v>0</v>
      </c>
      <c r="AL106" s="144">
        <f>dragon!S106</f>
        <v>0</v>
      </c>
      <c r="AM106" s="144">
        <f>dragon!R106</f>
        <v>0</v>
      </c>
      <c r="AN106" s="153"/>
      <c r="AO106" s="153"/>
      <c r="AP106" s="153"/>
      <c r="AQ106" s="153"/>
      <c r="AR106" s="153"/>
      <c r="AS106" s="153"/>
      <c r="AT106" s="153"/>
      <c r="AU106" s="153"/>
      <c r="AV106" s="153"/>
      <c r="AW106" s="153"/>
      <c r="AX106" s="153"/>
    </row>
    <row r="107" spans="1:50" ht="12.75" thickBot="1">
      <c r="A107" s="146">
        <f>mod.RK1!F107</f>
        <v>8.75</v>
      </c>
      <c r="B107" s="147">
        <f>mod.RK1!I107</f>
        <v>2.3971057689686036E+19</v>
      </c>
      <c r="C107" s="148">
        <f>mod.RK1!K107</f>
        <v>1.7134511960926063E+21</v>
      </c>
      <c r="D107" s="147">
        <f>mod.RK1!M107</f>
        <v>8.8955736009121805E+20</v>
      </c>
      <c r="E107" s="148">
        <f>mod.RK1!O107</f>
        <v>1.2025471619327536E+20</v>
      </c>
      <c r="F107" s="147">
        <f>mod.RK1!Q107</f>
        <v>6.7327970927049122E+19</v>
      </c>
      <c r="G107" s="148">
        <f>mod.RK1!S107</f>
        <v>2.7599193273216856E+19</v>
      </c>
      <c r="H107" s="147">
        <f>mod.RK1!W107</f>
        <v>9.3532766834576855E+18</v>
      </c>
      <c r="I107" s="148">
        <f>mod.RK1!Y107</f>
        <v>1.244575990253468E+22</v>
      </c>
      <c r="J107" s="149">
        <f>mod.O5!U107</f>
        <v>8.75</v>
      </c>
      <c r="K107" s="150">
        <f>mod.O5!AC107</f>
        <v>2.3955861499176653E+19</v>
      </c>
      <c r="L107" s="150">
        <f>mod.O5!AD107</f>
        <v>1.7137716303116449E+21</v>
      </c>
      <c r="M107" s="150">
        <f>mod.O5!AE107</f>
        <v>8.8849550858486442E+20</v>
      </c>
      <c r="N107" s="150">
        <f>mod.O5!AF107</f>
        <v>1.2020866376405359E+20</v>
      </c>
      <c r="O107" s="150">
        <f>mod.O5!AG107</f>
        <v>6.7303724470000222E+19</v>
      </c>
      <c r="P107" s="150">
        <f>mod.O5!AH107</f>
        <v>2.7628616778609574E+19</v>
      </c>
      <c r="Q107" s="150">
        <f>mod.O5!AI107</f>
        <v>9.5790853617142702E+18</v>
      </c>
      <c r="R107" s="150">
        <f>mod.O5!AJ107</f>
        <v>1.2451089672185485E+22</v>
      </c>
      <c r="S107" s="153"/>
      <c r="T107" s="151">
        <f>mod.math.!Q107</f>
        <v>105</v>
      </c>
      <c r="U107" s="151">
        <f>mod.math.!R107</f>
        <v>8.75</v>
      </c>
      <c r="V107" s="151">
        <f>mod.math.!S107</f>
        <v>275940000</v>
      </c>
      <c r="W107" s="151">
        <f>mod.math.!T107</f>
        <v>8.1247511356864614E+18</v>
      </c>
      <c r="X107" s="151">
        <f>mod.math.!U107</f>
        <v>1.7112375628558049E+21</v>
      </c>
      <c r="Y107" s="151">
        <f>mod.math.!V107</f>
        <v>8.8808814947089803E+20</v>
      </c>
      <c r="Z107" s="151">
        <f>mod.math.!W107</f>
        <v>1.20177899689504E+20</v>
      </c>
      <c r="AA107" s="151">
        <f>mod.math.!X107</f>
        <v>6.730059488723275E+19</v>
      </c>
      <c r="AB107" s="151">
        <f>mod.math.!Y107</f>
        <v>2.7626169044837147E+19</v>
      </c>
      <c r="AC107" s="151">
        <f>mod.math.!Z107</f>
        <v>9.39184894631569E+18</v>
      </c>
      <c r="AD107" s="151">
        <f>mod.math.!AA107</f>
        <v>1.2451088815328204E+22</v>
      </c>
      <c r="AE107" s="153"/>
      <c r="AF107" s="144">
        <f>dragon!L107</f>
        <v>0</v>
      </c>
      <c r="AG107" s="144">
        <f>dragon!M107</f>
        <v>0</v>
      </c>
      <c r="AH107" s="144">
        <f>dragon!N107</f>
        <v>0</v>
      </c>
      <c r="AI107" s="144">
        <f>dragon!O107</f>
        <v>0</v>
      </c>
      <c r="AJ107" s="144">
        <f>dragon!P107</f>
        <v>0</v>
      </c>
      <c r="AK107" s="144">
        <f>dragon!Q107</f>
        <v>0</v>
      </c>
      <c r="AL107" s="144">
        <f>dragon!S107</f>
        <v>0</v>
      </c>
      <c r="AM107" s="144">
        <f>dragon!R107</f>
        <v>0</v>
      </c>
      <c r="AN107" s="153"/>
      <c r="AO107" s="153"/>
      <c r="AP107" s="153"/>
      <c r="AQ107" s="153"/>
      <c r="AR107" s="153"/>
      <c r="AS107" s="153"/>
      <c r="AT107" s="153"/>
      <c r="AU107" s="153"/>
      <c r="AV107" s="153"/>
      <c r="AW107" s="153"/>
      <c r="AX107" s="153"/>
    </row>
    <row r="108" spans="1:50" ht="12.75" thickBot="1">
      <c r="A108" s="146">
        <f>mod.RK1!F108</f>
        <v>8.8333333333333339</v>
      </c>
      <c r="B108" s="147">
        <f>mod.RK1!I108</f>
        <v>2.3917525072583487E+19</v>
      </c>
      <c r="C108" s="148">
        <f>mod.RK1!K108</f>
        <v>1.7088995216814592E+21</v>
      </c>
      <c r="D108" s="147">
        <f>mod.RK1!M108</f>
        <v>8.896887967809055E+20</v>
      </c>
      <c r="E108" s="148">
        <f>mod.RK1!O108</f>
        <v>1.2030505235468145E+20</v>
      </c>
      <c r="F108" s="147">
        <f>mod.RK1!Q108</f>
        <v>6.7419243724187361E+19</v>
      </c>
      <c r="G108" s="148">
        <f>mod.RK1!S108</f>
        <v>2.758017708014721E+19</v>
      </c>
      <c r="H108" s="147">
        <f>mod.RK1!W108</f>
        <v>9.1571245443036088E+18</v>
      </c>
      <c r="I108" s="148">
        <f>mod.RK1!Y108</f>
        <v>1.2410251985371043E+22</v>
      </c>
      <c r="J108" s="149">
        <f>mod.O5!U108</f>
        <v>8.8333333333333339</v>
      </c>
      <c r="K108" s="150">
        <f>mod.O5!AC108</f>
        <v>2.3903821954604958E+19</v>
      </c>
      <c r="L108" s="150">
        <f>mod.O5!AD108</f>
        <v>1.7092293002576281E+21</v>
      </c>
      <c r="M108" s="150">
        <f>mod.O5!AE108</f>
        <v>8.8862664987144002E+20</v>
      </c>
      <c r="N108" s="150">
        <f>mod.O5!AF108</f>
        <v>1.2025555227140201E+20</v>
      </c>
      <c r="O108" s="150">
        <f>mod.O5!AG108</f>
        <v>6.7394801519036891E+19</v>
      </c>
      <c r="P108" s="150">
        <f>mod.O5!AH108</f>
        <v>2.7609151482254205E+19</v>
      </c>
      <c r="Q108" s="150">
        <f>mod.O5!AI108</f>
        <v>9.380229551920681E+18</v>
      </c>
      <c r="R108" s="150">
        <f>mod.O5!AJ108</f>
        <v>1.2415617174940391E+22</v>
      </c>
      <c r="S108" s="153"/>
      <c r="T108" s="151">
        <f>mod.math.!Q108</f>
        <v>106</v>
      </c>
      <c r="U108" s="151">
        <f>mod.math.!R108</f>
        <v>8.8333333333333339</v>
      </c>
      <c r="V108" s="151">
        <f>mod.math.!S108</f>
        <v>278568000</v>
      </c>
      <c r="W108" s="151">
        <f>mod.math.!T108</f>
        <v>8.0340926840770028E+18</v>
      </c>
      <c r="X108" s="151">
        <f>mod.math.!U108</f>
        <v>1.706674885216188E+21</v>
      </c>
      <c r="Y108" s="151">
        <f>mod.math.!V108</f>
        <v>8.8821190059059302E+20</v>
      </c>
      <c r="Z108" s="151">
        <f>mod.math.!W108</f>
        <v>1.2022402735432429E+20</v>
      </c>
      <c r="AA108" s="151">
        <f>mod.math.!X108</f>
        <v>6.7391560793861423E+19</v>
      </c>
      <c r="AB108" s="151">
        <f>mod.math.!Y108</f>
        <v>2.7606623134311199E+19</v>
      </c>
      <c r="AC108" s="151">
        <f>mod.math.!Z108</f>
        <v>9.1929032586126889E+18</v>
      </c>
      <c r="AD108" s="151">
        <f>mod.math.!AA108</f>
        <v>1.2415616310169521E+22</v>
      </c>
      <c r="AE108" s="153"/>
      <c r="AF108" s="144">
        <f>dragon!L108</f>
        <v>0</v>
      </c>
      <c r="AG108" s="144">
        <f>dragon!M108</f>
        <v>0</v>
      </c>
      <c r="AH108" s="144">
        <f>dragon!N108</f>
        <v>0</v>
      </c>
      <c r="AI108" s="144">
        <f>dragon!O108</f>
        <v>0</v>
      </c>
      <c r="AJ108" s="144">
        <f>dragon!P108</f>
        <v>0</v>
      </c>
      <c r="AK108" s="144">
        <f>dragon!Q108</f>
        <v>0</v>
      </c>
      <c r="AL108" s="144">
        <f>dragon!S108</f>
        <v>0</v>
      </c>
      <c r="AM108" s="144">
        <f>dragon!R108</f>
        <v>0</v>
      </c>
      <c r="AN108" s="153"/>
      <c r="AO108" s="153"/>
      <c r="AP108" s="153"/>
      <c r="AQ108" s="153"/>
      <c r="AR108" s="153"/>
      <c r="AS108" s="153"/>
      <c r="AT108" s="153"/>
      <c r="AU108" s="153"/>
      <c r="AV108" s="153"/>
      <c r="AW108" s="153"/>
      <c r="AX108" s="153"/>
    </row>
    <row r="109" spans="1:50" ht="12.75" thickBot="1">
      <c r="A109" s="146">
        <f>mod.RK1!F109</f>
        <v>8.9166666666666661</v>
      </c>
      <c r="B109" s="147">
        <f>mod.RK1!I109</f>
        <v>2.3863752244370117E+19</v>
      </c>
      <c r="C109" s="148">
        <f>mod.RK1!K109</f>
        <v>1.7043541073652747E+21</v>
      </c>
      <c r="D109" s="147">
        <f>mod.RK1!M109</f>
        <v>8.8980015710509885E+20</v>
      </c>
      <c r="E109" s="148">
        <f>mod.RK1!O109</f>
        <v>1.2035440969738766E+20</v>
      </c>
      <c r="F109" s="147">
        <f>mod.RK1!Q109</f>
        <v>6.7510061807596749E+19</v>
      </c>
      <c r="G109" s="148">
        <f>mod.RK1!S109</f>
        <v>2.7561711060318224E+19</v>
      </c>
      <c r="H109" s="147">
        <f>mod.RK1!W109</f>
        <v>8.9651611918363034E+18</v>
      </c>
      <c r="I109" s="148">
        <f>mod.RK1!Y109</f>
        <v>1.2374845372807076E+22</v>
      </c>
      <c r="J109" s="149">
        <f>mod.O5!U109</f>
        <v>8.9166666666666661</v>
      </c>
      <c r="K109" s="150">
        <f>mod.O5!AC109</f>
        <v>2.3851515133768159E+19</v>
      </c>
      <c r="L109" s="150">
        <f>mod.O5!AD109</f>
        <v>1.7046931924787939E+21</v>
      </c>
      <c r="M109" s="150">
        <f>mod.O5!AE109</f>
        <v>8.8873784801943958E+20</v>
      </c>
      <c r="N109" s="150">
        <f>mod.O5!AF109</f>
        <v>1.2030153592237213E+20</v>
      </c>
      <c r="O109" s="150">
        <f>mod.O5!AG109</f>
        <v>6.7485410697639608E+19</v>
      </c>
      <c r="P109" s="150">
        <f>mod.O5!AH109</f>
        <v>2.759022421576301E+19</v>
      </c>
      <c r="Q109" s="150">
        <f>mod.O5!AI109</f>
        <v>9.1855748504085309E+18</v>
      </c>
      <c r="R109" s="150">
        <f>mod.O5!AJ109</f>
        <v>1.238024573700811E+22</v>
      </c>
      <c r="S109" s="153"/>
      <c r="T109" s="151">
        <f>mod.math.!Q109</f>
        <v>107</v>
      </c>
      <c r="U109" s="151">
        <f>mod.math.!R109</f>
        <v>8.9166666666666661</v>
      </c>
      <c r="V109" s="151">
        <f>mod.math.!S109</f>
        <v>281196000</v>
      </c>
      <c r="W109" s="151">
        <f>mod.math.!T109</f>
        <v>7.9440110902023526E+18</v>
      </c>
      <c r="X109" s="151">
        <f>mod.math.!U109</f>
        <v>1.7021186628695679E+21</v>
      </c>
      <c r="Y109" s="151">
        <f>mod.math.!V109</f>
        <v>8.883156826466804E+20</v>
      </c>
      <c r="Z109" s="151">
        <f>mod.math.!W109</f>
        <v>1.2026924390090988E+20</v>
      </c>
      <c r="AA109" s="151">
        <f>mod.math.!X109</f>
        <v>6.7482056088739217E+19</v>
      </c>
      <c r="AB109" s="151">
        <f>mod.math.!Y109</f>
        <v>2.7587613365621391E+19</v>
      </c>
      <c r="AC109" s="151">
        <f>mod.math.!Z109</f>
        <v>8.9981717982553221E+18</v>
      </c>
      <c r="AD109" s="151">
        <f>mod.math.!AA109</f>
        <v>1.2380244864335115E+22</v>
      </c>
      <c r="AE109" s="153"/>
      <c r="AF109" s="144">
        <f>dragon!L109</f>
        <v>0</v>
      </c>
      <c r="AG109" s="144">
        <f>dragon!M109</f>
        <v>0</v>
      </c>
      <c r="AH109" s="144">
        <f>dragon!N109</f>
        <v>0</v>
      </c>
      <c r="AI109" s="144">
        <f>dragon!O109</f>
        <v>0</v>
      </c>
      <c r="AJ109" s="144">
        <f>dragon!P109</f>
        <v>0</v>
      </c>
      <c r="AK109" s="144">
        <f>dragon!Q109</f>
        <v>0</v>
      </c>
      <c r="AL109" s="144">
        <f>dragon!S109</f>
        <v>0</v>
      </c>
      <c r="AM109" s="144">
        <f>dragon!R109</f>
        <v>0</v>
      </c>
      <c r="AN109" s="153"/>
      <c r="AO109" s="153"/>
      <c r="AP109" s="153"/>
      <c r="AQ109" s="153"/>
      <c r="AR109" s="153"/>
      <c r="AS109" s="153"/>
      <c r="AT109" s="153"/>
      <c r="AU109" s="153"/>
      <c r="AV109" s="153"/>
      <c r="AW109" s="153"/>
      <c r="AX109" s="153"/>
    </row>
    <row r="110" spans="1:50" ht="12.75" thickBot="1">
      <c r="A110" s="146">
        <f>mod.RK1!F110</f>
        <v>9</v>
      </c>
      <c r="B110" s="147">
        <f>mod.RK1!I110</f>
        <v>2.3809768917728653E+19</v>
      </c>
      <c r="C110" s="148">
        <f>mod.RK1!K110</f>
        <v>1.6998150691529522E+21</v>
      </c>
      <c r="D110" s="147">
        <f>mod.RK1!M110</f>
        <v>8.8989162601627648E+20</v>
      </c>
      <c r="E110" s="148">
        <f>mod.RK1!O110</f>
        <v>1.2040273453810167E+20</v>
      </c>
      <c r="F110" s="147">
        <f>mod.RK1!Q110</f>
        <v>6.7600425419445002E+19</v>
      </c>
      <c r="G110" s="148">
        <f>mod.RK1!S110</f>
        <v>2.7543781221614719E+19</v>
      </c>
      <c r="H110" s="147">
        <f>mod.RK1!W110</f>
        <v>8.7772969575460977E+18</v>
      </c>
      <c r="I110" s="148">
        <f>mod.RK1!Y110</f>
        <v>1.2339539775819264E+22</v>
      </c>
      <c r="J110" s="149">
        <f>mod.O5!U110</f>
        <v>9</v>
      </c>
      <c r="K110" s="150">
        <f>mod.O5!AC110</f>
        <v>2.379897071406395E+19</v>
      </c>
      <c r="L110" s="150">
        <f>mod.O5!AD110</f>
        <v>1.7001634218261514E+21</v>
      </c>
      <c r="M110" s="150">
        <f>mod.O5!AE110</f>
        <v>8.8882928622018088E+20</v>
      </c>
      <c r="N110" s="150">
        <f>mod.O5!AF110</f>
        <v>1.2034655994948403E+20</v>
      </c>
      <c r="O110" s="150">
        <f>mod.O5!AG110</f>
        <v>6.7575552584257995E+19</v>
      </c>
      <c r="P110" s="150">
        <f>mod.O5!AH110</f>
        <v>2.7571821654273769E+19</v>
      </c>
      <c r="Q110" s="150">
        <f>mod.O5!AI110</f>
        <v>8.9950320704575355E+18</v>
      </c>
      <c r="R110" s="150">
        <f>mod.O5!AJ110</f>
        <v>1.2344975070474501E+22</v>
      </c>
      <c r="S110" s="153"/>
      <c r="T110" s="151">
        <f>mod.math.!Q110</f>
        <v>108</v>
      </c>
      <c r="U110" s="151">
        <f>mod.math.!R110</f>
        <v>9</v>
      </c>
      <c r="V110" s="151">
        <f>mod.math.!S110</f>
        <v>283824000</v>
      </c>
      <c r="W110" s="151">
        <f>mod.math.!T110</f>
        <v>7.8545162976752906E+18</v>
      </c>
      <c r="X110" s="151">
        <f>mod.math.!U110</f>
        <v>1.6975690095383137E+21</v>
      </c>
      <c r="Y110" s="151">
        <f>mod.math.!V110</f>
        <v>8.8839968006838918E+20</v>
      </c>
      <c r="Z110" s="151">
        <f>mod.math.!W110</f>
        <v>1.2031349524912466E+20</v>
      </c>
      <c r="AA110" s="151">
        <f>mod.math.!X110</f>
        <v>6.7572081242347733E+19</v>
      </c>
      <c r="AB110" s="151">
        <f>mod.math.!Y110</f>
        <v>2.7569126288817783E+19</v>
      </c>
      <c r="AC110" s="151">
        <f>mod.math.!Z110</f>
        <v>8.8075652960951798E+18</v>
      </c>
      <c r="AD110" s="151">
        <f>mod.math.!AA110</f>
        <v>1.2344974189912226E+22</v>
      </c>
      <c r="AE110" s="153"/>
      <c r="AF110" s="144">
        <f>dragon!L110</f>
        <v>0</v>
      </c>
      <c r="AG110" s="144">
        <f>dragon!M110</f>
        <v>0</v>
      </c>
      <c r="AH110" s="144">
        <f>dragon!N110</f>
        <v>0</v>
      </c>
      <c r="AI110" s="144">
        <f>dragon!O110</f>
        <v>0</v>
      </c>
      <c r="AJ110" s="144">
        <f>dragon!P110</f>
        <v>0</v>
      </c>
      <c r="AK110" s="144">
        <f>dragon!Q110</f>
        <v>0</v>
      </c>
      <c r="AL110" s="144">
        <f>dragon!S110</f>
        <v>0</v>
      </c>
      <c r="AM110" s="144">
        <f>dragon!R110</f>
        <v>0</v>
      </c>
      <c r="AN110" s="153"/>
      <c r="AO110" s="153"/>
      <c r="AP110" s="153"/>
      <c r="AQ110" s="153"/>
      <c r="AR110" s="153"/>
      <c r="AS110" s="153"/>
      <c r="AT110" s="153"/>
      <c r="AU110" s="153"/>
      <c r="AV110" s="153"/>
      <c r="AW110" s="153"/>
      <c r="AX110" s="153"/>
    </row>
    <row r="111" spans="1:50" ht="12.75" thickBot="1">
      <c r="A111" s="146">
        <f>mod.RK1!F111</f>
        <v>9.0833333333333339</v>
      </c>
      <c r="B111" s="147">
        <f>mod.RK1!I111</f>
        <v>2.3755603736425333E+19</v>
      </c>
      <c r="C111" s="148">
        <f>mod.RK1!K111</f>
        <v>1.6952825201542871E+21</v>
      </c>
      <c r="D111" s="147">
        <f>mod.RK1!M111</f>
        <v>8.8996338748944954E+20</v>
      </c>
      <c r="E111" s="148">
        <f>mod.RK1!O111</f>
        <v>1.2044997558685255E+20</v>
      </c>
      <c r="F111" s="147">
        <f>mod.RK1!Q111</f>
        <v>6.7690334551629783E+19</v>
      </c>
      <c r="G111" s="148">
        <f>mod.RK1!S111</f>
        <v>2.7526373610928898E+19</v>
      </c>
      <c r="H111" s="147">
        <f>mod.RK1!W111</f>
        <v>8.5934440930379653E+18</v>
      </c>
      <c r="I111" s="148">
        <f>mod.RK1!Y111</f>
        <v>1.2304334906208685E+22</v>
      </c>
      <c r="J111" s="149">
        <f>mod.O5!U111</f>
        <v>9.0833333333333339</v>
      </c>
      <c r="K111" s="150">
        <f>mod.O5!AC111</f>
        <v>2.3746215786343199E+19</v>
      </c>
      <c r="L111" s="150">
        <f>mod.O5!AD111</f>
        <v>1.6956400973403041E+21</v>
      </c>
      <c r="M111" s="150">
        <f>mod.O5!AE111</f>
        <v>8.8890114752747681E+20</v>
      </c>
      <c r="N111" s="150">
        <f>mod.O5!AF111</f>
        <v>1.2039057973098211E+20</v>
      </c>
      <c r="O111" s="150">
        <f>mod.O5!AG111</f>
        <v>6.7665226257032962E+19</v>
      </c>
      <c r="P111" s="150">
        <f>mod.O5!AH111</f>
        <v>2.755392877245064E+19</v>
      </c>
      <c r="Q111" s="150">
        <f>mod.O5!AI111</f>
        <v>8.8085166184078367E+18</v>
      </c>
      <c r="R111" s="150">
        <f>mod.O5!AJ111</f>
        <v>1.2309804888262852E+22</v>
      </c>
      <c r="S111" s="153"/>
      <c r="T111" s="151">
        <f>mod.math.!Q111</f>
        <v>109</v>
      </c>
      <c r="U111" s="151">
        <f>mod.math.!R111</f>
        <v>9.0833333333333339</v>
      </c>
      <c r="V111" s="151">
        <f>mod.math.!S111</f>
        <v>286452000</v>
      </c>
      <c r="W111" s="151">
        <f>mod.math.!T111</f>
        <v>7.7656176738728622E+18</v>
      </c>
      <c r="X111" s="151">
        <f>mod.math.!U111</f>
        <v>1.6930260360337841E+21</v>
      </c>
      <c r="Y111" s="151">
        <f>mod.math.!V111</f>
        <v>8.8846407629983895E+20</v>
      </c>
      <c r="Z111" s="151">
        <f>mod.math.!W111</f>
        <v>1.2035672968395402E+20</v>
      </c>
      <c r="AA111" s="151">
        <f>mod.math.!X111</f>
        <v>6.7661636478593335E+19</v>
      </c>
      <c r="AB111" s="151">
        <f>mod.math.!Y111</f>
        <v>2.7551148485973688E+19</v>
      </c>
      <c r="AC111" s="151">
        <f>mod.math.!Z111</f>
        <v>8.6209963739546542E+18</v>
      </c>
      <c r="AD111" s="151">
        <f>mod.math.!AA111</f>
        <v>1.2309803999808339E+22</v>
      </c>
      <c r="AE111" s="153"/>
      <c r="AF111" s="144">
        <f>dragon!L111</f>
        <v>0</v>
      </c>
      <c r="AG111" s="144">
        <f>dragon!M111</f>
        <v>0</v>
      </c>
      <c r="AH111" s="144">
        <f>dragon!N111</f>
        <v>0</v>
      </c>
      <c r="AI111" s="144">
        <f>dragon!O111</f>
        <v>0</v>
      </c>
      <c r="AJ111" s="144">
        <f>dragon!P111</f>
        <v>0</v>
      </c>
      <c r="AK111" s="144">
        <f>dragon!Q111</f>
        <v>0</v>
      </c>
      <c r="AL111" s="144">
        <f>dragon!S111</f>
        <v>0</v>
      </c>
      <c r="AM111" s="144">
        <f>dragon!R111</f>
        <v>0</v>
      </c>
      <c r="AN111" s="153"/>
      <c r="AO111" s="153"/>
      <c r="AP111" s="153"/>
      <c r="AQ111" s="153"/>
      <c r="AR111" s="153"/>
      <c r="AS111" s="153"/>
      <c r="AT111" s="153"/>
      <c r="AU111" s="153"/>
      <c r="AV111" s="153"/>
      <c r="AW111" s="153"/>
      <c r="AX111" s="153"/>
    </row>
    <row r="112" spans="1:50" ht="12.75" thickBot="1">
      <c r="A112" s="146">
        <f>mod.RK1!F112</f>
        <v>9.1666666666666661</v>
      </c>
      <c r="B112" s="147">
        <f>mod.RK1!I112</f>
        <v>2.3701284302551982E+19</v>
      </c>
      <c r="C112" s="148">
        <f>mod.RK1!K112</f>
        <v>1.6907565706355671E+21</v>
      </c>
      <c r="D112" s="147">
        <f>mod.RK1!M112</f>
        <v>8.90015624517767E+20</v>
      </c>
      <c r="E112" s="148">
        <f>mod.RK1!O112</f>
        <v>1.2049608387045674E+20</v>
      </c>
      <c r="F112" s="147">
        <f>mod.RK1!Q112</f>
        <v>6.7779788957342392E+19</v>
      </c>
      <c r="G112" s="148">
        <f>mod.RK1!S112</f>
        <v>2.7509474323098657E+19</v>
      </c>
      <c r="H112" s="147">
        <f>mod.RK1!W112</f>
        <v>8.4135167289141965E+18</v>
      </c>
      <c r="I112" s="148">
        <f>mod.RK1!Y112</f>
        <v>1.2269230476598647E+22</v>
      </c>
      <c r="J112" s="149">
        <f>mod.O5!U112</f>
        <v>9.1666666666666661</v>
      </c>
      <c r="K112" s="150">
        <f>mod.O5!AC112</f>
        <v>2.3693278904525246E+19</v>
      </c>
      <c r="L112" s="150">
        <f>mod.O5!AD112</f>
        <v>1.691123330059823E+21</v>
      </c>
      <c r="M112" s="150">
        <f>mod.O5!AE112</f>
        <v>8.8895361267056181E+20</v>
      </c>
      <c r="N112" s="150">
        <f>mod.O5!AF112</f>
        <v>1.2043354031359261E+20</v>
      </c>
      <c r="O112" s="150">
        <f>mod.O5!AG112</f>
        <v>6.7754432589992894E+19</v>
      </c>
      <c r="P112" s="150">
        <f>mod.O5!AH112</f>
        <v>2.7536533403336753E+19</v>
      </c>
      <c r="Q112" s="150">
        <f>mod.O5!AI112</f>
        <v>8.6259413724692152E+18</v>
      </c>
      <c r="R112" s="150">
        <f>mod.O5!AJ112</f>
        <v>1.2274734904086874E+22</v>
      </c>
      <c r="S112" s="153"/>
      <c r="T112" s="151">
        <f>mod.math.!Q112</f>
        <v>110</v>
      </c>
      <c r="U112" s="151">
        <f>mod.math.!R112</f>
        <v>9.1666666666666661</v>
      </c>
      <c r="V112" s="151">
        <f>mod.math.!S112</f>
        <v>289080000</v>
      </c>
      <c r="W112" s="151">
        <f>mod.math.!T112</f>
        <v>7.6773240281736581E+18</v>
      </c>
      <c r="X112" s="151">
        <f>mod.math.!U112</f>
        <v>1.6884898503138489E+21</v>
      </c>
      <c r="Y112" s="151">
        <f>mod.math.!V112</f>
        <v>8.8850905379579599E+20</v>
      </c>
      <c r="Z112" s="151">
        <f>mod.math.!W112</f>
        <v>1.2039889778091986E+20</v>
      </c>
      <c r="AA112" s="151">
        <f>mod.math.!X112</f>
        <v>6.7750721786031768E+19</v>
      </c>
      <c r="AB112" s="151">
        <f>mod.math.!Y112</f>
        <v>2.7533666579906404E+19</v>
      </c>
      <c r="AC112" s="151">
        <f>mod.math.!Z112</f>
        <v>8.438379504570879E+18</v>
      </c>
      <c r="AD112" s="151">
        <f>mod.math.!AA112</f>
        <v>1.2274734007748846E+22</v>
      </c>
      <c r="AE112" s="153"/>
      <c r="AF112" s="144">
        <f>dragon!L112</f>
        <v>0</v>
      </c>
      <c r="AG112" s="144">
        <f>dragon!M112</f>
        <v>0</v>
      </c>
      <c r="AH112" s="144">
        <f>dragon!N112</f>
        <v>0</v>
      </c>
      <c r="AI112" s="144">
        <f>dragon!O112</f>
        <v>0</v>
      </c>
      <c r="AJ112" s="144">
        <f>dragon!P112</f>
        <v>0</v>
      </c>
      <c r="AK112" s="144">
        <f>dragon!Q112</f>
        <v>0</v>
      </c>
      <c r="AL112" s="144">
        <f>dragon!S112</f>
        <v>0</v>
      </c>
      <c r="AM112" s="144">
        <f>dragon!R112</f>
        <v>0</v>
      </c>
      <c r="AN112" s="153"/>
      <c r="AO112" s="153"/>
      <c r="AP112" s="153"/>
      <c r="AQ112" s="153"/>
      <c r="AR112" s="153"/>
      <c r="AS112" s="153"/>
      <c r="AT112" s="153"/>
      <c r="AU112" s="153"/>
      <c r="AV112" s="153"/>
      <c r="AW112" s="153"/>
      <c r="AX112" s="153"/>
    </row>
    <row r="113" spans="1:50" ht="12.75" thickBot="1">
      <c r="A113" s="146">
        <f>mod.RK1!F113</f>
        <v>9.25</v>
      </c>
      <c r="B113" s="147">
        <f>mod.RK1!I113</f>
        <v>2.3646837203218985E+19</v>
      </c>
      <c r="C113" s="148">
        <f>mod.RK1!K113</f>
        <v>1.6862373280741668E+21</v>
      </c>
      <c r="D113" s="147">
        <f>mod.RK1!M113</f>
        <v>8.9004851910838767E+20</v>
      </c>
      <c r="E113" s="148">
        <f>mod.RK1!O113</f>
        <v>1.2054101265828345E+20</v>
      </c>
      <c r="F113" s="147">
        <f>mod.RK1!Q113</f>
        <v>6.7868788162258723E+19</v>
      </c>
      <c r="G113" s="148">
        <f>mod.RK1!S113</f>
        <v>2.7493069509374071E+19</v>
      </c>
      <c r="H113" s="147">
        <f>mod.RK1!W113</f>
        <v>8.2374308345375406E+18</v>
      </c>
      <c r="I113" s="148">
        <f>mod.RK1!Y113</f>
        <v>1.2234226200432351E+22</v>
      </c>
      <c r="J113" s="149">
        <f>mod.O5!U113</f>
        <v>9.25</v>
      </c>
      <c r="K113" s="150">
        <f>mod.O5!AC113</f>
        <v>2.3640186576478614E+19</v>
      </c>
      <c r="L113" s="150">
        <f>mod.O5!AD113</f>
        <v>1.6866132262497058E+21</v>
      </c>
      <c r="M113" s="150">
        <f>mod.O5!AE113</f>
        <v>8.8898686197459386E+20</v>
      </c>
      <c r="N113" s="150">
        <f>mod.O5!AF113</f>
        <v>1.2047539436634703E+20</v>
      </c>
      <c r="O113" s="150">
        <f>mod.O5!AG113</f>
        <v>6.7843171362121875E+19</v>
      </c>
      <c r="P113" s="150">
        <f>mod.O5!AH113</f>
        <v>2.7519622218138608E+19</v>
      </c>
      <c r="Q113" s="150">
        <f>mod.O5!AI113</f>
        <v>8.4472228830710344E+18</v>
      </c>
      <c r="R113" s="150">
        <f>mod.O5!AJ113</f>
        <v>1.2239764832487486E+22</v>
      </c>
      <c r="S113" s="153"/>
      <c r="T113" s="151">
        <f>mod.math.!Q113</f>
        <v>111</v>
      </c>
      <c r="U113" s="151">
        <f>mod.math.!R113</f>
        <v>9.25</v>
      </c>
      <c r="V113" s="151">
        <f>mod.math.!S113</f>
        <v>291708000</v>
      </c>
      <c r="W113" s="151">
        <f>mod.math.!T113</f>
        <v>7.5896436297092618E+18</v>
      </c>
      <c r="X113" s="151">
        <f>mod.math.!U113</f>
        <v>1.6839605575393395E+21</v>
      </c>
      <c r="Y113" s="151">
        <f>mod.math.!V113</f>
        <v>8.8853479401769547E+20</v>
      </c>
      <c r="Z113" s="151">
        <f>mod.math.!W113</f>
        <v>1.2043995233370256E+20</v>
      </c>
      <c r="AA113" s="151">
        <f>mod.math.!X113</f>
        <v>6.7839336928738509E+19</v>
      </c>
      <c r="AB113" s="151">
        <f>mod.math.!Y113</f>
        <v>2.7516667242446529E+19</v>
      </c>
      <c r="AC113" s="151">
        <f>mod.math.!Z113</f>
        <v>8.2596309723881574E+18</v>
      </c>
      <c r="AD113" s="151">
        <f>mod.math.!AA113</f>
        <v>1.2239763928274726E+22</v>
      </c>
      <c r="AE113" s="153"/>
      <c r="AF113" s="144">
        <f>dragon!L113</f>
        <v>0</v>
      </c>
      <c r="AG113" s="144">
        <f>dragon!M113</f>
        <v>0</v>
      </c>
      <c r="AH113" s="144">
        <f>dragon!N113</f>
        <v>0</v>
      </c>
      <c r="AI113" s="144">
        <f>dragon!O113</f>
        <v>0</v>
      </c>
      <c r="AJ113" s="144">
        <f>dragon!P113</f>
        <v>0</v>
      </c>
      <c r="AK113" s="144">
        <f>dragon!Q113</f>
        <v>0</v>
      </c>
      <c r="AL113" s="144">
        <f>dragon!S113</f>
        <v>0</v>
      </c>
      <c r="AM113" s="144">
        <f>dragon!R113</f>
        <v>0</v>
      </c>
      <c r="AN113" s="153"/>
      <c r="AO113" s="153"/>
      <c r="AP113" s="153"/>
      <c r="AQ113" s="153"/>
      <c r="AR113" s="153"/>
      <c r="AS113" s="153"/>
      <c r="AT113" s="153"/>
      <c r="AU113" s="153"/>
      <c r="AV113" s="153"/>
      <c r="AW113" s="153"/>
      <c r="AX113" s="153"/>
    </row>
    <row r="114" spans="1:50" ht="12.75" thickBot="1">
      <c r="A114" s="146">
        <f>mod.RK1!F114</f>
        <v>9.3333333333333339</v>
      </c>
      <c r="B114" s="147">
        <f>mod.RK1!I114</f>
        <v>2.3592288036707279E+19</v>
      </c>
      <c r="C114" s="148">
        <f>mod.RK1!K114</f>
        <v>1.6817248972121545E+21</v>
      </c>
      <c r="D114" s="147">
        <f>mod.RK1!M114</f>
        <v>8.9006225227861354E+20</v>
      </c>
      <c r="E114" s="148">
        <f>mod.RK1!O114</f>
        <v>1.2058471739025108E+20</v>
      </c>
      <c r="F114" s="147">
        <f>mod.RK1!Q114</f>
        <v>6.7957331475368468E+19</v>
      </c>
      <c r="G114" s="148">
        <f>mod.RK1!S114</f>
        <v>2.7477145385429991E+19</v>
      </c>
      <c r="H114" s="147">
        <f>mod.RK1!W114</f>
        <v>8.0651041786559713E+18</v>
      </c>
      <c r="I114" s="148">
        <f>mod.RK1!Y114</f>
        <v>1.2199321791970547E+22</v>
      </c>
      <c r="J114" s="149">
        <f>mod.O5!U114</f>
        <v>9.3333333333333339</v>
      </c>
      <c r="K114" s="150">
        <f>mod.O5!AC114</f>
        <v>2.3586964344651661E+19</v>
      </c>
      <c r="L114" s="150">
        <f>mod.O5!AD114</f>
        <v>1.6821098894943686E+21</v>
      </c>
      <c r="M114" s="150">
        <f>mod.O5!AE114</f>
        <v>8.8900107478081575E+20</v>
      </c>
      <c r="N114" s="150">
        <f>mod.O5!AF114</f>
        <v>1.2051609670058315E+20</v>
      </c>
      <c r="O114" s="150">
        <f>mod.O5!AG114</f>
        <v>6.7931442138596557E+19</v>
      </c>
      <c r="P114" s="150">
        <f>mod.O5!AH114</f>
        <v>2.7503181945383694E+19</v>
      </c>
      <c r="Q114" s="150">
        <f>mod.O5!AI114</f>
        <v>8.2722794667704658E+18</v>
      </c>
      <c r="R114" s="150">
        <f>mod.O5!AJ114</f>
        <v>1.2204894388818859E+22</v>
      </c>
      <c r="S114" s="153"/>
      <c r="T114" s="151">
        <f>mod.math.!Q114</f>
        <v>112</v>
      </c>
      <c r="U114" s="151">
        <f>mod.math.!R114</f>
        <v>9.3333333333333339</v>
      </c>
      <c r="V114" s="151">
        <f>mod.math.!S114</f>
        <v>294336000</v>
      </c>
      <c r="W114" s="151">
        <f>mod.math.!T114</f>
        <v>7.5025842246418391E+18</v>
      </c>
      <c r="X114" s="151">
        <f>mod.math.!U114</f>
        <v>1.6794382601294402E+21</v>
      </c>
      <c r="Y114" s="151">
        <f>mod.math.!V114</f>
        <v>8.8854147742993102E+20</v>
      </c>
      <c r="Z114" s="151">
        <f>mod.math.!W114</f>
        <v>1.204798482839069E+20</v>
      </c>
      <c r="AA114" s="151">
        <f>mod.math.!X114</f>
        <v>6.7927481456829891E+19</v>
      </c>
      <c r="AB114" s="151">
        <f>mod.math.!Y114</f>
        <v>2.7500137202272711E+19</v>
      </c>
      <c r="AC114" s="151">
        <f>mod.math.!Z114</f>
        <v>8.0846688351809382E+18</v>
      </c>
      <c r="AD114" s="151">
        <f>mod.math.!AA114</f>
        <v>1.2204893476740215E+22</v>
      </c>
      <c r="AE114" s="153"/>
      <c r="AF114" s="144">
        <f>dragon!L114</f>
        <v>0</v>
      </c>
      <c r="AG114" s="144">
        <f>dragon!M114</f>
        <v>0</v>
      </c>
      <c r="AH114" s="144">
        <f>dragon!N114</f>
        <v>0</v>
      </c>
      <c r="AI114" s="144">
        <f>dragon!O114</f>
        <v>0</v>
      </c>
      <c r="AJ114" s="144">
        <f>dragon!P114</f>
        <v>0</v>
      </c>
      <c r="AK114" s="144">
        <f>dragon!Q114</f>
        <v>0</v>
      </c>
      <c r="AL114" s="144">
        <f>dragon!S114</f>
        <v>0</v>
      </c>
      <c r="AM114" s="144">
        <f>dragon!R114</f>
        <v>0</v>
      </c>
      <c r="AN114" s="153"/>
      <c r="AO114" s="153"/>
      <c r="AP114" s="153"/>
      <c r="AQ114" s="153"/>
      <c r="AR114" s="153"/>
      <c r="AS114" s="153"/>
      <c r="AT114" s="153"/>
      <c r="AU114" s="153"/>
      <c r="AV114" s="153"/>
      <c r="AW114" s="153"/>
      <c r="AX114" s="153"/>
    </row>
    <row r="115" spans="1:50" ht="12.75" thickBot="1">
      <c r="A115" s="146">
        <f>mod.RK1!F115</f>
        <v>9.4166666666666661</v>
      </c>
      <c r="B115" s="147">
        <f>mod.RK1!I115</f>
        <v>2.3537661438087483E+19</v>
      </c>
      <c r="C115" s="148">
        <f>mod.RK1!K115</f>
        <v>1.6772193801089337E+21</v>
      </c>
      <c r="D115" s="147">
        <f>mod.RK1!M115</f>
        <v>8.9005700405227749E+20</v>
      </c>
      <c r="E115" s="148">
        <f>mod.RK1!O115</f>
        <v>1.2062715560698805E+20</v>
      </c>
      <c r="F115" s="147">
        <f>mod.RK1!Q115</f>
        <v>6.8045417999453209E+19</v>
      </c>
      <c r="G115" s="148">
        <f>mod.RK1!S115</f>
        <v>2.7461688238941995E+19</v>
      </c>
      <c r="H115" s="147">
        <f>mod.RK1!W115</f>
        <v>7.896456290870613E+18</v>
      </c>
      <c r="I115" s="148">
        <f>mod.RK1!Y115</f>
        <v>1.2164516966289201E+22</v>
      </c>
      <c r="J115" s="149">
        <f>mod.O5!U115</f>
        <v>9.4166666666666661</v>
      </c>
      <c r="K115" s="150">
        <f>mod.O5!AC115</f>
        <v>2.3533636812121375E+19</v>
      </c>
      <c r="L115" s="150">
        <f>mod.O5!AD115</f>
        <v>1.677613420751212E+21</v>
      </c>
      <c r="M115" s="150">
        <f>mod.O5!AE115</f>
        <v>8.8899642944261469E+20</v>
      </c>
      <c r="N115" s="150">
        <f>mod.O5!AF115</f>
        <v>1.2055560419657472E+20</v>
      </c>
      <c r="O115" s="150">
        <f>mod.O5!AG115</f>
        <v>6.801924428182877E+19</v>
      </c>
      <c r="P115" s="150">
        <f>mod.O5!AH115</f>
        <v>2.748719937941409E+19</v>
      </c>
      <c r="Q115" s="150">
        <f>mod.O5!AI115</f>
        <v>8.101031166740396E+18</v>
      </c>
      <c r="R115" s="150">
        <f>mod.O5!AJ115</f>
        <v>1.2170123289246074E+22</v>
      </c>
      <c r="S115" s="153"/>
      <c r="T115" s="151">
        <f>mod.math.!Q115</f>
        <v>113</v>
      </c>
      <c r="U115" s="151">
        <f>mod.math.!R115</f>
        <v>9.4166666666666661</v>
      </c>
      <c r="V115" s="151">
        <f>mod.math.!S115</f>
        <v>296964000</v>
      </c>
      <c r="W115" s="151">
        <f>mod.math.!T115</f>
        <v>7.4161530529795123E+18</v>
      </c>
      <c r="X115" s="151">
        <f>mod.math.!U115</f>
        <v>1.6749230578160511E+21</v>
      </c>
      <c r="Y115" s="151">
        <f>mod.math.!V115</f>
        <v>8.8852928349639882E+20</v>
      </c>
      <c r="Z115" s="151">
        <f>mod.math.!W115</f>
        <v>1.2051854265290763E+20</v>
      </c>
      <c r="AA115" s="151">
        <f>mod.math.!X115</f>
        <v>6.80151547166469E+19</v>
      </c>
      <c r="AB115" s="151">
        <f>mod.math.!Y115</f>
        <v>2.7484063252328317E+19</v>
      </c>
      <c r="AC115" s="151">
        <f>mod.math.!Z115</f>
        <v>7.9134128864897004E+18</v>
      </c>
      <c r="AD115" s="151">
        <f>mod.math.!AA115</f>
        <v>1.2170122369310485E+22</v>
      </c>
      <c r="AE115" s="153"/>
      <c r="AF115" s="144">
        <f>dragon!L115</f>
        <v>0</v>
      </c>
      <c r="AG115" s="144">
        <f>dragon!M115</f>
        <v>0</v>
      </c>
      <c r="AH115" s="144">
        <f>dragon!N115</f>
        <v>0</v>
      </c>
      <c r="AI115" s="144">
        <f>dragon!O115</f>
        <v>0</v>
      </c>
      <c r="AJ115" s="144">
        <f>dragon!P115</f>
        <v>0</v>
      </c>
      <c r="AK115" s="144">
        <f>dragon!Q115</f>
        <v>0</v>
      </c>
      <c r="AL115" s="144">
        <f>dragon!S115</f>
        <v>0</v>
      </c>
      <c r="AM115" s="144">
        <f>dragon!R115</f>
        <v>0</v>
      </c>
      <c r="AN115" s="153"/>
      <c r="AO115" s="153"/>
      <c r="AP115" s="153"/>
      <c r="AQ115" s="153"/>
      <c r="AR115" s="153"/>
      <c r="AS115" s="153"/>
      <c r="AT115" s="153"/>
      <c r="AU115" s="153"/>
      <c r="AV115" s="153"/>
      <c r="AW115" s="153"/>
      <c r="AX115" s="153"/>
    </row>
    <row r="116" spans="1:50" ht="12.75" thickBot="1">
      <c r="A116" s="146">
        <f>mod.RK1!F116</f>
        <v>9.5</v>
      </c>
      <c r="B116" s="147">
        <f>mod.RK1!I116</f>
        <v>2.3482981104314225E+19</v>
      </c>
      <c r="C116" s="148">
        <f>mod.RK1!K116</f>
        <v>1.6727208761929315E+21</v>
      </c>
      <c r="D116" s="147">
        <f>mod.RK1!M116</f>
        <v>8.9003295345638022E+20</v>
      </c>
      <c r="E116" s="148">
        <f>mod.RK1!O116</f>
        <v>1.2066828688209348E+20</v>
      </c>
      <c r="F116" s="147">
        <f>mod.RK1!Q116</f>
        <v>6.8133046641223655E+19</v>
      </c>
      <c r="G116" s="148">
        <f>mod.RK1!S116</f>
        <v>2.7446684436742398E+19</v>
      </c>
      <c r="H116" s="147">
        <f>mod.RK1!W116</f>
        <v>7.7314084239287828E+18</v>
      </c>
      <c r="I116" s="148">
        <f>mod.RK1!Y116</f>
        <v>1.2129811439277176E+22</v>
      </c>
      <c r="J116" s="149">
        <f>mod.O5!U116</f>
        <v>9.5</v>
      </c>
      <c r="K116" s="150">
        <f>mod.O5!AC116</f>
        <v>2.3480227668642218E+19</v>
      </c>
      <c r="L116" s="150">
        <f>mod.O5!AD116</f>
        <v>1.6731239184041892E+21</v>
      </c>
      <c r="M116" s="150">
        <f>mod.O5!AE116</f>
        <v>8.8897310332158175E+20</v>
      </c>
      <c r="N116" s="150">
        <f>mod.O5!AF116</f>
        <v>1.2059387573016106E+20</v>
      </c>
      <c r="O116" s="150">
        <f>mod.O5!AG116</f>
        <v>6.8106576962508055E+19</v>
      </c>
      <c r="P116" s="150">
        <f>mod.O5!AH116</f>
        <v>2.747166138888013E+19</v>
      </c>
      <c r="Q116" s="150">
        <f>mod.O5!AI116</f>
        <v>7.9333997132573573E+18</v>
      </c>
      <c r="R116" s="150">
        <f>mod.O5!AJ116</f>
        <v>1.2135451250742786E+22</v>
      </c>
      <c r="S116" s="153"/>
      <c r="T116" s="151">
        <f>mod.math.!Q116</f>
        <v>114</v>
      </c>
      <c r="U116" s="151">
        <f>mod.math.!R116</f>
        <v>9.5</v>
      </c>
      <c r="V116" s="151">
        <f>mod.math.!S116</f>
        <v>299592000</v>
      </c>
      <c r="W116" s="151">
        <f>mod.math.!T116</f>
        <v>7.3303568649408573E+18</v>
      </c>
      <c r="X116" s="151">
        <f>mod.math.!U116</f>
        <v>1.6704150476971282E+21</v>
      </c>
      <c r="Y116" s="151">
        <f>mod.math.!V116</f>
        <v>8.8849839067729848E+20</v>
      </c>
      <c r="Z116" s="151">
        <f>mod.math.!W116</f>
        <v>1.2055599447571553E+20</v>
      </c>
      <c r="AA116" s="151">
        <f>mod.math.!X116</f>
        <v>6.810235586061176E+19</v>
      </c>
      <c r="AB116" s="151">
        <f>mod.math.!Y116</f>
        <v>2.7468432256835736E+19</v>
      </c>
      <c r="AC116" s="151">
        <f>mod.math.!Z116</f>
        <v>7.7457846188525732E+18</v>
      </c>
      <c r="AD116" s="151">
        <f>mod.math.!AA116</f>
        <v>1.2135450322959348E+22</v>
      </c>
      <c r="AE116" s="153"/>
      <c r="AF116" s="144">
        <f>dragon!L116</f>
        <v>0</v>
      </c>
      <c r="AG116" s="144">
        <f>dragon!M116</f>
        <v>0</v>
      </c>
      <c r="AH116" s="144">
        <f>dragon!N116</f>
        <v>0</v>
      </c>
      <c r="AI116" s="144">
        <f>dragon!O116</f>
        <v>0</v>
      </c>
      <c r="AJ116" s="144">
        <f>dragon!P116</f>
        <v>0</v>
      </c>
      <c r="AK116" s="144">
        <f>dragon!Q116</f>
        <v>0</v>
      </c>
      <c r="AL116" s="144">
        <f>dragon!S116</f>
        <v>0</v>
      </c>
      <c r="AM116" s="144">
        <f>dragon!R116</f>
        <v>0</v>
      </c>
      <c r="AN116" s="153"/>
      <c r="AO116" s="153"/>
      <c r="AP116" s="153"/>
      <c r="AQ116" s="153"/>
      <c r="AR116" s="153"/>
      <c r="AS116" s="153"/>
      <c r="AT116" s="153"/>
      <c r="AU116" s="153"/>
      <c r="AV116" s="153"/>
      <c r="AW116" s="153"/>
      <c r="AX116" s="153"/>
    </row>
    <row r="117" spans="1:50" ht="12.75" thickBot="1">
      <c r="A117" s="146">
        <f>mod.RK1!F117</f>
        <v>9.5833333333333339</v>
      </c>
      <c r="B117" s="147">
        <f>mod.RK1!I117</f>
        <v>2.3428269818803659E+19</v>
      </c>
      <c r="C117" s="148">
        <f>mod.RK1!K117</f>
        <v>1.6682294823123534E+21</v>
      </c>
      <c r="D117" s="147">
        <f>mod.RK1!M117</f>
        <v>8.8999027851796965E+20</v>
      </c>
      <c r="E117" s="148">
        <f>mod.RK1!O117</f>
        <v>1.2070807275643545E+20</v>
      </c>
      <c r="F117" s="147">
        <f>mod.RK1!Q117</f>
        <v>6.8220216121126109E+19</v>
      </c>
      <c r="G117" s="148">
        <f>mod.RK1!S117</f>
        <v>2.7432120431572468E+19</v>
      </c>
      <c r="H117" s="147">
        <f>mod.RK1!W117</f>
        <v>7.5698835168244726E+18</v>
      </c>
      <c r="I117" s="148">
        <f>mod.RK1!Y117</f>
        <v>1.2095204927633904E+22</v>
      </c>
      <c r="J117" s="149">
        <f>mod.O5!U117</f>
        <v>9.5833333333333339</v>
      </c>
      <c r="K117" s="150">
        <f>mod.O5!AC117</f>
        <v>2.3426759716694897E+19</v>
      </c>
      <c r="L117" s="150">
        <f>mod.O5!AD117</f>
        <v>1.6686414783173739E+21</v>
      </c>
      <c r="M117" s="150">
        <f>mod.O5!AE117</f>
        <v>8.8893127278357106E+20</v>
      </c>
      <c r="N117" s="150">
        <f>mod.O5!AF117</f>
        <v>1.2063087209937687E+20</v>
      </c>
      <c r="O117" s="150">
        <f>mod.O5!AG117</f>
        <v>6.8193439170644181E+19</v>
      </c>
      <c r="P117" s="150">
        <f>mod.O5!AH117</f>
        <v>2.7456554925233979E+19</v>
      </c>
      <c r="Q117" s="150">
        <f>mod.O5!AI117</f>
        <v>7.769308484189438E+18</v>
      </c>
      <c r="R117" s="150">
        <f>mod.O5!AJ117</f>
        <v>1.2100877991088885E+22</v>
      </c>
      <c r="S117" s="153"/>
      <c r="T117" s="151">
        <f>mod.math.!Q117</f>
        <v>115</v>
      </c>
      <c r="U117" s="151">
        <f>mod.math.!R117</f>
        <v>9.5833333333333339</v>
      </c>
      <c r="V117" s="151">
        <f>mod.math.!S117</f>
        <v>302220000</v>
      </c>
      <c r="W117" s="151">
        <f>mod.math.!T117</f>
        <v>7.2452019368797338E+18</v>
      </c>
      <c r="X117" s="151">
        <f>mod.math.!U117</f>
        <v>1.665914324289032E+21</v>
      </c>
      <c r="Y117" s="151">
        <f>mod.math.!V117</f>
        <v>8.8844897642617281E+20</v>
      </c>
      <c r="Z117" s="151">
        <f>mod.math.!W117</f>
        <v>1.2059216473680221E+20</v>
      </c>
      <c r="AA117" s="151">
        <f>mod.math.!X117</f>
        <v>6.81890838567685E+19</v>
      </c>
      <c r="AB117" s="151">
        <f>mod.math.!Y117</f>
        <v>2.7453231157923131E+19</v>
      </c>
      <c r="AC117" s="151">
        <f>mod.math.!Z117</f>
        <v>7.5817071878157957E+18</v>
      </c>
      <c r="AD117" s="151">
        <f>mod.math.!AA117</f>
        <v>1.2100877055466934E+22</v>
      </c>
      <c r="AE117" s="153"/>
      <c r="AF117" s="144">
        <f>dragon!L117</f>
        <v>0</v>
      </c>
      <c r="AG117" s="144">
        <f>dragon!M117</f>
        <v>0</v>
      </c>
      <c r="AH117" s="144">
        <f>dragon!N117</f>
        <v>0</v>
      </c>
      <c r="AI117" s="144">
        <f>dragon!O117</f>
        <v>0</v>
      </c>
      <c r="AJ117" s="144">
        <f>dragon!P117</f>
        <v>0</v>
      </c>
      <c r="AK117" s="144">
        <f>dragon!Q117</f>
        <v>0</v>
      </c>
      <c r="AL117" s="144">
        <f>dragon!S117</f>
        <v>0</v>
      </c>
      <c r="AM117" s="144">
        <f>dragon!R117</f>
        <v>0</v>
      </c>
      <c r="AN117" s="153"/>
      <c r="AO117" s="153"/>
      <c r="AP117" s="153"/>
      <c r="AQ117" s="153"/>
      <c r="AR117" s="153"/>
      <c r="AS117" s="153"/>
      <c r="AT117" s="153"/>
      <c r="AU117" s="153"/>
      <c r="AV117" s="153"/>
      <c r="AW117" s="153"/>
      <c r="AX117" s="153"/>
    </row>
    <row r="118" spans="1:50" ht="12.75" thickBot="1">
      <c r="A118" s="146">
        <f>mod.RK1!F118</f>
        <v>9.6666666666666661</v>
      </c>
      <c r="B118" s="147">
        <f>mod.RK1!I118</f>
        <v>2.337354947550224E+19</v>
      </c>
      <c r="C118" s="148">
        <f>mod.RK1!K118</f>
        <v>1.6637452927850214E+21</v>
      </c>
      <c r="D118" s="147">
        <f>mod.RK1!M118</f>
        <v>8.8992915626125741E+20</v>
      </c>
      <c r="E118" s="148">
        <f>mod.RK1!O118</f>
        <v>1.2074647667442578E+20</v>
      </c>
      <c r="F118" s="147">
        <f>mod.RK1!Q118</f>
        <v>6.8306924982827901E+19</v>
      </c>
      <c r="G118" s="148">
        <f>mod.RK1!S118</f>
        <v>2.7417982768446431E+19</v>
      </c>
      <c r="H118" s="147">
        <f>mod.RK1!W118</f>
        <v>7.4118061586889923E+18</v>
      </c>
      <c r="I118" s="148">
        <f>mod.RK1!Y118</f>
        <v>1.2060697148867081E+22</v>
      </c>
      <c r="J118" s="149">
        <f>mod.O5!U118</f>
        <v>9.6666666666666661</v>
      </c>
      <c r="K118" s="150">
        <f>mod.O5!AC118</f>
        <v>2.3373254897535222E+19</v>
      </c>
      <c r="L118" s="150">
        <f>mod.O5!AD118</f>
        <v>1.6641661938885282E+21</v>
      </c>
      <c r="M118" s="150">
        <f>mod.O5!AE118</f>
        <v>8.8887111319475978E+20</v>
      </c>
      <c r="N118" s="150">
        <f>mod.O5!AF118</f>
        <v>1.206665559510819E+20</v>
      </c>
      <c r="O118" s="150">
        <f>mod.O5!AG118</f>
        <v>6.8279829726609826E+19</v>
      </c>
      <c r="P118" s="150">
        <f>mod.O5!AH118</f>
        <v>2.7441867031223325E+19</v>
      </c>
      <c r="Q118" s="150">
        <f>mod.O5!AI118</f>
        <v>7.608682465484202E+18</v>
      </c>
      <c r="R118" s="150">
        <f>mod.O5!AJ118</f>
        <v>1.2066403228868193E+22</v>
      </c>
      <c r="S118" s="153"/>
      <c r="T118" s="151">
        <f>mod.math.!Q118</f>
        <v>116</v>
      </c>
      <c r="U118" s="151">
        <f>mod.math.!R118</f>
        <v>9.6666666666666661</v>
      </c>
      <c r="V118" s="151">
        <f>mod.math.!S118</f>
        <v>304848000</v>
      </c>
      <c r="W118" s="151">
        <f>mod.math.!T118</f>
        <v>7.1606940867811932E+18</v>
      </c>
      <c r="X118" s="151">
        <f>mod.math.!U118</f>
        <v>1.6614209795778903E+21</v>
      </c>
      <c r="Y118" s="151">
        <f>mod.math.!V118</f>
        <v>8.8838121718719159E+20</v>
      </c>
      <c r="Z118" s="151">
        <f>mod.math.!W118</f>
        <v>1.2062701630782888E+20</v>
      </c>
      <c r="AA118" s="151">
        <f>mod.math.!X118</f>
        <v>6.8275337498011599E+19</v>
      </c>
      <c r="AB118" s="151">
        <f>mod.math.!Y118</f>
        <v>2.7438446981879136E+19</v>
      </c>
      <c r="AC118" s="151">
        <f>mod.math.!Z118</f>
        <v>7.4211053767065457E+18</v>
      </c>
      <c r="AD118" s="151">
        <f>mod.math.!AA118</f>
        <v>1.2066402285417409E+22</v>
      </c>
      <c r="AE118" s="153"/>
      <c r="AF118" s="144">
        <f>dragon!L118</f>
        <v>0</v>
      </c>
      <c r="AG118" s="144">
        <f>dragon!M118</f>
        <v>0</v>
      </c>
      <c r="AH118" s="144">
        <f>dragon!N118</f>
        <v>0</v>
      </c>
      <c r="AI118" s="144">
        <f>dragon!O118</f>
        <v>0</v>
      </c>
      <c r="AJ118" s="144">
        <f>dragon!P118</f>
        <v>0</v>
      </c>
      <c r="AK118" s="144">
        <f>dragon!Q118</f>
        <v>0</v>
      </c>
      <c r="AL118" s="144">
        <f>dragon!S118</f>
        <v>0</v>
      </c>
      <c r="AM118" s="144">
        <f>dragon!R118</f>
        <v>0</v>
      </c>
      <c r="AN118" s="153"/>
      <c r="AO118" s="153"/>
      <c r="AP118" s="153"/>
      <c r="AQ118" s="153"/>
      <c r="AR118" s="153"/>
      <c r="AS118" s="153"/>
      <c r="AT118" s="153"/>
      <c r="AU118" s="153"/>
      <c r="AV118" s="153"/>
      <c r="AW118" s="153"/>
      <c r="AX118" s="153"/>
    </row>
    <row r="119" spans="1:50" ht="12.75" thickBot="1">
      <c r="A119" s="146">
        <f>mod.RK1!F119</f>
        <v>9.75</v>
      </c>
      <c r="B119" s="147">
        <f>mod.RK1!I119</f>
        <v>2.3318841102454632E+19</v>
      </c>
      <c r="C119" s="148">
        <f>mod.RK1!K119</f>
        <v>1.6592683994473095E+21</v>
      </c>
      <c r="D119" s="147">
        <f>mod.RK1!M119</f>
        <v>8.8984976270496629E+20</v>
      </c>
      <c r="E119" s="148">
        <f>mod.RK1!O119</f>
        <v>1.2078346392221273E+20</v>
      </c>
      <c r="F119" s="147">
        <f>mod.RK1!Q119</f>
        <v>6.8393171602391146E+19</v>
      </c>
      <c r="G119" s="148">
        <f>mod.RK1!S119</f>
        <v>2.7404258090642326E+19</v>
      </c>
      <c r="H119" s="147">
        <f>mod.RK1!W119</f>
        <v>7.2571025534548398E+18</v>
      </c>
      <c r="I119" s="148">
        <f>mod.RK1!Y119</f>
        <v>1.2026287821290354E+22</v>
      </c>
      <c r="J119" s="149">
        <f>mod.O5!U119</f>
        <v>9.75</v>
      </c>
      <c r="K119" s="150">
        <f>mod.O5!AC119</f>
        <v>2.3319734317242884E+19</v>
      </c>
      <c r="L119" s="150">
        <f>mod.O5!AD119</f>
        <v>1.6596981561026696E+21</v>
      </c>
      <c r="M119" s="150">
        <f>mod.O5!AE119</f>
        <v>8.8879279891770691E+20</v>
      </c>
      <c r="N119" s="150">
        <f>mod.O5!AF119</f>
        <v>1.2070089170759067E+20</v>
      </c>
      <c r="O119" s="150">
        <f>mod.O5!AG119</f>
        <v>6.8365747292182995E+19</v>
      </c>
      <c r="P119" s="150">
        <f>mod.O5!AH119</f>
        <v>2.7427584849384944E+19</v>
      </c>
      <c r="Q119" s="150">
        <f>mod.O5!AI119</f>
        <v>7.4514482116566221E+18</v>
      </c>
      <c r="R119" s="150">
        <f>mod.O5!AJ119</f>
        <v>1.2032026683466081E+22</v>
      </c>
      <c r="S119" s="153"/>
      <c r="T119" s="151">
        <f>mod.math.!Q119</f>
        <v>117</v>
      </c>
      <c r="U119" s="151">
        <f>mod.math.!R119</f>
        <v>9.75</v>
      </c>
      <c r="V119" s="151">
        <f>mod.math.!S119</f>
        <v>307476000</v>
      </c>
      <c r="W119" s="151">
        <f>mod.math.!T119</f>
        <v>7.0768386893391012E+18</v>
      </c>
      <c r="X119" s="151">
        <f>mod.math.!U119</f>
        <v>1.6569351030700025E+21</v>
      </c>
      <c r="Y119" s="151">
        <f>mod.math.!V119</f>
        <v>8.8829528839266815E+20</v>
      </c>
      <c r="Z119" s="151">
        <f>mod.math.!W119</f>
        <v>1.2066051388722124E+20</v>
      </c>
      <c r="AA119" s="151">
        <f>mod.math.!X119</f>
        <v>6.8361115411016876E+19</v>
      </c>
      <c r="AB119" s="151">
        <f>mod.math.!Y119</f>
        <v>2.7424066845048938E+19</v>
      </c>
      <c r="AC119" s="151">
        <f>mod.math.!Z119</f>
        <v>7.263905562151979E+18</v>
      </c>
      <c r="AD119" s="151">
        <f>mod.math.!AA119</f>
        <v>1.2032025732196673E+22</v>
      </c>
      <c r="AE119" s="153"/>
      <c r="AF119" s="144">
        <f>dragon!L119</f>
        <v>0</v>
      </c>
      <c r="AG119" s="144">
        <f>dragon!M119</f>
        <v>0</v>
      </c>
      <c r="AH119" s="144">
        <f>dragon!N119</f>
        <v>0</v>
      </c>
      <c r="AI119" s="144">
        <f>dragon!O119</f>
        <v>0</v>
      </c>
      <c r="AJ119" s="144">
        <f>dragon!P119</f>
        <v>0</v>
      </c>
      <c r="AK119" s="144">
        <f>dragon!Q119</f>
        <v>0</v>
      </c>
      <c r="AL119" s="144">
        <f>dragon!S119</f>
        <v>0</v>
      </c>
      <c r="AM119" s="144">
        <f>dragon!R119</f>
        <v>0</v>
      </c>
      <c r="AN119" s="153"/>
      <c r="AO119" s="153"/>
      <c r="AP119" s="153"/>
      <c r="AQ119" s="153"/>
      <c r="AR119" s="153"/>
      <c r="AS119" s="153"/>
      <c r="AT119" s="153"/>
      <c r="AU119" s="153"/>
      <c r="AV119" s="153"/>
      <c r="AW119" s="153"/>
      <c r="AX119" s="153"/>
    </row>
    <row r="120" spans="1:50" ht="12.75" thickBot="1">
      <c r="A120" s="146">
        <f>mod.RK1!F120</f>
        <v>9.8333333333333339</v>
      </c>
      <c r="B120" s="147">
        <f>mod.RK1!I120</f>
        <v>2.3264164884878664E+19</v>
      </c>
      <c r="C120" s="148">
        <f>mod.RK1!K120</f>
        <v>1.6547988917021956E+21</v>
      </c>
      <c r="D120" s="147">
        <f>mod.RK1!M120</f>
        <v>8.8975227285990382E+20</v>
      </c>
      <c r="E120" s="148">
        <f>mod.RK1!O120</f>
        <v>1.2081900156773445E+20</v>
      </c>
      <c r="F120" s="147">
        <f>mod.RK1!Q120</f>
        <v>6.8478954197144142E+19</v>
      </c>
      <c r="G120" s="148">
        <f>mod.RK1!S120</f>
        <v>2.7390933145334231E+19</v>
      </c>
      <c r="H120" s="147">
        <f>mod.RK1!W120</f>
        <v>7.1057004852762542E+18</v>
      </c>
      <c r="I120" s="148">
        <f>mod.RK1!Y120</f>
        <v>1.1991976664021026E+22</v>
      </c>
      <c r="J120" s="149">
        <f>mod.O5!U120</f>
        <v>9.8333333333333339</v>
      </c>
      <c r="K120" s="150">
        <f>mod.O5!AC120</f>
        <v>2.3266218272770273E+19</v>
      </c>
      <c r="L120" s="150">
        <f>mod.O5!AD120</f>
        <v>1.6552374535856403E+21</v>
      </c>
      <c r="M120" s="150">
        <f>mod.O5!AE120</f>
        <v>8.8869650330741323E+20</v>
      </c>
      <c r="N120" s="150">
        <f>mod.O5!AF120</f>
        <v>1.2073384549330221E+20</v>
      </c>
      <c r="O120" s="150">
        <f>mod.O5!AG120</f>
        <v>6.8451190381589643E+19</v>
      </c>
      <c r="P120" s="150">
        <f>mod.O5!AH120</f>
        <v>2.7413695630538355E+19</v>
      </c>
      <c r="Q120" s="150">
        <f>mod.O5!AI120</f>
        <v>7.2975338062769848E+18</v>
      </c>
      <c r="R120" s="150">
        <f>mod.O5!AJ120</f>
        <v>1.1997748075067183E+22</v>
      </c>
      <c r="S120" s="153"/>
      <c r="T120" s="151">
        <f>mod.math.!Q120</f>
        <v>118</v>
      </c>
      <c r="U120" s="151">
        <f>mod.math.!R120</f>
        <v>9.8333333333333339</v>
      </c>
      <c r="V120" s="151">
        <f>mod.math.!S120</f>
        <v>310104000</v>
      </c>
      <c r="W120" s="151">
        <f>mod.math.!T120</f>
        <v>6.9936406906258309E+18</v>
      </c>
      <c r="X120" s="151">
        <f>mod.math.!U120</f>
        <v>1.6524567818412978E+21</v>
      </c>
      <c r="Y120" s="151">
        <f>mod.math.!V120</f>
        <v>8.8819136446080116E+20</v>
      </c>
      <c r="Z120" s="151">
        <f>mod.math.!W120</f>
        <v>1.2069262394153712E+20</v>
      </c>
      <c r="AA120" s="151">
        <f>mod.math.!X120</f>
        <v>6.8446416064881656E+19</v>
      </c>
      <c r="AB120" s="151">
        <f>mod.math.!Y120</f>
        <v>2.7410077959386149E+19</v>
      </c>
      <c r="AC120" s="151">
        <f>mod.math.!Z120</f>
        <v>7.1100356803286692E+18</v>
      </c>
      <c r="AD120" s="151">
        <f>mod.math.!AA120</f>
        <v>1.1997747115990085E+22</v>
      </c>
      <c r="AE120" s="153"/>
      <c r="AF120" s="144">
        <f>dragon!L120</f>
        <v>0</v>
      </c>
      <c r="AG120" s="144">
        <f>dragon!M120</f>
        <v>0</v>
      </c>
      <c r="AH120" s="144">
        <f>dragon!N120</f>
        <v>0</v>
      </c>
      <c r="AI120" s="144">
        <f>dragon!O120</f>
        <v>0</v>
      </c>
      <c r="AJ120" s="144">
        <f>dragon!P120</f>
        <v>0</v>
      </c>
      <c r="AK120" s="144">
        <f>dragon!Q120</f>
        <v>0</v>
      </c>
      <c r="AL120" s="144">
        <f>dragon!S120</f>
        <v>0</v>
      </c>
      <c r="AM120" s="144">
        <f>dragon!R120</f>
        <v>0</v>
      </c>
      <c r="AN120" s="153"/>
      <c r="AO120" s="153"/>
      <c r="AP120" s="153"/>
      <c r="AQ120" s="153"/>
      <c r="AR120" s="153"/>
      <c r="AS120" s="153"/>
      <c r="AT120" s="153"/>
      <c r="AU120" s="153"/>
      <c r="AV120" s="153"/>
      <c r="AW120" s="153"/>
      <c r="AX120" s="153"/>
    </row>
    <row r="121" spans="1:50" ht="12.75" thickBot="1">
      <c r="A121" s="146">
        <f>mod.RK1!F121</f>
        <v>9.9166666666666661</v>
      </c>
      <c r="B121" s="147">
        <f>mod.RK1!I121</f>
        <v>2.3209540187755209E+19</v>
      </c>
      <c r="C121" s="148">
        <f>mod.RK1!K121</f>
        <v>1.6503368565664401E+21</v>
      </c>
      <c r="D121" s="147">
        <f>mod.RK1!M121</f>
        <v>8.8963686072675559E+20</v>
      </c>
      <c r="E121" s="148">
        <f>mod.RK1!O121</f>
        <v>1.2085305840257758E+20</v>
      </c>
      <c r="F121" s="147">
        <f>mod.RK1!Q121</f>
        <v>6.8564270834259182E+19</v>
      </c>
      <c r="G121" s="148">
        <f>mod.RK1!S121</f>
        <v>2.7377994788879974E+19</v>
      </c>
      <c r="H121" s="147">
        <f>mod.RK1!W121</f>
        <v>6.9575292846902405E+18</v>
      </c>
      <c r="I121" s="148">
        <f>mod.RK1!Y121</f>
        <v>1.1957763396977761E+22</v>
      </c>
      <c r="J121" s="149">
        <f>mod.O5!U121</f>
        <v>9.9166666666666661</v>
      </c>
      <c r="K121" s="150">
        <f>mod.O5!AC121</f>
        <v>2.3212726277991305E+19</v>
      </c>
      <c r="L121" s="150">
        <f>mod.O5!AD121</f>
        <v>1.6507841726576725E+21</v>
      </c>
      <c r="M121" s="150">
        <f>mod.O5!AE121</f>
        <v>8.8858239870737999E+20</v>
      </c>
      <c r="N121" s="150">
        <f>mod.O5!AF121</f>
        <v>1.2076538506132973E+20</v>
      </c>
      <c r="O121" s="150">
        <f>mod.O5!AG121</f>
        <v>6.8536157372546245E+19</v>
      </c>
      <c r="P121" s="150">
        <f>mod.O5!AH121</f>
        <v>2.7400186742279467E+19</v>
      </c>
      <c r="Q121" s="150">
        <f>mod.O5!AI121</f>
        <v>7.1468688224588145E+18</v>
      </c>
      <c r="R121" s="150">
        <f>mod.O5!AJ121</f>
        <v>1.1963567124653028E+22</v>
      </c>
      <c r="S121" s="153"/>
      <c r="T121" s="151">
        <f>mod.math.!Q121</f>
        <v>119</v>
      </c>
      <c r="U121" s="151">
        <f>mod.math.!R121</f>
        <v>9.9166666666666661</v>
      </c>
      <c r="V121" s="151">
        <f>mod.math.!S121</f>
        <v>312732000</v>
      </c>
      <c r="W121" s="151">
        <f>mod.math.!T121</f>
        <v>6.9111046223641426E+18</v>
      </c>
      <c r="X121" s="151">
        <f>mod.math.!U121</f>
        <v>1.6479861005858644E+21</v>
      </c>
      <c r="Y121" s="151">
        <f>mod.math.!V121</f>
        <v>8.880696187936401E+20</v>
      </c>
      <c r="Z121" s="151">
        <f>mod.math.!W121</f>
        <v>1.2072331464857502E+20</v>
      </c>
      <c r="AA121" s="151">
        <f>mod.math.!X121</f>
        <v>6.8531237779480871E+19</v>
      </c>
      <c r="AB121" s="151">
        <f>mod.math.!Y121</f>
        <v>2.7396467637673103E+19</v>
      </c>
      <c r="AC121" s="151">
        <f>mod.math.!Z121</f>
        <v>6.9594251939269734E+18</v>
      </c>
      <c r="AD121" s="151">
        <f>mod.math.!AA121</f>
        <v>1.196356615778018E+22</v>
      </c>
      <c r="AE121" s="153"/>
      <c r="AF121" s="144">
        <f>dragon!L121</f>
        <v>0</v>
      </c>
      <c r="AG121" s="144">
        <f>dragon!M121</f>
        <v>0</v>
      </c>
      <c r="AH121" s="144">
        <f>dragon!N121</f>
        <v>0</v>
      </c>
      <c r="AI121" s="144">
        <f>dragon!O121</f>
        <v>0</v>
      </c>
      <c r="AJ121" s="144">
        <f>dragon!P121</f>
        <v>0</v>
      </c>
      <c r="AK121" s="144">
        <f>dragon!Q121</f>
        <v>0</v>
      </c>
      <c r="AL121" s="144">
        <f>dragon!S121</f>
        <v>0</v>
      </c>
      <c r="AM121" s="144">
        <f>dragon!R121</f>
        <v>0</v>
      </c>
      <c r="AN121" s="153"/>
      <c r="AO121" s="153"/>
      <c r="AP121" s="153"/>
      <c r="AQ121" s="153"/>
      <c r="AR121" s="153"/>
      <c r="AS121" s="153"/>
      <c r="AT121" s="153"/>
      <c r="AU121" s="153"/>
      <c r="AV121" s="153"/>
      <c r="AW121" s="153"/>
      <c r="AX121" s="153"/>
    </row>
    <row r="122" spans="1:50" ht="12.75" thickBot="1">
      <c r="A122" s="146">
        <f>mod.RK1!F122</f>
        <v>10</v>
      </c>
      <c r="B122" s="147">
        <f>mod.RK1!I122</f>
        <v>2.315498557794075E+19</v>
      </c>
      <c r="C122" s="148">
        <f>mod.RK1!K122</f>
        <v>1.6458823787169144E+21</v>
      </c>
      <c r="D122" s="147">
        <f>mod.RK1!M122</f>
        <v>8.8950369929409344E+20</v>
      </c>
      <c r="E122" s="148">
        <f>mod.RK1!O122</f>
        <v>1.2088560488558753E+20</v>
      </c>
      <c r="F122" s="147">
        <f>mod.RK1!Q122</f>
        <v>6.8649119439045526E+19</v>
      </c>
      <c r="G122" s="148">
        <f>mod.RK1!S122</f>
        <v>2.7365429991777825E+19</v>
      </c>
      <c r="H122" s="147">
        <f>mod.RK1!W122</f>
        <v>6.81251979550221E+18</v>
      </c>
      <c r="I122" s="148">
        <f>mod.RK1!Y122</f>
        <v>1.19236477408783E+22</v>
      </c>
      <c r="J122" s="149">
        <f>mod.O5!U122</f>
        <v>10</v>
      </c>
      <c r="K122" s="150">
        <f>mod.O5!AC122</f>
        <v>2.3159277089750217E+19</v>
      </c>
      <c r="L122" s="150">
        <f>mod.O5!AD122</f>
        <v>1.646338397386959E+21</v>
      </c>
      <c r="M122" s="150">
        <f>mod.O5!AE122</f>
        <v>8.8845065644566983E+20</v>
      </c>
      <c r="N122" s="150">
        <f>mod.O5!AF122</f>
        <v>1.2079547972013036E+20</v>
      </c>
      <c r="O122" s="150">
        <f>mod.O5!AG122</f>
        <v>6.8620646517302395E+19</v>
      </c>
      <c r="P122" s="150">
        <f>mod.O5!AH122</f>
        <v>2.7387045677474169E+19</v>
      </c>
      <c r="Q122" s="150">
        <f>mod.O5!AI122</f>
        <v>6.9993842833467976E+18</v>
      </c>
      <c r="R122" s="150">
        <f>mod.O5!AJ122</f>
        <v>1.192948355399973E+22</v>
      </c>
      <c r="S122" s="153"/>
      <c r="T122" s="151">
        <f>mod.math.!Q122</f>
        <v>120</v>
      </c>
      <c r="U122" s="151">
        <f>mod.math.!R122</f>
        <v>10</v>
      </c>
      <c r="V122" s="151">
        <f>mod.math.!S122</f>
        <v>315360000</v>
      </c>
      <c r="W122" s="151">
        <f>mod.math.!T122</f>
        <v>6.8292346158110372E+18</v>
      </c>
      <c r="X122" s="151">
        <f>mod.math.!U122</f>
        <v>1.6435231416635695E+21</v>
      </c>
      <c r="Y122" s="151">
        <f>mod.math.!V122</f>
        <v>8.8793022377526795E+20</v>
      </c>
      <c r="Z122" s="151">
        <f>mod.math.!W122</f>
        <v>1.2075255584217059E+20</v>
      </c>
      <c r="AA122" s="151">
        <f>mod.math.!X122</f>
        <v>6.8615578733550305E+19</v>
      </c>
      <c r="AB122" s="151">
        <f>mod.math.!Y122</f>
        <v>2.7383223298423202E+19</v>
      </c>
      <c r="AC122" s="151">
        <f>mod.math.!Z122</f>
        <v>6.8120050598151987E+18</v>
      </c>
      <c r="AD122" s="151">
        <f>mod.math.!AA122</f>
        <v>1.1929482579344399E+22</v>
      </c>
      <c r="AE122" s="153"/>
      <c r="AF122" s="144">
        <f>dragon!L122</f>
        <v>0</v>
      </c>
      <c r="AG122" s="144">
        <f>dragon!M122</f>
        <v>0</v>
      </c>
      <c r="AH122" s="144">
        <f>dragon!N122</f>
        <v>0</v>
      </c>
      <c r="AI122" s="144">
        <f>dragon!O122</f>
        <v>0</v>
      </c>
      <c r="AJ122" s="144">
        <f>dragon!P122</f>
        <v>0</v>
      </c>
      <c r="AK122" s="144">
        <f>dragon!Q122</f>
        <v>0</v>
      </c>
      <c r="AL122" s="144">
        <f>dragon!S122</f>
        <v>0</v>
      </c>
      <c r="AM122" s="144">
        <f>dragon!R122</f>
        <v>0</v>
      </c>
      <c r="AN122" s="153"/>
      <c r="AO122" s="153"/>
      <c r="AP122" s="153"/>
      <c r="AQ122" s="153"/>
      <c r="AR122" s="153"/>
      <c r="AS122" s="153"/>
      <c r="AT122" s="153"/>
      <c r="AU122" s="153"/>
      <c r="AV122" s="153"/>
      <c r="AW122" s="153"/>
      <c r="AX122" s="153"/>
    </row>
    <row r="123" spans="1:50" ht="12.75" thickBot="1">
      <c r="A123" s="146">
        <f>mod.RK1!F123</f>
        <v>10.083333333333334</v>
      </c>
      <c r="B123" s="147">
        <f>mod.RK1!I123</f>
        <v>2.3100518845810385E+19</v>
      </c>
      <c r="C123" s="148">
        <f>mod.RK1!K123</f>
        <v>1.6414355405360865E+21</v>
      </c>
      <c r="D123" s="147">
        <f>mod.RK1!M123</f>
        <v>8.8935296053659356E+20</v>
      </c>
      <c r="E123" s="148">
        <f>mod.RK1!O123</f>
        <v>1.2091661308817808E+20</v>
      </c>
      <c r="F123" s="147">
        <f>mod.RK1!Q123</f>
        <v>6.8733497802965901E+19</v>
      </c>
      <c r="G123" s="148">
        <f>mod.RK1!S123</f>
        <v>2.7353225843305304E+19</v>
      </c>
      <c r="H123" s="147">
        <f>mod.RK1!W123</f>
        <v>6.6706043423807304E+18</v>
      </c>
      <c r="I123" s="148">
        <f>mod.RK1!Y123</f>
        <v>1.1889629417237178E+22</v>
      </c>
      <c r="J123" s="149"/>
      <c r="K123" s="150"/>
      <c r="L123" s="150"/>
      <c r="M123" s="150"/>
      <c r="N123" s="150"/>
      <c r="O123" s="150"/>
      <c r="P123" s="150"/>
      <c r="Q123" s="150"/>
      <c r="R123" s="150"/>
      <c r="S123" s="153"/>
      <c r="T123" s="151">
        <f>mod.math.!Q123</f>
        <v>121</v>
      </c>
      <c r="U123" s="151">
        <f>mod.math.!R123</f>
        <v>10.083333333333334</v>
      </c>
      <c r="V123" s="151">
        <f>mod.math.!S123</f>
        <v>317988000</v>
      </c>
      <c r="W123" s="151">
        <f>mod.math.!T123</f>
        <v>6.7480344152633344E+18</v>
      </c>
      <c r="X123" s="151">
        <f>mod.math.!U123</f>
        <v>1.6390679851467837E+21</v>
      </c>
      <c r="Y123" s="151">
        <f>mod.math.!V123</f>
        <v>8.8777335077019084E+20</v>
      </c>
      <c r="Z123" s="151">
        <f>mod.math.!W123</f>
        <v>1.2078031895863412E+20</v>
      </c>
      <c r="AA123" s="151">
        <f>mod.math.!X123</f>
        <v>6.8699436972502614E+19</v>
      </c>
      <c r="AB123" s="151">
        <f>mod.math.!Y123</f>
        <v>2.7370332470476947E+19</v>
      </c>
      <c r="AC123" s="151">
        <f>mod.math.!Z123</f>
        <v>6.6677076973887191E+18</v>
      </c>
      <c r="AD123" s="151">
        <f>mod.math.!AA123</f>
        <v>1.1895496103252822E+22</v>
      </c>
      <c r="AE123" s="153"/>
      <c r="AF123" s="144">
        <f>dragon!L123</f>
        <v>0</v>
      </c>
      <c r="AG123" s="144">
        <f>dragon!M123</f>
        <v>0</v>
      </c>
      <c r="AH123" s="144">
        <f>dragon!N123</f>
        <v>0</v>
      </c>
      <c r="AI123" s="144">
        <f>dragon!O123</f>
        <v>0</v>
      </c>
      <c r="AJ123" s="144">
        <f>dragon!P123</f>
        <v>0</v>
      </c>
      <c r="AK123" s="144">
        <f>dragon!Q123</f>
        <v>0</v>
      </c>
      <c r="AL123" s="144">
        <f>dragon!S123</f>
        <v>0</v>
      </c>
      <c r="AM123" s="144">
        <f>dragon!R123</f>
        <v>0</v>
      </c>
      <c r="AN123" s="153"/>
      <c r="AO123" s="153"/>
      <c r="AP123" s="153"/>
      <c r="AQ123" s="153"/>
      <c r="AR123" s="153"/>
      <c r="AS123" s="153"/>
      <c r="AT123" s="153"/>
      <c r="AU123" s="153"/>
      <c r="AV123" s="153"/>
      <c r="AW123" s="153"/>
      <c r="AX123" s="153"/>
    </row>
    <row r="124" spans="1:50" ht="12.75" thickBot="1">
      <c r="A124" s="146">
        <f>mod.RK1!F124</f>
        <v>10.166666666666666</v>
      </c>
      <c r="B124" s="147">
        <f>mod.RK1!I124</f>
        <v>2.3046157026438935E+19</v>
      </c>
      <c r="C124" s="148">
        <f>mod.RK1!K124</f>
        <v>1.6369964221566838E+21</v>
      </c>
      <c r="D124" s="147">
        <f>mod.RK1!M124</f>
        <v>8.8918481541345811E+20</v>
      </c>
      <c r="E124" s="148">
        <f>mod.RK1!O124</f>
        <v>1.2094605664128978E+20</v>
      </c>
      <c r="F124" s="147">
        <f>mod.RK1!Q124</f>
        <v>6.8817403591384687E+19</v>
      </c>
      <c r="G124" s="148">
        <f>mod.RK1!S124</f>
        <v>2.7341369555852796E+19</v>
      </c>
      <c r="H124" s="147">
        <f>mod.RK1!W124</f>
        <v>6.5317166991461827E+18</v>
      </c>
      <c r="I124" s="148">
        <f>mod.RK1!Y124</f>
        <v>1.1855708148363455E+22</v>
      </c>
      <c r="J124" s="149"/>
      <c r="K124" s="150"/>
      <c r="L124" s="150"/>
      <c r="M124" s="150"/>
      <c r="N124" s="150"/>
      <c r="O124" s="150"/>
      <c r="P124" s="150"/>
      <c r="Q124" s="150"/>
      <c r="R124" s="150"/>
      <c r="S124" s="153"/>
      <c r="T124" s="151">
        <f>mod.math.!Q124</f>
        <v>122</v>
      </c>
      <c r="U124" s="151">
        <f>mod.math.!R124</f>
        <v>10.166666666666666</v>
      </c>
      <c r="V124" s="151">
        <f>mod.math.!S124</f>
        <v>320616000</v>
      </c>
      <c r="W124" s="151">
        <f>mod.math.!T124</f>
        <v>6.6675073911942339E+18</v>
      </c>
      <c r="X124" s="151">
        <f>mod.math.!U124</f>
        <v>1.6346207088662269E+21</v>
      </c>
      <c r="Y124" s="151">
        <f>mod.math.!V124</f>
        <v>8.8759917012193955E+20</v>
      </c>
      <c r="Z124" s="151">
        <f>mod.math.!W124</f>
        <v>1.2080657698477851E+20</v>
      </c>
      <c r="AA124" s="151">
        <f>mod.math.!X124</f>
        <v>6.8782810415985099E+19</v>
      </c>
      <c r="AB124" s="151">
        <f>mod.math.!Y124</f>
        <v>2.7357782797304185E+19</v>
      </c>
      <c r="AC124" s="151">
        <f>mod.math.!Z124</f>
        <v>6.5264669575895603E+18</v>
      </c>
      <c r="AD124" s="151">
        <f>mod.math.!AA124</f>
        <v>1.186160645286592E+22</v>
      </c>
      <c r="AE124" s="153"/>
      <c r="AF124" s="144">
        <f>dragon!L124</f>
        <v>0</v>
      </c>
      <c r="AG124" s="144">
        <f>dragon!M124</f>
        <v>0</v>
      </c>
      <c r="AH124" s="144">
        <f>dragon!N124</f>
        <v>0</v>
      </c>
      <c r="AI124" s="144">
        <f>dragon!O124</f>
        <v>0</v>
      </c>
      <c r="AJ124" s="144">
        <f>dragon!P124</f>
        <v>0</v>
      </c>
      <c r="AK124" s="144">
        <f>dragon!Q124</f>
        <v>0</v>
      </c>
      <c r="AL124" s="144">
        <f>dragon!S124</f>
        <v>0</v>
      </c>
      <c r="AM124" s="144">
        <f>dragon!R124</f>
        <v>0</v>
      </c>
      <c r="AN124" s="153"/>
      <c r="AO124" s="153"/>
      <c r="AP124" s="153"/>
      <c r="AQ124" s="153"/>
      <c r="AR124" s="153"/>
      <c r="AS124" s="153"/>
      <c r="AT124" s="153"/>
      <c r="AU124" s="153"/>
      <c r="AV124" s="153"/>
      <c r="AW124" s="153"/>
      <c r="AX124" s="153"/>
    </row>
    <row r="125" spans="1:50" ht="12.75" thickBot="1">
      <c r="A125" s="146">
        <f>mod.RK1!F125</f>
        <v>10.25</v>
      </c>
      <c r="B125" s="147">
        <f>mod.RK1!I125</f>
        <v>2.2991916420327793E+19</v>
      </c>
      <c r="C125" s="148">
        <f>mod.RK1!K125</f>
        <v>1.6325651015055458E+21</v>
      </c>
      <c r="D125" s="147">
        <f>mod.RK1!M125</f>
        <v>8.8899943386703698E+20</v>
      </c>
      <c r="E125" s="148">
        <f>mod.RK1!O125</f>
        <v>1.2097391068394811E+20</v>
      </c>
      <c r="F125" s="147">
        <f>mod.RK1!Q125</f>
        <v>6.8900834351055725E+19</v>
      </c>
      <c r="G125" s="148">
        <f>mod.RK1!S125</f>
        <v>2.7329848468964143E+19</v>
      </c>
      <c r="H125" s="147">
        <f>mod.RK1!W125</f>
        <v>6.3957920577384878E+18</v>
      </c>
      <c r="I125" s="148">
        <f>mod.RK1!Y125</f>
        <v>1.1821883657358447E+22</v>
      </c>
      <c r="J125" s="149"/>
      <c r="K125" s="150"/>
      <c r="L125" s="150"/>
      <c r="M125" s="150"/>
      <c r="N125" s="150"/>
      <c r="O125" s="150"/>
      <c r="P125" s="150"/>
      <c r="Q125" s="150"/>
      <c r="R125" s="150"/>
      <c r="S125" s="153"/>
      <c r="T125" s="151">
        <f>mod.math.!Q125</f>
        <v>123</v>
      </c>
      <c r="U125" s="151">
        <f>mod.math.!R125</f>
        <v>10.25</v>
      </c>
      <c r="V125" s="151">
        <f>mod.math.!S125</f>
        <v>323244000</v>
      </c>
      <c r="W125" s="151">
        <f>mod.math.!T125</f>
        <v>6.5876565530302188E+18</v>
      </c>
      <c r="X125" s="151">
        <f>mod.math.!U125</f>
        <v>1.630181388455952E+21</v>
      </c>
      <c r="Y125" s="151">
        <f>mod.math.!V125</f>
        <v>8.8740785115186358E+20</v>
      </c>
      <c r="Z125" s="151">
        <f>mod.math.!W125</f>
        <v>1.2083130440749282E+20</v>
      </c>
      <c r="AA125" s="151">
        <f>mod.math.!X125</f>
        <v>6.8865696865186316E+19</v>
      </c>
      <c r="AB125" s="151">
        <f>mod.math.!Y125</f>
        <v>2.734556204102393E+19</v>
      </c>
      <c r="AC125" s="151">
        <f>mod.math.!Z125</f>
        <v>6.3882180925822147E+18</v>
      </c>
      <c r="AD125" s="151">
        <f>mod.math.!AA125</f>
        <v>1.1827813352332287E+22</v>
      </c>
      <c r="AE125" s="153"/>
      <c r="AF125" s="144">
        <f>dragon!L125</f>
        <v>0</v>
      </c>
      <c r="AG125" s="144">
        <f>dragon!M125</f>
        <v>0</v>
      </c>
      <c r="AH125" s="144">
        <f>dragon!N125</f>
        <v>0</v>
      </c>
      <c r="AI125" s="144">
        <f>dragon!O125</f>
        <v>0</v>
      </c>
      <c r="AJ125" s="144">
        <f>dragon!P125</f>
        <v>0</v>
      </c>
      <c r="AK125" s="144">
        <f>dragon!Q125</f>
        <v>0</v>
      </c>
      <c r="AL125" s="144">
        <f>dragon!S125</f>
        <v>0</v>
      </c>
      <c r="AM125" s="144">
        <f>dragon!R125</f>
        <v>0</v>
      </c>
      <c r="AN125" s="153"/>
      <c r="AO125" s="153"/>
      <c r="AP125" s="153"/>
      <c r="AQ125" s="153"/>
      <c r="AR125" s="153"/>
      <c r="AS125" s="153"/>
      <c r="AT125" s="153"/>
      <c r="AU125" s="153"/>
      <c r="AV125" s="153"/>
      <c r="AW125" s="153"/>
      <c r="AX125" s="153"/>
    </row>
    <row r="126" spans="1:50" ht="12.75" thickBot="1">
      <c r="A126" s="146">
        <f>mod.RK1!F126</f>
        <v>10.333333333333334</v>
      </c>
      <c r="B126" s="147">
        <f>mod.RK1!I126</f>
        <v>2.2937812613685064E+19</v>
      </c>
      <c r="C126" s="148">
        <f>mod.RK1!K126</f>
        <v>1.6281416543466795E+21</v>
      </c>
      <c r="D126" s="147">
        <f>mod.RK1!M126</f>
        <v>8.8879698482164321E+20</v>
      </c>
      <c r="E126" s="148">
        <f>mod.RK1!O126</f>
        <v>1.2100015181337364E+20</v>
      </c>
      <c r="F126" s="147">
        <f>mod.RK1!Q126</f>
        <v>6.8983787517357416E+19</v>
      </c>
      <c r="G126" s="148">
        <f>mod.RK1!S126</f>
        <v>2.7318650053096034E+19</v>
      </c>
      <c r="H126" s="147">
        <f>mod.RK1!W126</f>
        <v>6.262766997849343E+18</v>
      </c>
      <c r="I126" s="148">
        <f>mod.RK1!Y126</f>
        <v>1.1788155668113463E+22</v>
      </c>
      <c r="J126" s="149"/>
      <c r="K126" s="150"/>
      <c r="L126" s="150"/>
      <c r="M126" s="150"/>
      <c r="N126" s="150"/>
      <c r="O126" s="150"/>
      <c r="P126" s="150"/>
      <c r="Q126" s="150"/>
      <c r="R126" s="150"/>
      <c r="S126" s="153"/>
      <c r="T126" s="151">
        <f>mod.math.!Q126</f>
        <v>124</v>
      </c>
      <c r="U126" s="151">
        <f>mod.math.!R126</f>
        <v>10.333333333333334</v>
      </c>
      <c r="V126" s="151">
        <f>mod.math.!S126</f>
        <v>325872000</v>
      </c>
      <c r="W126" s="151">
        <f>mod.math.!T126</f>
        <v>6.5084845615770634E+18</v>
      </c>
      <c r="X126" s="151">
        <f>mod.math.!U126</f>
        <v>1.6257500973974809E+21</v>
      </c>
      <c r="Y126" s="151">
        <f>mod.math.!V126</f>
        <v>8.8719956215812692E+20</v>
      </c>
      <c r="Z126" s="151">
        <f>mod.math.!W126</f>
        <v>1.208544771648153E+20</v>
      </c>
      <c r="AA126" s="151">
        <f>mod.math.!X126</f>
        <v>6.8948094009898893E+19</v>
      </c>
      <c r="AB126" s="151">
        <f>mod.math.!Y126</f>
        <v>2.7333658086152905E+19</v>
      </c>
      <c r="AC126" s="151">
        <f>mod.math.!Z126</f>
        <v>6.2528977260718408E+18</v>
      </c>
      <c r="AD126" s="151">
        <f>mod.math.!AA126</f>
        <v>1.179411652658641E+22</v>
      </c>
      <c r="AE126" s="153"/>
      <c r="AF126" s="144">
        <f>dragon!L126</f>
        <v>0</v>
      </c>
      <c r="AG126" s="144">
        <f>dragon!M126</f>
        <v>0</v>
      </c>
      <c r="AH126" s="144">
        <f>dragon!N126</f>
        <v>0</v>
      </c>
      <c r="AI126" s="144">
        <f>dragon!O126</f>
        <v>0</v>
      </c>
      <c r="AJ126" s="144">
        <f>dragon!P126</f>
        <v>0</v>
      </c>
      <c r="AK126" s="144">
        <f>dragon!Q126</f>
        <v>0</v>
      </c>
      <c r="AL126" s="144">
        <f>dragon!S126</f>
        <v>0</v>
      </c>
      <c r="AM126" s="144">
        <f>dragon!R126</f>
        <v>0</v>
      </c>
      <c r="AN126" s="153"/>
      <c r="AO126" s="153"/>
      <c r="AP126" s="153"/>
      <c r="AQ126" s="153"/>
      <c r="AR126" s="153"/>
      <c r="AS126" s="153"/>
      <c r="AT126" s="153"/>
      <c r="AU126" s="153"/>
      <c r="AV126" s="153"/>
      <c r="AW126" s="153"/>
      <c r="AX126" s="153"/>
    </row>
    <row r="127" spans="1:50" ht="12.75" thickBot="1">
      <c r="A127" s="146">
        <f>mod.RK1!F127</f>
        <v>10.416666666666666</v>
      </c>
      <c r="B127" s="147">
        <f>mod.RK1!I127</f>
        <v>2.2883860498266456E+19</v>
      </c>
      <c r="C127" s="148">
        <f>mod.RK1!K127</f>
        <v>1.6237261543235356E+21</v>
      </c>
      <c r="D127" s="147">
        <f>mod.RK1!M127</f>
        <v>8.8857763618255838E+20</v>
      </c>
      <c r="E127" s="148">
        <f>mod.RK1!O127</f>
        <v>1.2102475803659821E+20</v>
      </c>
      <c r="F127" s="147">
        <f>mod.RK1!Q127</f>
        <v>6.906626042128266E+19</v>
      </c>
      <c r="G127" s="148">
        <f>mod.RK1!S127</f>
        <v>2.7307761913107591E+19</v>
      </c>
      <c r="H127" s="147">
        <f>mod.RK1!W127</f>
        <v>6.1325794572047514E+18</v>
      </c>
      <c r="I127" s="148">
        <f>mod.RK1!Y127</f>
        <v>1.1754523905307554E+22</v>
      </c>
      <c r="J127" s="149"/>
      <c r="K127" s="150"/>
      <c r="L127" s="150"/>
      <c r="M127" s="150"/>
      <c r="N127" s="150"/>
      <c r="O127" s="150"/>
      <c r="P127" s="150"/>
      <c r="Q127" s="150"/>
      <c r="R127" s="150"/>
      <c r="S127" s="153"/>
      <c r="T127" s="151">
        <f>mod.math.!Q127</f>
        <v>125</v>
      </c>
      <c r="U127" s="151">
        <f>mod.math.!R127</f>
        <v>10.416666666666666</v>
      </c>
      <c r="V127" s="151">
        <f>mod.math.!S127</f>
        <v>328500000</v>
      </c>
      <c r="W127" s="151">
        <f>mod.math.!T127</f>
        <v>6.4299937411039068E+18</v>
      </c>
      <c r="X127" s="151">
        <f>mod.math.!U127</f>
        <v>1.6213269070631107E+21</v>
      </c>
      <c r="Y127" s="151">
        <f>mod.math.!V127</f>
        <v>8.8697447041489017E+20</v>
      </c>
      <c r="Z127" s="151">
        <f>mod.math.!W127</f>
        <v>1.2087607259846215E+20</v>
      </c>
      <c r="AA127" s="151">
        <f>mod.math.!X127</f>
        <v>6.9029999435346018E+19</v>
      </c>
      <c r="AB127" s="151">
        <f>mod.math.!Y127</f>
        <v>2.7322058943093834E+19</v>
      </c>
      <c r="AC127" s="151">
        <f>mod.math.!Z127</f>
        <v>6.1204438242511667E+18</v>
      </c>
      <c r="AD127" s="151">
        <f>mod.math.!AA127</f>
        <v>1.1760515701346417E+22</v>
      </c>
      <c r="AE127" s="153"/>
      <c r="AF127" s="144">
        <f>dragon!L127</f>
        <v>0</v>
      </c>
      <c r="AG127" s="144">
        <f>dragon!M127</f>
        <v>0</v>
      </c>
      <c r="AH127" s="144">
        <f>dragon!N127</f>
        <v>0</v>
      </c>
      <c r="AI127" s="144">
        <f>dragon!O127</f>
        <v>0</v>
      </c>
      <c r="AJ127" s="144">
        <f>dragon!P127</f>
        <v>0</v>
      </c>
      <c r="AK127" s="144">
        <f>dragon!Q127</f>
        <v>0</v>
      </c>
      <c r="AL127" s="144">
        <f>dragon!S127</f>
        <v>0</v>
      </c>
      <c r="AM127" s="144">
        <f>dragon!R127</f>
        <v>0</v>
      </c>
      <c r="AN127" s="153"/>
      <c r="AO127" s="153"/>
      <c r="AP127" s="153"/>
      <c r="AQ127" s="153"/>
      <c r="AR127" s="153"/>
      <c r="AS127" s="153"/>
      <c r="AT127" s="153"/>
      <c r="AU127" s="153"/>
      <c r="AV127" s="153"/>
      <c r="AW127" s="153"/>
      <c r="AX127" s="153"/>
    </row>
    <row r="128" spans="1:50" ht="12.75" thickBot="1">
      <c r="A128" s="146">
        <f>mod.RK1!F128</f>
        <v>10.5</v>
      </c>
      <c r="B128" s="147">
        <f>mod.RK1!I128</f>
        <v>2.2830074290784399E+19</v>
      </c>
      <c r="C128" s="148">
        <f>mod.RK1!K128</f>
        <v>1.6193186730005147E+21</v>
      </c>
      <c r="D128" s="147">
        <f>mod.RK1!M128</f>
        <v>8.8834155483522217E+20</v>
      </c>
      <c r="E128" s="148">
        <f>mod.RK1!O128</f>
        <v>1.2104770872354208E+20</v>
      </c>
      <c r="F128" s="147">
        <f>mod.RK1!Q128</f>
        <v>6.9148250296190763E+19</v>
      </c>
      <c r="G128" s="148">
        <f>mod.RK1!S128</f>
        <v>2.7297171791491133E+19</v>
      </c>
      <c r="H128" s="147">
        <f>mod.RK1!W128</f>
        <v>6.0051687024839117E+18</v>
      </c>
      <c r="I128" s="148">
        <f>mod.RK1!Y128</f>
        <v>1.1720988094405267E+22</v>
      </c>
      <c r="J128" s="149"/>
      <c r="K128" s="150"/>
      <c r="L128" s="150"/>
      <c r="M128" s="150"/>
      <c r="N128" s="150"/>
      <c r="O128" s="150"/>
      <c r="P128" s="150"/>
      <c r="Q128" s="150"/>
      <c r="R128" s="150"/>
      <c r="S128" s="153"/>
      <c r="T128" s="151">
        <f>mod.math.!Q128</f>
        <v>126</v>
      </c>
      <c r="U128" s="151">
        <f>mod.math.!R128</f>
        <v>10.5</v>
      </c>
      <c r="V128" s="151">
        <f>mod.math.!S128</f>
        <v>331128000</v>
      </c>
      <c r="W128" s="151">
        <f>mod.math.!T128</f>
        <v>6.3521860910937334E+18</v>
      </c>
      <c r="X128" s="151">
        <f>mod.math.!U128</f>
        <v>1.6169118867584026E+21</v>
      </c>
      <c r="Y128" s="151">
        <f>mod.math.!V128</f>
        <v>8.8673274217167874E+20</v>
      </c>
      <c r="Z128" s="151">
        <f>mod.math.!W128</f>
        <v>1.2089606940776926E+20</v>
      </c>
      <c r="AA128" s="151">
        <f>mod.math.!X128</f>
        <v>6.9111410628778459E+19</v>
      </c>
      <c r="AB128" s="151">
        <f>mod.math.!Y128</f>
        <v>2.7310752751373668E+19</v>
      </c>
      <c r="AC128" s="151">
        <f>mod.math.!Z128</f>
        <v>5.990795667362858E+18</v>
      </c>
      <c r="AD128" s="151">
        <f>mod.math.!AA128</f>
        <v>1.1727010603111857E+22</v>
      </c>
      <c r="AE128" s="153"/>
      <c r="AF128" s="144">
        <f>dragon!L128</f>
        <v>0</v>
      </c>
      <c r="AG128" s="144">
        <f>dragon!M128</f>
        <v>0</v>
      </c>
      <c r="AH128" s="144">
        <f>dragon!N128</f>
        <v>0</v>
      </c>
      <c r="AI128" s="144">
        <f>dragon!O128</f>
        <v>0</v>
      </c>
      <c r="AJ128" s="144">
        <f>dragon!P128</f>
        <v>0</v>
      </c>
      <c r="AK128" s="144">
        <f>dragon!Q128</f>
        <v>0</v>
      </c>
      <c r="AL128" s="144">
        <f>dragon!S128</f>
        <v>0</v>
      </c>
      <c r="AM128" s="144">
        <f>dragon!R128</f>
        <v>0</v>
      </c>
      <c r="AN128" s="153"/>
      <c r="AO128" s="153"/>
      <c r="AP128" s="153"/>
      <c r="AQ128" s="153"/>
      <c r="AR128" s="153"/>
      <c r="AS128" s="153"/>
      <c r="AT128" s="153"/>
      <c r="AU128" s="153"/>
      <c r="AV128" s="153"/>
      <c r="AW128" s="153"/>
      <c r="AX128" s="153"/>
    </row>
    <row r="129" spans="1:50" ht="12.75" thickBot="1">
      <c r="A129" s="146">
        <f>mod.RK1!F129</f>
        <v>10.583333333333334</v>
      </c>
      <c r="B129" s="147">
        <f>mod.RK1!I129</f>
        <v>2.2776467551892693E+19</v>
      </c>
      <c r="C129" s="148">
        <f>mod.RK1!K129</f>
        <v>1.6149192799037201E+21</v>
      </c>
      <c r="D129" s="147">
        <f>mod.RK1!M129</f>
        <v>8.8808890664460222E+20</v>
      </c>
      <c r="E129" s="148">
        <f>mod.RK1!O129</f>
        <v>1.2106898456150879E+20</v>
      </c>
      <c r="F129" s="147">
        <f>mod.RK1!Q129</f>
        <v>6.9229754284328485E+19</v>
      </c>
      <c r="G129" s="148">
        <f>mod.RK1!S129</f>
        <v>2.7286867571354771E+19</v>
      </c>
      <c r="H129" s="147">
        <f>mod.RK1!W129</f>
        <v>5.8804753008608471E+18</v>
      </c>
      <c r="I129" s="148">
        <f>mod.RK1!Y129</f>
        <v>1.1687547961654402E+22</v>
      </c>
      <c r="J129" s="149"/>
      <c r="K129" s="150"/>
      <c r="L129" s="150"/>
      <c r="M129" s="150"/>
      <c r="N129" s="150"/>
      <c r="O129" s="150"/>
      <c r="P129" s="150"/>
      <c r="Q129" s="150"/>
      <c r="R129" s="150"/>
      <c r="S129" s="153"/>
      <c r="T129" s="151">
        <f>mod.math.!Q129</f>
        <v>127</v>
      </c>
      <c r="U129" s="151">
        <f>mod.math.!R129</f>
        <v>10.583333333333334</v>
      </c>
      <c r="V129" s="151">
        <f>mod.math.!S129</f>
        <v>333756000</v>
      </c>
      <c r="W129" s="151">
        <f>mod.math.!T129</f>
        <v>6.2750632976687892E+18</v>
      </c>
      <c r="X129" s="151">
        <f>mod.math.!U129</f>
        <v>1.6125051037638682E+21</v>
      </c>
      <c r="Y129" s="151">
        <f>mod.math.!V129</f>
        <v>8.864745426529321E+20</v>
      </c>
      <c r="Z129" s="151">
        <f>mod.math.!W129</f>
        <v>1.2091444760500602E+20</v>
      </c>
      <c r="AA129" s="151">
        <f>mod.math.!X129</f>
        <v>6.9192324985846596E+19</v>
      </c>
      <c r="AB129" s="151">
        <f>mod.math.!Y129</f>
        <v>2.729972778264209E+19</v>
      </c>
      <c r="AC129" s="151">
        <f>mod.math.!Z129</f>
        <v>5.8638938218642452E+18</v>
      </c>
      <c r="AD129" s="151">
        <f>mod.math.!AA129</f>
        <v>1.1693600959161463E+22</v>
      </c>
      <c r="AE129" s="153"/>
      <c r="AF129" s="144">
        <f>dragon!L129</f>
        <v>0</v>
      </c>
      <c r="AG129" s="144">
        <f>dragon!M129</f>
        <v>0</v>
      </c>
      <c r="AH129" s="144">
        <f>dragon!N129</f>
        <v>0</v>
      </c>
      <c r="AI129" s="144">
        <f>dragon!O129</f>
        <v>0</v>
      </c>
      <c r="AJ129" s="144">
        <f>dragon!P129</f>
        <v>0</v>
      </c>
      <c r="AK129" s="144">
        <f>dragon!Q129</f>
        <v>0</v>
      </c>
      <c r="AL129" s="144">
        <f>dragon!S129</f>
        <v>0</v>
      </c>
      <c r="AM129" s="144">
        <f>dragon!R129</f>
        <v>0</v>
      </c>
      <c r="AN129" s="153"/>
      <c r="AO129" s="153"/>
      <c r="AP129" s="153"/>
      <c r="AQ129" s="153"/>
      <c r="AR129" s="153"/>
      <c r="AS129" s="153"/>
      <c r="AT129" s="153"/>
      <c r="AU129" s="153"/>
      <c r="AV129" s="153"/>
      <c r="AW129" s="153"/>
      <c r="AX129" s="153"/>
    </row>
    <row r="130" spans="1:50" ht="12.75" thickBot="1">
      <c r="A130" s="146">
        <f>mod.RK1!F130</f>
        <v>10.666666666666666</v>
      </c>
      <c r="B130" s="147">
        <f>mod.RK1!I130</f>
        <v>2.2723053204753994E+19</v>
      </c>
      <c r="C130" s="148">
        <f>mod.RK1!K130</f>
        <v>1.6105280425609692E+21</v>
      </c>
      <c r="D130" s="147">
        <f>mod.RK1!M130</f>
        <v>8.8781985645473969E+20</v>
      </c>
      <c r="E130" s="148">
        <f>mod.RK1!O130</f>
        <v>1.2108856751105535E+20</v>
      </c>
      <c r="F130" s="147">
        <f>mod.RK1!Q130</f>
        <v>6.9310769443127001E+19</v>
      </c>
      <c r="G130" s="148">
        <f>mod.RK1!S130</f>
        <v>2.7276837279167033E+19</v>
      </c>
      <c r="H130" s="147">
        <f>mod.RK1!W130</f>
        <v>5.7584410921554381E+18</v>
      </c>
      <c r="I130" s="148">
        <f>mod.RK1!Y130</f>
        <v>1.1654203234083775E+22</v>
      </c>
      <c r="J130" s="149"/>
      <c r="K130" s="150"/>
      <c r="L130" s="150"/>
      <c r="M130" s="150"/>
      <c r="N130" s="150"/>
      <c r="O130" s="150"/>
      <c r="P130" s="150"/>
      <c r="Q130" s="150"/>
      <c r="R130" s="150"/>
      <c r="S130" s="153"/>
      <c r="T130" s="151">
        <f>mod.math.!Q130</f>
        <v>128</v>
      </c>
      <c r="U130" s="151">
        <f>mod.math.!R130</f>
        <v>10.666666666666666</v>
      </c>
      <c r="V130" s="151">
        <f>mod.math.!S130</f>
        <v>336384000</v>
      </c>
      <c r="W130" s="151">
        <f>mod.math.!T130</f>
        <v>6.1986267446989373E+18</v>
      </c>
      <c r="X130" s="151">
        <f>mod.math.!U130</f>
        <v>1.6081066233758703E+21</v>
      </c>
      <c r="Y130" s="151">
        <f>mod.math.!V130</f>
        <v>8.8620003605772698E+20</v>
      </c>
      <c r="Z130" s="151">
        <f>mod.math.!W130</f>
        <v>1.2093118847201983E+20</v>
      </c>
      <c r="AA130" s="151">
        <f>mod.math.!X130</f>
        <v>6.9272739816759853E+19</v>
      </c>
      <c r="AB130" s="151">
        <f>mod.math.!Y130</f>
        <v>2.7288972443439608E+19</v>
      </c>
      <c r="AC130" s="151">
        <f>mod.math.!Z130</f>
        <v>5.739680113181696E+18</v>
      </c>
      <c r="AD130" s="151">
        <f>mod.math.!AA130</f>
        <v>1.1660286497550942E+22</v>
      </c>
      <c r="AE130" s="153"/>
      <c r="AF130" s="144">
        <f>dragon!L130</f>
        <v>0</v>
      </c>
      <c r="AG130" s="144">
        <f>dragon!M130</f>
        <v>0</v>
      </c>
      <c r="AH130" s="144">
        <f>dragon!N130</f>
        <v>0</v>
      </c>
      <c r="AI130" s="144">
        <f>dragon!O130</f>
        <v>0</v>
      </c>
      <c r="AJ130" s="144">
        <f>dragon!P130</f>
        <v>0</v>
      </c>
      <c r="AK130" s="144">
        <f>dragon!Q130</f>
        <v>0</v>
      </c>
      <c r="AL130" s="144">
        <f>dragon!S130</f>
        <v>0</v>
      </c>
      <c r="AM130" s="144">
        <f>dragon!R130</f>
        <v>0</v>
      </c>
      <c r="AN130" s="153"/>
      <c r="AO130" s="153"/>
      <c r="AP130" s="153"/>
      <c r="AQ130" s="153"/>
      <c r="AR130" s="153"/>
      <c r="AS130" s="153"/>
      <c r="AT130" s="153"/>
      <c r="AU130" s="153"/>
      <c r="AV130" s="153"/>
      <c r="AW130" s="153"/>
      <c r="AX130" s="153"/>
    </row>
    <row r="131" spans="1:50" ht="12.75" thickBot="1">
      <c r="A131" s="146">
        <f>mod.RK1!F131</f>
        <v>10.75</v>
      </c>
      <c r="B131" s="147">
        <f>mod.RK1!I131</f>
        <v>2.2669843553197351E+19</v>
      </c>
      <c r="C131" s="148">
        <f>mod.RK1!K131</f>
        <v>1.6061450265410771E+21</v>
      </c>
      <c r="D131" s="147">
        <f>mod.RK1!M131</f>
        <v>8.8753456808846492E+20</v>
      </c>
      <c r="E131" s="148">
        <f>mod.RK1!O131</f>
        <v>1.2110644076319695E+20</v>
      </c>
      <c r="F131" s="147">
        <f>mod.RK1!Q131</f>
        <v>6.9391292751281471E+19</v>
      </c>
      <c r="G131" s="148">
        <f>mod.RK1!S131</f>
        <v>2.7267069087273435E+19</v>
      </c>
      <c r="H131" s="147">
        <f>mod.RK1!W131</f>
        <v>5.6390091615808031E+18</v>
      </c>
      <c r="I131" s="148">
        <f>mod.RK1!Y131</f>
        <v>1.1620953639500995E+22</v>
      </c>
      <c r="J131" s="149"/>
      <c r="K131" s="150"/>
      <c r="L131" s="150"/>
      <c r="M131" s="150"/>
      <c r="N131" s="150"/>
      <c r="O131" s="150"/>
      <c r="P131" s="150"/>
      <c r="Q131" s="150"/>
      <c r="R131" s="150"/>
      <c r="S131" s="153"/>
      <c r="T131" s="151">
        <f>mod.math.!Q131</f>
        <v>129</v>
      </c>
      <c r="U131" s="151">
        <f>mod.math.!R131</f>
        <v>10.75</v>
      </c>
      <c r="V131" s="151">
        <f>mod.math.!S131</f>
        <v>339012000</v>
      </c>
      <c r="W131" s="151">
        <f>mod.math.!T131</f>
        <v>6.1228775246009846E+18</v>
      </c>
      <c r="X131" s="151">
        <f>mod.math.!U131</f>
        <v>1.6037165089467502E+21</v>
      </c>
      <c r="Y131" s="151">
        <f>mod.math.!V131</f>
        <v>8.8590938555967367E+20</v>
      </c>
      <c r="Z131" s="151">
        <f>mod.math.!W131</f>
        <v>1.2094627451817388E+20</v>
      </c>
      <c r="AA131" s="151">
        <f>mod.math.!X131</f>
        <v>6.9352652352232096E+19</v>
      </c>
      <c r="AB131" s="151">
        <f>mod.math.!Y131</f>
        <v>2.7278475277745439E+19</v>
      </c>
      <c r="AC131" s="151">
        <f>mod.math.!Z131</f>
        <v>5.6180975990421228E+18</v>
      </c>
      <c r="AD131" s="151">
        <f>mod.math.!AA131</f>
        <v>1.1627066947110749E+22</v>
      </c>
      <c r="AE131" s="153"/>
      <c r="AF131" s="144">
        <f>dragon!L131</f>
        <v>0</v>
      </c>
      <c r="AG131" s="144">
        <f>dragon!M131</f>
        <v>0</v>
      </c>
      <c r="AH131" s="144">
        <f>dragon!N131</f>
        <v>0</v>
      </c>
      <c r="AI131" s="144">
        <f>dragon!O131</f>
        <v>0</v>
      </c>
      <c r="AJ131" s="144">
        <f>dragon!P131</f>
        <v>0</v>
      </c>
      <c r="AK131" s="144">
        <f>dragon!Q131</f>
        <v>0</v>
      </c>
      <c r="AL131" s="144">
        <f>dragon!S131</f>
        <v>0</v>
      </c>
      <c r="AM131" s="144">
        <f>dragon!R131</f>
        <v>0</v>
      </c>
      <c r="AN131" s="153"/>
      <c r="AO131" s="153"/>
      <c r="AP131" s="153"/>
      <c r="AQ131" s="153"/>
      <c r="AR131" s="153"/>
      <c r="AS131" s="153"/>
      <c r="AT131" s="153"/>
      <c r="AU131" s="153"/>
      <c r="AV131" s="153"/>
      <c r="AW131" s="153"/>
      <c r="AX131" s="153"/>
    </row>
    <row r="132" spans="1:50" ht="12.75" thickBot="1">
      <c r="A132" s="146">
        <f>mod.RK1!F132</f>
        <v>10.833333333333334</v>
      </c>
      <c r="B132" s="147">
        <f>mod.RK1!I132</f>
        <v>2.2616850299472904E+19</v>
      </c>
      <c r="C132" s="148">
        <f>mod.RK1!K132</f>
        <v>1.601770295492425E+21</v>
      </c>
      <c r="D132" s="147">
        <f>mod.RK1!M132</f>
        <v>8.8723320434728042E+20</v>
      </c>
      <c r="E132" s="148">
        <f>mod.RK1!O132</f>
        <v>1.2112258869790653E+20</v>
      </c>
      <c r="F132" s="147">
        <f>mod.RK1!Q132</f>
        <v>6.9471321114619593E+19</v>
      </c>
      <c r="G132" s="148">
        <f>mod.RK1!S132</f>
        <v>2.7257551316194562E+19</v>
      </c>
      <c r="H132" s="147">
        <f>mod.RK1!W132</f>
        <v>5.5221238130742651E+18</v>
      </c>
      <c r="I132" s="148">
        <f>mod.RK1!Y132</f>
        <v>1.1587798906490235E+22</v>
      </c>
      <c r="J132" s="149"/>
      <c r="K132" s="150"/>
      <c r="L132" s="150"/>
      <c r="M132" s="150"/>
      <c r="N132" s="150"/>
      <c r="O132" s="150"/>
      <c r="P132" s="150"/>
      <c r="Q132" s="150"/>
      <c r="R132" s="150"/>
      <c r="S132" s="153"/>
      <c r="T132" s="151">
        <f>mod.math.!Q132</f>
        <v>130</v>
      </c>
      <c r="U132" s="151">
        <f>mod.math.!R132</f>
        <v>10.833333333333334</v>
      </c>
      <c r="V132" s="151">
        <f>mod.math.!S132</f>
        <v>341640000</v>
      </c>
      <c r="W132" s="151">
        <f>mod.math.!T132</f>
        <v>6.0478164488367288E+18</v>
      </c>
      <c r="X132" s="151">
        <f>mod.math.!U132</f>
        <v>1.5993348219241976E+21</v>
      </c>
      <c r="Y132" s="151">
        <f>mod.math.!V132</f>
        <v>8.8560275330697554E+20</v>
      </c>
      <c r="Z132" s="151">
        <f>mod.math.!W132</f>
        <v>1.2095968943953904E+20</v>
      </c>
      <c r="AA132" s="151">
        <f>mod.math.!X132</f>
        <v>6.9432059749225529E+19</v>
      </c>
      <c r="AB132" s="151">
        <f>mod.math.!Y132</f>
        <v>2.7268224969313133E+19</v>
      </c>
      <c r="AC132" s="151">
        <f>mod.math.!Z132</f>
        <v>5.4990905433693972E+18</v>
      </c>
      <c r="AD132" s="151">
        <f>mod.math.!AA132</f>
        <v>1.1593942037443891E+22</v>
      </c>
      <c r="AE132" s="153"/>
      <c r="AF132" s="144">
        <f>dragon!L132</f>
        <v>0</v>
      </c>
      <c r="AG132" s="144">
        <f>dragon!M132</f>
        <v>0</v>
      </c>
      <c r="AH132" s="144">
        <f>dragon!N132</f>
        <v>0</v>
      </c>
      <c r="AI132" s="144">
        <f>dragon!O132</f>
        <v>0</v>
      </c>
      <c r="AJ132" s="144">
        <f>dragon!P132</f>
        <v>0</v>
      </c>
      <c r="AK132" s="144">
        <f>dragon!Q132</f>
        <v>0</v>
      </c>
      <c r="AL132" s="144">
        <f>dragon!S132</f>
        <v>0</v>
      </c>
      <c r="AM132" s="144">
        <f>dragon!R132</f>
        <v>0</v>
      </c>
      <c r="AN132" s="153"/>
      <c r="AO132" s="153"/>
      <c r="AP132" s="153"/>
      <c r="AQ132" s="153"/>
      <c r="AR132" s="153"/>
      <c r="AS132" s="153"/>
      <c r="AT132" s="153"/>
      <c r="AU132" s="153"/>
      <c r="AV132" s="153"/>
      <c r="AW132" s="153"/>
      <c r="AX132" s="153"/>
    </row>
    <row r="133" spans="1:50" ht="12.75" thickBot="1">
      <c r="A133" s="146">
        <f>mod.RK1!F133</f>
        <v>10.916666666666666</v>
      </c>
      <c r="B133" s="147">
        <f>mod.RK1!I133</f>
        <v>2.256408456161085E+19</v>
      </c>
      <c r="C133" s="148">
        <f>mod.RK1!K133</f>
        <v>1.5974039111808259E+21</v>
      </c>
      <c r="D133" s="147">
        <f>mod.RK1!M133</f>
        <v>8.8691592701140599E+20</v>
      </c>
      <c r="E133" s="148">
        <f>mod.RK1!O133</f>
        <v>1.2113699684387055E+20</v>
      </c>
      <c r="F133" s="147">
        <f>mod.RK1!Q133</f>
        <v>6.9550851371765514E+19</v>
      </c>
      <c r="G133" s="148">
        <f>mod.RK1!S133</f>
        <v>2.724827243671482E+19</v>
      </c>
      <c r="H133" s="147">
        <f>mod.RK1!W133</f>
        <v>5.4077305431994051E+18</v>
      </c>
      <c r="I133" s="148">
        <f>mod.RK1!Y133</f>
        <v>1.1554738764410027E+22</v>
      </c>
      <c r="J133" s="149"/>
      <c r="K133" s="150"/>
      <c r="L133" s="150"/>
      <c r="M133" s="150"/>
      <c r="N133" s="150"/>
      <c r="O133" s="150"/>
      <c r="P133" s="150"/>
      <c r="Q133" s="150"/>
      <c r="R133" s="150"/>
      <c r="T133" s="151">
        <f>mod.math.!Q133</f>
        <v>131</v>
      </c>
      <c r="U133" s="151">
        <f>mod.math.!R133</f>
        <v>10.916666666666666</v>
      </c>
      <c r="V133" s="151">
        <f>mod.math.!S133</f>
        <v>344268000</v>
      </c>
      <c r="W133" s="151">
        <f>mod.math.!T133</f>
        <v>5.9734440581172705E+18</v>
      </c>
      <c r="X133" s="151">
        <f>mod.math.!U133</f>
        <v>1.5949616218898739E+21</v>
      </c>
      <c r="Y133" s="151">
        <f>mod.math.!V133</f>
        <v>8.8528030042265485E+20</v>
      </c>
      <c r="Z133" s="151">
        <f>mod.math.!W133</f>
        <v>1.2097141807930397E+20</v>
      </c>
      <c r="AA133" s="151">
        <f>mod.math.!X133</f>
        <v>6.9510959096495669E+19</v>
      </c>
      <c r="AB133" s="151">
        <f>mod.math.!Y133</f>
        <v>2.7258210343803888E+19</v>
      </c>
      <c r="AC133" s="151">
        <f>mod.math.!Z133</f>
        <v>5.3826043907337267E+18</v>
      </c>
      <c r="AD133" s="151">
        <f>mod.math.!AA133</f>
        <v>1.1560911498923727E+22</v>
      </c>
      <c r="AF133" s="144">
        <f>dragon!L133</f>
        <v>0</v>
      </c>
      <c r="AG133" s="144">
        <f>dragon!M133</f>
        <v>0</v>
      </c>
      <c r="AH133" s="144">
        <f>dragon!N133</f>
        <v>0</v>
      </c>
      <c r="AI133" s="144">
        <f>dragon!O133</f>
        <v>0</v>
      </c>
      <c r="AJ133" s="144">
        <f>dragon!P133</f>
        <v>0</v>
      </c>
      <c r="AK133" s="144">
        <f>dragon!Q133</f>
        <v>0</v>
      </c>
      <c r="AL133" s="144">
        <f>dragon!S133</f>
        <v>0</v>
      </c>
      <c r="AM133" s="144">
        <f>dragon!R133</f>
        <v>0</v>
      </c>
    </row>
    <row r="134" spans="1:50" ht="12.75" thickBot="1">
      <c r="A134" s="146">
        <f>mod.RK1!F134</f>
        <v>11</v>
      </c>
      <c r="B134" s="147">
        <f>mod.RK1!I134</f>
        <v>2.2511556890391618E+19</v>
      </c>
      <c r="C134" s="148">
        <f>mod.RK1!K134</f>
        <v>1.5930459335266997E+21</v>
      </c>
      <c r="D134" s="147">
        <f>mod.RK1!M134</f>
        <v>8.8658289683998153E+20</v>
      </c>
      <c r="E134" s="148">
        <f>mod.RK1!O134</f>
        <v>1.2114965183946369E+20</v>
      </c>
      <c r="F134" s="147">
        <f>mod.RK1!Q134</f>
        <v>6.9629880299605123E+19</v>
      </c>
      <c r="G134" s="148">
        <f>mod.RK1!S134</f>
        <v>2.7239221071770796E+19</v>
      </c>
      <c r="H134" s="147">
        <f>mod.RK1!W134</f>
        <v>5.2957760156069734E+18</v>
      </c>
      <c r="I134" s="148">
        <f>mod.RK1!Y134</f>
        <v>1.1521772943391039E+22</v>
      </c>
      <c r="J134" s="149"/>
      <c r="K134" s="150"/>
      <c r="L134" s="150"/>
      <c r="M134" s="150"/>
      <c r="N134" s="150"/>
      <c r="O134" s="150"/>
      <c r="P134" s="150"/>
      <c r="Q134" s="150"/>
      <c r="R134" s="150"/>
      <c r="T134" s="151">
        <f>mod.math.!Q134</f>
        <v>132</v>
      </c>
      <c r="U134" s="151">
        <f>mod.math.!R134</f>
        <v>11</v>
      </c>
      <c r="V134" s="151">
        <f>mod.math.!S134</f>
        <v>346896000</v>
      </c>
      <c r="W134" s="151">
        <f>mod.math.!T134</f>
        <v>5.8997606323210301E+18</v>
      </c>
      <c r="X134" s="151">
        <f>mod.math.!U134</f>
        <v>1.5905969665973053E+21</v>
      </c>
      <c r="Y134" s="151">
        <f>mod.math.!V134</f>
        <v>8.8494218700493252E+20</v>
      </c>
      <c r="Z134" s="151">
        <f>mod.math.!W134</f>
        <v>1.2098144638936692E+20</v>
      </c>
      <c r="AA134" s="151">
        <f>mod.math.!X134</f>
        <v>6.9589347419943797E+19</v>
      </c>
      <c r="AB134" s="151">
        <f>mod.math.!Y134</f>
        <v>2.7248420370725061E+19</v>
      </c>
      <c r="AC134" s="151">
        <f>mod.math.!Z134</f>
        <v>5.2685857413422469E+18</v>
      </c>
      <c r="AD134" s="151">
        <f>mod.math.!AA134</f>
        <v>1.1527975062691755E+22</v>
      </c>
      <c r="AF134" s="144">
        <f>dragon!L134</f>
        <v>0</v>
      </c>
      <c r="AG134" s="144">
        <f>dragon!M134</f>
        <v>0</v>
      </c>
      <c r="AH134" s="144">
        <f>dragon!N134</f>
        <v>0</v>
      </c>
      <c r="AI134" s="144">
        <f>dragon!O134</f>
        <v>0</v>
      </c>
      <c r="AJ134" s="144">
        <f>dragon!P134</f>
        <v>0</v>
      </c>
      <c r="AK134" s="144">
        <f>dragon!Q134</f>
        <v>0</v>
      </c>
      <c r="AL134" s="144">
        <f>dragon!S134</f>
        <v>0</v>
      </c>
      <c r="AM134" s="144">
        <f>dragon!R134</f>
        <v>0</v>
      </c>
    </row>
    <row r="135" spans="1:50" ht="12.75" thickBot="1">
      <c r="A135" s="146">
        <f>mod.RK1!F135</f>
        <v>11.083333333333334</v>
      </c>
      <c r="B135" s="147">
        <f>mod.RK1!I135</f>
        <v>2.2459277285934182E+19</v>
      </c>
      <c r="C135" s="148">
        <f>mod.RK1!K135</f>
        <v>1.5886964206415713E+21</v>
      </c>
      <c r="D135" s="147">
        <f>mod.RK1!M135</f>
        <v>8.8623427357142378E+20</v>
      </c>
      <c r="E135" s="148">
        <f>mod.RK1!O135</f>
        <v>1.2116054139490617E+20</v>
      </c>
      <c r="F135" s="147">
        <f>mod.RK1!Q135</f>
        <v>6.9708404618558611E+19</v>
      </c>
      <c r="G135" s="148">
        <f>mod.RK1!S135</f>
        <v>2.7230385998147777E+19</v>
      </c>
      <c r="H135" s="147">
        <f>mod.RK1!W135</f>
        <v>5.1862080360426895E+18</v>
      </c>
      <c r="I135" s="148">
        <f>mod.RK1!Y135</f>
        <v>1.1488901174333886E+22</v>
      </c>
      <c r="J135" s="149"/>
      <c r="K135" s="150"/>
      <c r="L135" s="150"/>
      <c r="M135" s="150"/>
      <c r="N135" s="150"/>
      <c r="O135" s="150"/>
      <c r="P135" s="150"/>
      <c r="Q135" s="150"/>
      <c r="R135" s="150"/>
      <c r="T135" s="151">
        <f>mod.math.!Q135</f>
        <v>133</v>
      </c>
      <c r="U135" s="151">
        <f>mod.math.!R135</f>
        <v>11.083333333333334</v>
      </c>
      <c r="V135" s="151">
        <f>mod.math.!S135</f>
        <v>349524000</v>
      </c>
      <c r="W135" s="151">
        <f>mod.math.!T135</f>
        <v>5.8267662001326664E+18</v>
      </c>
      <c r="X135" s="151">
        <f>mod.math.!U135</f>
        <v>1.5862409120090586E+21</v>
      </c>
      <c r="Y135" s="151">
        <f>mod.math.!V135</f>
        <v>8.8458857212776271E+20</v>
      </c>
      <c r="Z135" s="151">
        <f>mod.math.!W135</f>
        <v>1.2098976139307545E+20</v>
      </c>
      <c r="AA135" s="151">
        <f>mod.math.!X135</f>
        <v>6.9667221687784767E+19</v>
      </c>
      <c r="AB135" s="151">
        <f>mod.math.!Y135</f>
        <v>2.7238844165182804E+19</v>
      </c>
      <c r="AC135" s="151">
        <f>mod.math.!Z135</f>
        <v>5.1569823265593948E+18</v>
      </c>
      <c r="AD135" s="151">
        <f>mod.math.!AA135</f>
        <v>1.1495132460655447E+22</v>
      </c>
      <c r="AF135" s="144">
        <f>dragon!L135</f>
        <v>0</v>
      </c>
      <c r="AG135" s="144">
        <f>dragon!M135</f>
        <v>0</v>
      </c>
      <c r="AH135" s="144">
        <f>dragon!N135</f>
        <v>0</v>
      </c>
      <c r="AI135" s="144">
        <f>dragon!O135</f>
        <v>0</v>
      </c>
      <c r="AJ135" s="144">
        <f>dragon!P135</f>
        <v>0</v>
      </c>
      <c r="AK135" s="144">
        <f>dragon!Q135</f>
        <v>0</v>
      </c>
      <c r="AL135" s="144">
        <f>dragon!S135</f>
        <v>0</v>
      </c>
      <c r="AM135" s="144">
        <f>dragon!R135</f>
        <v>0</v>
      </c>
    </row>
    <row r="136" spans="1:50">
      <c r="A136" s="146">
        <f>mod.RK1!F136</f>
        <v>11.166666666666666</v>
      </c>
      <c r="B136" s="147">
        <f>mod.RK1!I136</f>
        <v>2.2407255213909369E+19</v>
      </c>
      <c r="C136" s="148">
        <f>mod.RK1!K136</f>
        <v>1.5843554288639022E+21</v>
      </c>
      <c r="D136" s="147">
        <f>mod.RK1!M136</f>
        <v>8.8587021592393312E+20</v>
      </c>
      <c r="E136" s="148">
        <f>mod.RK1!O136</f>
        <v>1.2116965425556862E+20</v>
      </c>
      <c r="F136" s="147">
        <f>mod.RK1!Q136</f>
        <v>6.9786420997666144E+19</v>
      </c>
      <c r="G136" s="148">
        <f>mod.RK1!S136</f>
        <v>2.7221756147992691E+19</v>
      </c>
      <c r="H136" s="147">
        <f>mod.RK1!W136</f>
        <v>5.0789755278902231E+18</v>
      </c>
      <c r="I136" s="148">
        <f>mod.RK1!Y136</f>
        <v>1.1456123188906924E+22</v>
      </c>
      <c r="J136" s="149"/>
      <c r="K136" s="150"/>
      <c r="L136" s="150"/>
      <c r="M136" s="150"/>
      <c r="N136" s="150"/>
      <c r="O136" s="150"/>
      <c r="P136" s="150"/>
      <c r="Q136" s="150"/>
      <c r="R136" s="150"/>
      <c r="T136" s="151">
        <f>mod.math.!Q136</f>
        <v>134</v>
      </c>
      <c r="U136" s="151">
        <f>mod.math.!R136</f>
        <v>11.166666666666666</v>
      </c>
      <c r="V136" s="151">
        <f>mod.math.!S136</f>
        <v>352152000</v>
      </c>
      <c r="W136" s="151">
        <f>mod.math.!T136</f>
        <v>5.7544605484099574E+18</v>
      </c>
      <c r="X136" s="151">
        <f>mod.math.!U136</f>
        <v>1.5818935123332109E+21</v>
      </c>
      <c r="Y136" s="151">
        <f>mod.math.!V136</f>
        <v>8.8421961384151613E+20</v>
      </c>
      <c r="Z136" s="151">
        <f>mod.math.!W136</f>
        <v>1.2099635114908013E+20</v>
      </c>
      <c r="AA136" s="151">
        <f>mod.math.!X136</f>
        <v>6.9744578815531057E+19</v>
      </c>
      <c r="AB136" s="151">
        <f>mod.math.!Y136</f>
        <v>2.7229470989455905E+19</v>
      </c>
      <c r="AC136" s="151">
        <f>mod.math.!Z136</f>
        <v>5.0477429849458299E+18</v>
      </c>
      <c r="AD136" s="151">
        <f>mod.math.!AA136</f>
        <v>1.1462383425486059E+22</v>
      </c>
      <c r="AF136" s="144">
        <f>dragon!L136</f>
        <v>0</v>
      </c>
      <c r="AG136" s="144">
        <f>dragon!M136</f>
        <v>0</v>
      </c>
      <c r="AH136" s="144">
        <f>dragon!N136</f>
        <v>0</v>
      </c>
      <c r="AI136" s="144">
        <f>dragon!O136</f>
        <v>0</v>
      </c>
      <c r="AJ136" s="144">
        <f>dragon!P136</f>
        <v>0</v>
      </c>
      <c r="AK136" s="144">
        <f>dragon!Q136</f>
        <v>0</v>
      </c>
      <c r="AL136" s="144">
        <f>dragon!S136</f>
        <v>0</v>
      </c>
      <c r="AM136" s="144">
        <f>dragon!R136</f>
        <v>0</v>
      </c>
    </row>
    <row r="177" spans="20:21" s="145" customFormat="1">
      <c r="T177" s="149"/>
      <c r="U177" s="149"/>
    </row>
    <row r="178" spans="20:21" s="145" customFormat="1">
      <c r="T178" s="149"/>
      <c r="U178" s="149"/>
    </row>
    <row r="179" spans="20:21" s="145" customFormat="1">
      <c r="T179" s="149"/>
      <c r="U179" s="149"/>
    </row>
    <row r="180" spans="20:21" s="145" customFormat="1">
      <c r="T180" s="149"/>
      <c r="U180" s="149"/>
    </row>
    <row r="181" spans="20:21" s="145" customFormat="1">
      <c r="T181" s="149"/>
      <c r="U181" s="149"/>
    </row>
    <row r="182" spans="20:21" s="145" customFormat="1">
      <c r="T182" s="149"/>
      <c r="U182" s="149"/>
    </row>
    <row r="183" spans="20:21" s="145" customFormat="1">
      <c r="T183" s="149"/>
      <c r="U183" s="149"/>
    </row>
    <row r="184" spans="20:21" s="145" customFormat="1">
      <c r="T184" s="149"/>
      <c r="U184" s="14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D309"/>
  <sheetViews>
    <sheetView topLeftCell="H1" zoomScale="70" zoomScaleNormal="70" workbookViewId="0">
      <selection activeCell="I3" sqref="I3"/>
    </sheetView>
  </sheetViews>
  <sheetFormatPr baseColWidth="10" defaultRowHeight="15"/>
  <cols>
    <col min="1" max="1" width="11" style="126"/>
    <col min="2" max="2" width="7.75" style="126" bestFit="1" customWidth="1"/>
    <col min="3" max="3" width="7.75" style="126" customWidth="1"/>
    <col min="4" max="6" width="7.625" style="128" bestFit="1" customWidth="1"/>
    <col min="7" max="7" width="7.375" style="128" bestFit="1" customWidth="1"/>
    <col min="8" max="10" width="7.625" style="128" bestFit="1" customWidth="1"/>
    <col min="11" max="11" width="7.375" style="128" bestFit="1" customWidth="1"/>
    <col min="12" max="12" width="11" style="128"/>
    <col min="13" max="14" width="3.75" style="128" bestFit="1" customWidth="1"/>
    <col min="15" max="15" width="9.25" style="128" bestFit="1" customWidth="1"/>
    <col min="16" max="20" width="8.125" style="128" bestFit="1" customWidth="1"/>
    <col min="21" max="21" width="8.75" style="128" bestFit="1" customWidth="1"/>
    <col min="22" max="22" width="7.625" style="128" bestFit="1" customWidth="1"/>
    <col min="23" max="23" width="7.25" style="128" bestFit="1" customWidth="1"/>
    <col min="24" max="28" width="11" style="126"/>
    <col min="29" max="36" width="11" style="154"/>
    <col min="37" max="40" width="11" style="126"/>
    <col min="41" max="43" width="10.625" style="155" bestFit="1" customWidth="1"/>
    <col min="44" max="44" width="10.125" style="155" bestFit="1" customWidth="1"/>
    <col min="45" max="45" width="10.625" style="155" bestFit="1" customWidth="1"/>
    <col min="46" max="46" width="10.75" style="155" bestFit="1" customWidth="1"/>
    <col min="47" max="48" width="4.25" style="126" customWidth="1"/>
    <col min="49" max="50" width="11" style="126"/>
    <col min="51" max="56" width="10.75" style="155" customWidth="1"/>
    <col min="57" max="16384" width="11" style="126"/>
  </cols>
  <sheetData>
    <row r="1" spans="1:56" s="132" customFormat="1" ht="30">
      <c r="A1" s="133" t="s">
        <v>217</v>
      </c>
      <c r="B1" s="132" t="s">
        <v>216</v>
      </c>
      <c r="C1" s="132" t="s">
        <v>243</v>
      </c>
      <c r="D1" s="131" t="s">
        <v>214</v>
      </c>
      <c r="E1" s="131" t="s">
        <v>213</v>
      </c>
      <c r="F1" s="131" t="s">
        <v>212</v>
      </c>
      <c r="G1" s="131" t="s">
        <v>211</v>
      </c>
      <c r="H1" s="131" t="s">
        <v>210</v>
      </c>
      <c r="I1" s="131" t="s">
        <v>209</v>
      </c>
      <c r="J1" s="131" t="s">
        <v>207</v>
      </c>
      <c r="K1" s="131" t="s">
        <v>208</v>
      </c>
      <c r="L1" s="131"/>
      <c r="M1" s="131" t="s">
        <v>40</v>
      </c>
      <c r="N1" s="131" t="str">
        <f>[4]Eq_de_Bateman_avec_RK1!F1</f>
        <v>t(y)</v>
      </c>
      <c r="O1" s="131" t="str">
        <f>[4]Eq_de_Bateman_avec_RK1!G1</f>
        <v>t(s)</v>
      </c>
      <c r="P1" s="131" t="s">
        <v>244</v>
      </c>
      <c r="Q1" s="131" t="s">
        <v>245</v>
      </c>
      <c r="R1" s="131" t="s">
        <v>246</v>
      </c>
      <c r="S1" s="131" t="s">
        <v>247</v>
      </c>
      <c r="T1" s="131" t="s">
        <v>248</v>
      </c>
      <c r="U1" s="131" t="s">
        <v>249</v>
      </c>
      <c r="V1" s="131" t="s">
        <v>250</v>
      </c>
      <c r="W1" s="131" t="s">
        <v>251</v>
      </c>
      <c r="AB1" s="132" t="str">
        <f t="shared" ref="AB1:AB32" si="0">C1</f>
        <v>durée (années)</v>
      </c>
      <c r="AC1" s="154" t="s">
        <v>7</v>
      </c>
      <c r="AD1" s="154" t="s">
        <v>9</v>
      </c>
      <c r="AE1" s="154" t="s">
        <v>10</v>
      </c>
      <c r="AF1" s="154" t="s">
        <v>11</v>
      </c>
      <c r="AG1" s="154" t="s">
        <v>13</v>
      </c>
      <c r="AH1" s="154" t="s">
        <v>14</v>
      </c>
      <c r="AI1" s="154" t="s">
        <v>15</v>
      </c>
      <c r="AJ1" s="154" t="s">
        <v>16</v>
      </c>
      <c r="AM1" s="132" t="str">
        <f>N1</f>
        <v>t(y)</v>
      </c>
      <c r="AN1" s="132" t="s">
        <v>252</v>
      </c>
      <c r="AO1" s="155" t="str">
        <f>AC1&amp;" %wt"</f>
        <v>Pu238 %wt</v>
      </c>
      <c r="AP1" s="155" t="str">
        <f t="shared" ref="AP1:AT1" si="1">AD1&amp;" %wt"</f>
        <v>Pu239 %wt</v>
      </c>
      <c r="AQ1" s="155" t="str">
        <f t="shared" si="1"/>
        <v>Pu240 %wt</v>
      </c>
      <c r="AR1" s="155" t="str">
        <f t="shared" si="1"/>
        <v>Pu241 %wt</v>
      </c>
      <c r="AS1" s="155" t="str">
        <f t="shared" si="1"/>
        <v>Pu242 %wt</v>
      </c>
      <c r="AT1" s="155" t="str">
        <f t="shared" si="1"/>
        <v>Am241 %wt</v>
      </c>
      <c r="AW1" s="132" t="str">
        <f>AM1</f>
        <v>t(y)</v>
      </c>
      <c r="AX1" s="132" t="str">
        <f t="shared" ref="AX1:BC1" si="2">AN1</f>
        <v>MPU</v>
      </c>
      <c r="AY1" s="156" t="str">
        <f t="shared" si="2"/>
        <v>Pu238 %wt</v>
      </c>
      <c r="AZ1" s="156" t="str">
        <f t="shared" si="2"/>
        <v>Pu239 %wt</v>
      </c>
      <c r="BA1" s="156" t="str">
        <f t="shared" si="2"/>
        <v>Pu240 %wt</v>
      </c>
      <c r="BB1" s="156" t="str">
        <f t="shared" si="2"/>
        <v>Pu241 %wt</v>
      </c>
      <c r="BC1" s="156" t="str">
        <f t="shared" si="2"/>
        <v>Pu242 %wt</v>
      </c>
      <c r="BD1" s="156" t="str">
        <f>AT1</f>
        <v>Am241 %wt</v>
      </c>
    </row>
    <row r="2" spans="1:56">
      <c r="B2" s="126">
        <v>0</v>
      </c>
      <c r="C2" s="126">
        <f t="shared" ref="C2:C33" si="3">B2/365</f>
        <v>0</v>
      </c>
      <c r="D2" s="129">
        <f>courbes!AF2</f>
        <v>1.2032336397210882E+19</v>
      </c>
      <c r="E2" s="129">
        <f>courbes!AG2</f>
        <v>2.1782E+21</v>
      </c>
      <c r="F2" s="129">
        <f>courbes!AH2</f>
        <v>7.2346005790387942E+20</v>
      </c>
      <c r="G2" s="129">
        <f>courbes!AI2</f>
        <v>1.5072084539664158E+20</v>
      </c>
      <c r="H2" s="129">
        <f>courbes!AJ2</f>
        <v>5.1070699679853748E+19</v>
      </c>
      <c r="I2" s="129">
        <f>courbes!AK2</f>
        <v>3.2520680334545068E+19</v>
      </c>
      <c r="J2" s="129">
        <f>courbes!AL2</f>
        <v>8.8937324162937733E+19</v>
      </c>
      <c r="K2" s="129">
        <f>courbes!AM2</f>
        <v>1.6799927091276064E+22</v>
      </c>
      <c r="N2" s="128">
        <f>[4]Eq_de_Bateman_avec_RK1!F2</f>
        <v>0</v>
      </c>
      <c r="O2" s="128">
        <f>[4]Eq_de_Bateman_avec_RK1!G2</f>
        <v>0</v>
      </c>
      <c r="P2" s="129">
        <f>courbes!B2</f>
        <v>1.2032336397210882E+19</v>
      </c>
      <c r="Q2" s="129">
        <f>courbes!C2</f>
        <v>2.1782E+21</v>
      </c>
      <c r="R2" s="129">
        <f>courbes!D2</f>
        <v>7.2346005790387942E+20</v>
      </c>
      <c r="S2" s="129">
        <f>courbes!E2</f>
        <v>1.5072084539664158E+20</v>
      </c>
      <c r="T2" s="129">
        <f>courbes!F2</f>
        <v>5.1070699679853748E+19</v>
      </c>
      <c r="U2" s="129">
        <f>courbes!G2</f>
        <v>3.2520680334545068E+19</v>
      </c>
      <c r="V2" s="129">
        <f>courbes!H2</f>
        <v>8.8937324162937733E+19</v>
      </c>
      <c r="W2" s="129">
        <f>courbes!I2</f>
        <v>1.6799927091276064E+22</v>
      </c>
      <c r="AB2" s="126">
        <f t="shared" si="0"/>
        <v>0</v>
      </c>
      <c r="AC2" s="154">
        <f t="shared" ref="AC2:AC33" si="4">(INDEX(P:P,MATCH($C2,$N:$N,1))-D2)/D2</f>
        <v>0</v>
      </c>
      <c r="AD2" s="154">
        <f t="shared" ref="AD2:AD33" si="5">(INDEX(Q:Q,MATCH($C2,$N:$N,1))-E2)/E2</f>
        <v>0</v>
      </c>
      <c r="AE2" s="154">
        <f t="shared" ref="AE2:AE33" si="6">(INDEX(R:R,MATCH($C2,$N:$N,1))-F2)/F2</f>
        <v>0</v>
      </c>
      <c r="AF2" s="154">
        <f t="shared" ref="AF2:AF33" si="7">(INDEX(S:S,MATCH($C2,$N:$N,1))-G2)/G2</f>
        <v>0</v>
      </c>
      <c r="AG2" s="154">
        <f t="shared" ref="AG2:AG33" si="8">(INDEX(T:T,MATCH($C2,$N:$N,1))-H2)/H2</f>
        <v>0</v>
      </c>
      <c r="AH2" s="154">
        <f t="shared" ref="AH2:AH33" si="9">(INDEX(U:U,MATCH($C2,$N:$N,1))-I2)/I2</f>
        <v>0</v>
      </c>
      <c r="AI2" s="154">
        <f t="shared" ref="AI2:AI33" si="10">(INDEX(V:V,MATCH($C2,$N:$N,1))-J2)/J2</f>
        <v>0</v>
      </c>
      <c r="AJ2" s="154">
        <f t="shared" ref="AJ2:AJ33" si="11">(INDEX(W:W,MATCH($C2,$N:$N,1))-K2)/K2</f>
        <v>0</v>
      </c>
      <c r="AM2" s="126">
        <f t="shared" ref="AM2:AM33" si="12">C2</f>
        <v>0</v>
      </c>
      <c r="AN2" s="127">
        <f t="shared" ref="AN2:AN33" si="13">E2*239+F2*240+G2*241+H2*242+I2*241+D2*238</f>
        <v>7.5360422698320774E+23</v>
      </c>
      <c r="AO2" s="155">
        <f t="shared" ref="AO2:AO33" si="14">D2*238/$AN2</f>
        <v>3.8000000000000004E-3</v>
      </c>
      <c r="AP2" s="155">
        <f t="shared" ref="AP2:AP33" si="15">E2*239/$AN2</f>
        <v>0.69080000000000019</v>
      </c>
      <c r="AQ2" s="155">
        <f t="shared" ref="AQ2:AQ33" si="16">F2*240/$AN2</f>
        <v>0.23039999999999999</v>
      </c>
      <c r="AR2" s="155">
        <f t="shared" ref="AR2:AR33" si="17">G2*241/$AN2</f>
        <v>4.8200000000000014E-2</v>
      </c>
      <c r="AS2" s="155">
        <f t="shared" ref="AS2:AS33" si="18">H2*242/$AN2</f>
        <v>1.6400000000000001E-2</v>
      </c>
      <c r="AT2" s="155">
        <f t="shared" ref="AT2:AT33" si="19">I2*241/$AN2</f>
        <v>1.0400000000000001E-2</v>
      </c>
      <c r="AW2" s="126">
        <f t="shared" ref="AW2:AW33" si="20">N2</f>
        <v>0</v>
      </c>
      <c r="AX2" s="127">
        <f t="shared" ref="AX2:AX33" si="21">P2*238+Q2*239+R2*240+S2*241+T2*242+U2*241</f>
        <v>7.5360422698320788E+23</v>
      </c>
      <c r="AY2" s="155">
        <f t="shared" ref="AY2:AY33" si="22">P2*238/$AX2</f>
        <v>3.7999999999999996E-3</v>
      </c>
      <c r="AZ2" s="155">
        <f t="shared" ref="AZ2:AZ33" si="23">Q2*239/$AX2</f>
        <v>0.69080000000000008</v>
      </c>
      <c r="BA2" s="155">
        <f t="shared" ref="BA2:BA33" si="24">R2*240/$AX2</f>
        <v>0.23039999999999997</v>
      </c>
      <c r="BB2" s="155">
        <f t="shared" ref="BB2:BB33" si="25">S2*241/$AX2</f>
        <v>4.8200000000000007E-2</v>
      </c>
      <c r="BC2" s="155">
        <f t="shared" ref="BC2:BC33" si="26">T2*242/$AX2</f>
        <v>1.6399999999999998E-2</v>
      </c>
      <c r="BD2" s="155">
        <f t="shared" ref="BD2:BD33" si="27">U2*241/$AX2</f>
        <v>1.04E-2</v>
      </c>
    </row>
    <row r="3" spans="1:56">
      <c r="B3" s="126">
        <f t="shared" ref="B3:B34" si="28">B2+73</f>
        <v>73</v>
      </c>
      <c r="C3" s="126">
        <f t="shared" si="3"/>
        <v>0.2</v>
      </c>
      <c r="D3" s="129">
        <f>courbes!AF3</f>
        <v>1.1745422256006754E+19</v>
      </c>
      <c r="E3" s="129">
        <f>courbes!AG3</f>
        <v>2.1667000000000004E+21</v>
      </c>
      <c r="F3" s="129">
        <f>courbes!AH3</f>
        <v>7.3075116707940899E+20</v>
      </c>
      <c r="G3" s="129">
        <f>courbes!AI3</f>
        <v>1.4735814924436591E+20</v>
      </c>
      <c r="H3" s="129">
        <f>courbes!AJ3</f>
        <v>5.1783643376817611E+19</v>
      </c>
      <c r="I3" s="129">
        <f>courbes!AK3</f>
        <v>3.267224541122535E+19</v>
      </c>
      <c r="J3" s="129">
        <f>courbes!AL3</f>
        <v>8.4943587676259123E+19</v>
      </c>
      <c r="K3" s="129">
        <f>courbes!AM3</f>
        <v>1.669601413674456E+22</v>
      </c>
      <c r="N3" s="128">
        <f>[4]Eq_de_Bateman_avec_RK1!F3</f>
        <v>8.3333333333333329E-2</v>
      </c>
      <c r="O3" s="128">
        <f>[4]Eq_de_Bateman_avec_RK1!G3</f>
        <v>2628000</v>
      </c>
      <c r="P3" s="129">
        <f>courbes!B3</f>
        <v>1.2605633712629205E+19</v>
      </c>
      <c r="Q3" s="129">
        <f>courbes!C3</f>
        <v>2.1746804294197565E+21</v>
      </c>
      <c r="R3" s="129">
        <f>courbes!D3</f>
        <v>7.2684881001631986E+20</v>
      </c>
      <c r="S3" s="129">
        <f>courbes!E3</f>
        <v>1.4915920363728739E+20</v>
      </c>
      <c r="T3" s="129">
        <f>courbes!F3</f>
        <v>5.1407310007414563E+19</v>
      </c>
      <c r="U3" s="129">
        <f>courbes!G3</f>
        <v>3.2534653574734283E+19</v>
      </c>
      <c r="V3" s="129">
        <f>courbes!H3</f>
        <v>8.7038360898539028E+19</v>
      </c>
      <c r="W3" s="129">
        <f>courbes!I3</f>
        <v>1.6751996671558376E+22</v>
      </c>
      <c r="AB3" s="126">
        <f t="shared" si="0"/>
        <v>0.2</v>
      </c>
      <c r="AC3" s="154">
        <f t="shared" si="4"/>
        <v>0.1204884995424543</v>
      </c>
      <c r="AD3" s="154">
        <f t="shared" si="5"/>
        <v>2.0396492578342858E-3</v>
      </c>
      <c r="AE3" s="154">
        <f t="shared" si="6"/>
        <v>-7.5966286801459632E-4</v>
      </c>
      <c r="AF3" s="154">
        <f t="shared" si="7"/>
        <v>2.0410721198635792E-3</v>
      </c>
      <c r="AG3" s="154">
        <f t="shared" si="8"/>
        <v>-9.3397144272427631E-4</v>
      </c>
      <c r="AH3" s="154">
        <f t="shared" si="9"/>
        <v>-3.984136500490335E-3</v>
      </c>
      <c r="AI3" s="154">
        <f t="shared" si="10"/>
        <v>2.783718630866606E-3</v>
      </c>
      <c r="AJ3" s="154">
        <f t="shared" si="11"/>
        <v>4.9046803868955284E-4</v>
      </c>
      <c r="AM3" s="126">
        <f t="shared" si="12"/>
        <v>0.2</v>
      </c>
      <c r="AN3" s="127">
        <f t="shared" si="13"/>
        <v>7.5193595740517514E+23</v>
      </c>
      <c r="AO3" s="155">
        <f t="shared" si="14"/>
        <v>3.7176177963029917E-3</v>
      </c>
      <c r="AP3" s="155">
        <f t="shared" si="15"/>
        <v>0.68867739985064336</v>
      </c>
      <c r="AQ3" s="155">
        <f t="shared" si="16"/>
        <v>0.23323832085949284</v>
      </c>
      <c r="AR3" s="155">
        <f t="shared" si="17"/>
        <v>4.7229173732352976E-2</v>
      </c>
      <c r="AS3" s="155">
        <f t="shared" si="18"/>
        <v>1.6665836463566376E-2</v>
      </c>
      <c r="AT3" s="155">
        <f t="shared" si="19"/>
        <v>1.0471651297641637E-2</v>
      </c>
      <c r="AW3" s="126">
        <f t="shared" si="20"/>
        <v>8.3333333333333329E-2</v>
      </c>
      <c r="AX3" s="127">
        <f t="shared" si="21"/>
        <v>7.5342126646873578E+23</v>
      </c>
      <c r="AY3" s="155">
        <f t="shared" si="22"/>
        <v>3.9820230157124794E-3</v>
      </c>
      <c r="AZ3" s="155">
        <f t="shared" si="23"/>
        <v>0.68985127678618485</v>
      </c>
      <c r="BA3" s="155">
        <f t="shared" si="24"/>
        <v>0.23153542668304219</v>
      </c>
      <c r="BB3" s="155">
        <f t="shared" si="25"/>
        <v>4.7712176011530126E-2</v>
      </c>
      <c r="BC3" s="155">
        <f t="shared" si="26"/>
        <v>1.6512102293187076E-2</v>
      </c>
      <c r="BD3" s="155">
        <f t="shared" si="27"/>
        <v>1.0406995210343361E-2</v>
      </c>
    </row>
    <row r="4" spans="1:56">
      <c r="B4" s="126">
        <f t="shared" si="28"/>
        <v>146</v>
      </c>
      <c r="C4" s="126">
        <f t="shared" si="3"/>
        <v>0.4</v>
      </c>
      <c r="D4" s="129">
        <f>courbes!AF4</f>
        <v>1.1663160159577598E+19</v>
      </c>
      <c r="E4" s="129">
        <f>courbes!AG4</f>
        <v>2.1588000000000003E+21</v>
      </c>
      <c r="F4" s="129">
        <f>courbes!AH4</f>
        <v>7.3788225191089393E+20</v>
      </c>
      <c r="G4" s="129">
        <f>courbes!AI4</f>
        <v>1.4426566974718383E+20</v>
      </c>
      <c r="H4" s="129">
        <f>courbes!AJ4</f>
        <v>5.2460690607920366E+19</v>
      </c>
      <c r="I4" s="129">
        <f>courbes!AK4</f>
        <v>3.27849220800732E+19</v>
      </c>
      <c r="J4" s="129">
        <f>courbes!AL4</f>
        <v>8.1117714019143205E+19</v>
      </c>
      <c r="K4" s="129">
        <f>courbes!AM4</f>
        <v>1.6593100345237398E+22</v>
      </c>
      <c r="N4" s="128">
        <f>[4]Eq_de_Bateman_avec_RK1!F4</f>
        <v>0.16666666666666666</v>
      </c>
      <c r="O4" s="128">
        <f>[4]Eq_de_Bateman_avec_RK1!G4</f>
        <v>5256000</v>
      </c>
      <c r="P4" s="129">
        <f>courbes!B4</f>
        <v>1.3160610560125557E+19</v>
      </c>
      <c r="Q4" s="129">
        <f>courbes!C4</f>
        <v>2.1711193080469499E+21</v>
      </c>
      <c r="R4" s="129">
        <f>courbes!D4</f>
        <v>7.3019604255202043E+20</v>
      </c>
      <c r="S4" s="129">
        <f>courbes!E4</f>
        <v>1.4765891785442329E+20</v>
      </c>
      <c r="T4" s="129">
        <f>courbes!F4</f>
        <v>5.1735278932703445E+19</v>
      </c>
      <c r="U4" s="129">
        <f>courbes!G4</f>
        <v>3.2542074725729509E+19</v>
      </c>
      <c r="V4" s="129">
        <f>courbes!H4</f>
        <v>8.5180046723846177E+19</v>
      </c>
      <c r="W4" s="129">
        <f>courbes!I4</f>
        <v>1.6704202998052142E+22</v>
      </c>
      <c r="AB4" s="126">
        <f t="shared" si="0"/>
        <v>0.4</v>
      </c>
      <c r="AC4" s="154">
        <f t="shared" si="4"/>
        <v>0.21899156526765159</v>
      </c>
      <c r="AD4" s="154">
        <f t="shared" si="5"/>
        <v>2.3516422540121825E-3</v>
      </c>
      <c r="AE4" s="154">
        <f t="shared" si="6"/>
        <v>-1.512004706180022E-3</v>
      </c>
      <c r="AF4" s="154">
        <f t="shared" si="7"/>
        <v>3.9419296309302449E-3</v>
      </c>
      <c r="AG4" s="154">
        <f t="shared" si="8"/>
        <v>-1.7960949993680963E-3</v>
      </c>
      <c r="AH4" s="154">
        <f t="shared" si="9"/>
        <v>-7.509795847153505E-3</v>
      </c>
      <c r="AI4" s="154">
        <f t="shared" si="10"/>
        <v>5.7224075007125527E-3</v>
      </c>
      <c r="AJ4" s="154">
        <f t="shared" si="11"/>
        <v>9.5967508528726499E-4</v>
      </c>
      <c r="AM4" s="126">
        <f t="shared" si="12"/>
        <v>0.4</v>
      </c>
      <c r="AN4" s="127">
        <f t="shared" si="13"/>
        <v>7.5118545233407978E+23</v>
      </c>
      <c r="AO4" s="155">
        <f t="shared" si="14"/>
        <v>3.6952687373729299E-3</v>
      </c>
      <c r="AP4" s="155">
        <f t="shared" si="15"/>
        <v>0.686851959655013</v>
      </c>
      <c r="AQ4" s="155">
        <f t="shared" si="16"/>
        <v>0.23574969391161124</v>
      </c>
      <c r="AR4" s="155">
        <f t="shared" si="17"/>
        <v>4.6284211576569083E-2</v>
      </c>
      <c r="AS4" s="155">
        <f t="shared" si="18"/>
        <v>1.6900603023753152E-2</v>
      </c>
      <c r="AT4" s="155">
        <f t="shared" si="19"/>
        <v>1.0518263095680535E-2</v>
      </c>
      <c r="AW4" s="126">
        <f t="shared" si="20"/>
        <v>0.16666666666666666</v>
      </c>
      <c r="AX4" s="127">
        <f t="shared" si="21"/>
        <v>7.532251668625468E+23</v>
      </c>
      <c r="AY4" s="155">
        <f t="shared" si="22"/>
        <v>4.1584182939037014E-3</v>
      </c>
      <c r="AZ4" s="155">
        <f t="shared" si="23"/>
        <v>0.68890092558194183</v>
      </c>
      <c r="BA4" s="155">
        <f t="shared" si="24"/>
        <v>0.23266223424590518</v>
      </c>
      <c r="BB4" s="155">
        <f t="shared" si="25"/>
        <v>4.7244570107958073E-2</v>
      </c>
      <c r="BC4" s="155">
        <f t="shared" si="26"/>
        <v>1.6621772681685968E-2</v>
      </c>
      <c r="BD4" s="155">
        <f t="shared" si="27"/>
        <v>1.0412079088605367E-2</v>
      </c>
    </row>
    <row r="5" spans="1:56">
      <c r="B5" s="126">
        <f t="shared" si="28"/>
        <v>219</v>
      </c>
      <c r="C5" s="126">
        <f t="shared" si="3"/>
        <v>0.6</v>
      </c>
      <c r="D5" s="129">
        <f>courbes!AF5</f>
        <v>1.1728367918942173E+19</v>
      </c>
      <c r="E5" s="129">
        <f>courbes!AG5</f>
        <v>2.1508E+21</v>
      </c>
      <c r="F5" s="129">
        <f>courbes!AH5</f>
        <v>7.4485331239833449E+20</v>
      </c>
      <c r="G5" s="129">
        <f>courbes!AI5</f>
        <v>1.4142339085656985E+20</v>
      </c>
      <c r="H5" s="129">
        <f>courbes!AJ5</f>
        <v>5.3105829869368795E+19</v>
      </c>
      <c r="I5" s="129">
        <f>courbes!AK5</f>
        <v>3.2859707479750967E+19</v>
      </c>
      <c r="J5" s="129">
        <f>courbes!AL5</f>
        <v>7.7447712989478322E+19</v>
      </c>
      <c r="K5" s="129">
        <f>courbes!AM5</f>
        <v>1.6490186553730236E+22</v>
      </c>
      <c r="N5" s="128">
        <f>[4]Eq_de_Bateman_avec_RK1!F5</f>
        <v>0.25</v>
      </c>
      <c r="O5" s="128">
        <f>[4]Eq_de_Bateman_avec_RK1!G5</f>
        <v>7884000</v>
      </c>
      <c r="P5" s="129">
        <f>courbes!B5</f>
        <v>1.3697691479775232E+19</v>
      </c>
      <c r="Q5" s="129">
        <f>courbes!C5</f>
        <v>2.167517719189603E+21</v>
      </c>
      <c r="R5" s="129">
        <f>courbes!D5</f>
        <v>7.335019100789164E+20</v>
      </c>
      <c r="S5" s="129">
        <f>courbes!E5</f>
        <v>1.4621795767804166E+20</v>
      </c>
      <c r="T5" s="129">
        <f>courbes!F5</f>
        <v>5.2054902252901179E+19</v>
      </c>
      <c r="U5" s="129">
        <f>courbes!G5</f>
        <v>3.2543310821702263E+19</v>
      </c>
      <c r="V5" s="129">
        <f>courbes!H5</f>
        <v>8.3361511226925384E+19</v>
      </c>
      <c r="W5" s="129">
        <f>courbes!I5</f>
        <v>1.665654568061717E+22</v>
      </c>
      <c r="AB5" s="126">
        <f t="shared" si="0"/>
        <v>0.6</v>
      </c>
      <c r="AC5" s="154">
        <f t="shared" si="4"/>
        <v>0.33652844054476078</v>
      </c>
      <c r="AD5" s="154">
        <f t="shared" si="5"/>
        <v>8.9624010017879795E-4</v>
      </c>
      <c r="AE5" s="154">
        <f t="shared" si="6"/>
        <v>1.9622957523241199E-3</v>
      </c>
      <c r="AF5" s="154">
        <f t="shared" si="7"/>
        <v>-2.9308418489124048E-3</v>
      </c>
      <c r="AG5" s="154">
        <f t="shared" si="8"/>
        <v>2.8188542022059542E-3</v>
      </c>
      <c r="AH5" s="154">
        <f t="shared" si="9"/>
        <v>-1.1152636888571371E-2</v>
      </c>
      <c r="AI5" s="154">
        <f t="shared" si="10"/>
        <v>-1.2644933587246767E-2</v>
      </c>
      <c r="AJ5" s="154">
        <f t="shared" si="11"/>
        <v>-1.3895747011036729E-3</v>
      </c>
      <c r="AM5" s="126">
        <f t="shared" si="12"/>
        <v>0.6</v>
      </c>
      <c r="AN5" s="127">
        <f t="shared" si="13"/>
        <v>7.5045118406774901E+23</v>
      </c>
      <c r="AO5" s="155">
        <f t="shared" si="14"/>
        <v>3.71956447530402E-3</v>
      </c>
      <c r="AP5" s="155">
        <f t="shared" si="15"/>
        <v>0.6849761995359761</v>
      </c>
      <c r="AQ5" s="155">
        <f t="shared" si="16"/>
        <v>0.238209758037322</v>
      </c>
      <c r="AR5" s="155">
        <f t="shared" si="17"/>
        <v>4.5416727856553554E-2</v>
      </c>
      <c r="AS5" s="155">
        <f t="shared" si="18"/>
        <v>1.7125178960643809E-2</v>
      </c>
      <c r="AT5" s="155">
        <f t="shared" si="19"/>
        <v>1.0552571134200592E-2</v>
      </c>
      <c r="AW5" s="126">
        <f t="shared" si="20"/>
        <v>0.25</v>
      </c>
      <c r="AX5" s="127">
        <f t="shared" si="21"/>
        <v>7.5301599593108188E+23</v>
      </c>
      <c r="AY5" s="155">
        <f t="shared" si="22"/>
        <v>4.3293244629625024E-3</v>
      </c>
      <c r="AZ5" s="155">
        <f t="shared" si="23"/>
        <v>0.68794917728909344</v>
      </c>
      <c r="BA5" s="155">
        <f t="shared" si="24"/>
        <v>0.23378050316351001</v>
      </c>
      <c r="BB5" s="155">
        <f t="shared" si="25"/>
        <v>4.6796519583673188E-2</v>
      </c>
      <c r="BC5" s="155">
        <f t="shared" si="26"/>
        <v>1.672910856246276E-2</v>
      </c>
      <c r="BD5" s="155">
        <f t="shared" si="27"/>
        <v>1.0415366938298152E-2</v>
      </c>
    </row>
    <row r="6" spans="1:56">
      <c r="B6" s="126">
        <f t="shared" si="28"/>
        <v>292</v>
      </c>
      <c r="C6" s="126">
        <f t="shared" si="3"/>
        <v>0.8</v>
      </c>
      <c r="D6" s="129">
        <f>courbes!AF6</f>
        <v>1.1899914485885899E+19</v>
      </c>
      <c r="E6" s="129">
        <f>courbes!AG6</f>
        <v>2.1424999999999999E+21</v>
      </c>
      <c r="F6" s="129">
        <f>courbes!AH6</f>
        <v>7.5166434854173016E+20</v>
      </c>
      <c r="G6" s="129">
        <f>courbes!AI6</f>
        <v>1.3882130454826131E+20</v>
      </c>
      <c r="H6" s="129">
        <f>courbes!AJ6</f>
        <v>5.3721055409266278E+19</v>
      </c>
      <c r="I6" s="129">
        <f>courbes!AK6</f>
        <v>3.2900590164908151E+19</v>
      </c>
      <c r="J6" s="129">
        <f>courbes!AL6</f>
        <v>7.3928588669718004E+19</v>
      </c>
      <c r="K6" s="129">
        <f>courbes!AM6</f>
        <v>1.6387272762223072E+22</v>
      </c>
      <c r="N6" s="128">
        <f>[4]Eq_de_Bateman_avec_RK1!F6</f>
        <v>0.33333333333333331</v>
      </c>
      <c r="O6" s="128">
        <f>[4]Eq_de_Bateman_avec_RK1!G6</f>
        <v>10512000</v>
      </c>
      <c r="P6" s="129">
        <f>courbes!B6</f>
        <v>1.4217293858890809E+19</v>
      </c>
      <c r="Q6" s="129">
        <f>courbes!C6</f>
        <v>2.1638767252979618E+21</v>
      </c>
      <c r="R6" s="129">
        <f>courbes!D6</f>
        <v>7.3676657047339794E+20</v>
      </c>
      <c r="S6" s="129">
        <f>courbes!E6</f>
        <v>1.4483435486548625E+20</v>
      </c>
      <c r="T6" s="129">
        <f>courbes!F6</f>
        <v>5.2366466223856083E+19</v>
      </c>
      <c r="U6" s="129">
        <f>courbes!G6</f>
        <v>3.2538714008387015E+19</v>
      </c>
      <c r="V6" s="129">
        <f>courbes!H6</f>
        <v>8.1581902634287006E+19</v>
      </c>
      <c r="W6" s="129">
        <f>courbes!I6</f>
        <v>1.6609024330226393E+22</v>
      </c>
      <c r="AB6" s="126">
        <f t="shared" si="0"/>
        <v>0.8</v>
      </c>
      <c r="AC6" s="154">
        <f t="shared" si="4"/>
        <v>0.392215158617927</v>
      </c>
      <c r="AD6" s="154">
        <f t="shared" si="5"/>
        <v>1.221215704990411E-3</v>
      </c>
      <c r="AE6" s="154">
        <f t="shared" si="6"/>
        <v>1.0818127896526195E-3</v>
      </c>
      <c r="AF6" s="154">
        <f t="shared" si="7"/>
        <v>-7.8787289085237809E-4</v>
      </c>
      <c r="AG6" s="154">
        <f t="shared" si="8"/>
        <v>1.7074688844389773E-3</v>
      </c>
      <c r="AH6" s="154">
        <f t="shared" si="9"/>
        <v>-1.4012105804224347E-2</v>
      </c>
      <c r="AI6" s="154">
        <f t="shared" si="10"/>
        <v>-9.3249770339551129E-3</v>
      </c>
      <c r="AJ6" s="154">
        <f t="shared" si="11"/>
        <v>-8.4389983109601835E-4</v>
      </c>
      <c r="AM6" s="126">
        <f t="shared" si="12"/>
        <v>0.8</v>
      </c>
      <c r="AN6" s="127">
        <f t="shared" si="13"/>
        <v>7.4967459533257232E+23</v>
      </c>
      <c r="AO6" s="155">
        <f t="shared" si="14"/>
        <v>3.7778786493150754E-3</v>
      </c>
      <c r="AP6" s="155">
        <f t="shared" si="15"/>
        <v>0.68303968573570228</v>
      </c>
      <c r="AQ6" s="155">
        <f t="shared" si="16"/>
        <v>0.24063699740283453</v>
      </c>
      <c r="AR6" s="155">
        <f t="shared" si="17"/>
        <v>4.462727509298775E-2</v>
      </c>
      <c r="AS6" s="155">
        <f t="shared" si="18"/>
        <v>1.7341517893206891E-2</v>
      </c>
      <c r="AT6" s="155">
        <f t="shared" si="19"/>
        <v>1.0576645225953488E-2</v>
      </c>
      <c r="AW6" s="126">
        <f t="shared" si="20"/>
        <v>0.33333333333333331</v>
      </c>
      <c r="AX6" s="127">
        <f t="shared" si="21"/>
        <v>7.5279382462302095E+23</v>
      </c>
      <c r="AY6" s="155">
        <f t="shared" si="22"/>
        <v>4.494877385731063E-3</v>
      </c>
      <c r="AZ6" s="155">
        <f t="shared" si="23"/>
        <v>0.68699625372882955</v>
      </c>
      <c r="BA6" s="155">
        <f t="shared" si="24"/>
        <v>0.23489031276546965</v>
      </c>
      <c r="BB6" s="155">
        <f t="shared" si="25"/>
        <v>4.6367382915317772E-2</v>
      </c>
      <c r="BC6" s="155">
        <f t="shared" si="26"/>
        <v>1.6834204016643352E-2</v>
      </c>
      <c r="BD6" s="155">
        <f t="shared" si="27"/>
        <v>1.0416969188008749E-2</v>
      </c>
    </row>
    <row r="7" spans="1:56">
      <c r="B7" s="126">
        <f t="shared" si="28"/>
        <v>365</v>
      </c>
      <c r="C7" s="126">
        <f t="shared" si="3"/>
        <v>1</v>
      </c>
      <c r="D7" s="129">
        <f>courbes!AF7</f>
        <v>1.2148707167769199E+19</v>
      </c>
      <c r="E7" s="129">
        <f>courbes!AG7</f>
        <v>2.134E+21</v>
      </c>
      <c r="F7" s="129">
        <f>courbes!AH7</f>
        <v>7.5831536034108159E+20</v>
      </c>
      <c r="G7" s="129">
        <f>courbes!AI7</f>
        <v>1.364393947737327E+20</v>
      </c>
      <c r="H7" s="129">
        <f>courbes!AJ7</f>
        <v>5.4307364351664538E+19</v>
      </c>
      <c r="I7" s="129">
        <f>courbes!AK7</f>
        <v>3.290956441286948E+19</v>
      </c>
      <c r="J7" s="129">
        <f>courbes!AL7</f>
        <v>7.0555345142315713E+19</v>
      </c>
      <c r="K7" s="129">
        <f>courbes!AM7</f>
        <v>1.6285358133740252E+22</v>
      </c>
      <c r="N7" s="128">
        <f>[4]Eq_de_Bateman_avec_RK1!F7</f>
        <v>0.41666666666666669</v>
      </c>
      <c r="O7" s="128">
        <f>[4]Eq_de_Bateman_avec_RK1!G7</f>
        <v>13140000</v>
      </c>
      <c r="P7" s="129">
        <f>courbes!B7</f>
        <v>1.4719827976246669E+19</v>
      </c>
      <c r="Q7" s="129">
        <f>courbes!C7</f>
        <v>2.1601973683553546E+21</v>
      </c>
      <c r="R7" s="129">
        <f>courbes!D7</f>
        <v>7.3999018480691079E+20</v>
      </c>
      <c r="S7" s="129">
        <f>courbes!E7</f>
        <v>1.435062014337768E+20</v>
      </c>
      <c r="T7" s="129">
        <f>courbes!F7</f>
        <v>5.2670247847727866E+19</v>
      </c>
      <c r="U7" s="129">
        <f>courbes!G7</f>
        <v>3.2528622065433682E+19</v>
      </c>
      <c r="V7" s="129">
        <f>courbes!H7</f>
        <v>7.9840387411779437E+19</v>
      </c>
      <c r="W7" s="129">
        <f>courbes!I7</f>
        <v>1.6561638558962685E+22</v>
      </c>
      <c r="AB7" s="126">
        <f t="shared" si="0"/>
        <v>1</v>
      </c>
      <c r="AC7" s="154">
        <f t="shared" si="4"/>
        <v>0.46457141306399069</v>
      </c>
      <c r="AD7" s="154">
        <f t="shared" si="5"/>
        <v>-2.5721345813320315E-4</v>
      </c>
      <c r="AE7" s="154">
        <f t="shared" si="6"/>
        <v>4.094584029722929E-3</v>
      </c>
      <c r="AF7" s="154">
        <f t="shared" si="7"/>
        <v>-6.0547988393943467E-3</v>
      </c>
      <c r="AG7" s="154">
        <f t="shared" si="8"/>
        <v>5.3933622323172961E-3</v>
      </c>
      <c r="AH7" s="154">
        <f t="shared" si="9"/>
        <v>-1.7620014177813559E-2</v>
      </c>
      <c r="AI7" s="154">
        <f t="shared" si="10"/>
        <v>-2.7004519103551641E-2</v>
      </c>
      <c r="AJ7" s="154">
        <f t="shared" si="11"/>
        <v>-3.1719358611083342E-3</v>
      </c>
      <c r="AM7" s="126">
        <f t="shared" si="12"/>
        <v>1</v>
      </c>
      <c r="AN7" s="127">
        <f t="shared" si="13"/>
        <v>7.4886856012486254E+23</v>
      </c>
      <c r="AO7" s="155">
        <f t="shared" si="14"/>
        <v>3.8610144154629395E-3</v>
      </c>
      <c r="AP7" s="155">
        <f t="shared" si="15"/>
        <v>0.68106210776823217</v>
      </c>
      <c r="AQ7" s="155">
        <f t="shared" si="16"/>
        <v>0.24302754338026228</v>
      </c>
      <c r="AR7" s="155">
        <f t="shared" si="17"/>
        <v>4.3908765691788448E-2</v>
      </c>
      <c r="AS7" s="155">
        <f t="shared" si="18"/>
        <v>1.7549651397985682E-2</v>
      </c>
      <c r="AT7" s="155">
        <f t="shared" si="19"/>
        <v>1.0590917346268531E-2</v>
      </c>
      <c r="AW7" s="126">
        <f t="shared" si="20"/>
        <v>0.41666666666666669</v>
      </c>
      <c r="AX7" s="127">
        <f t="shared" si="21"/>
        <v>7.5255872689139488E+23</v>
      </c>
      <c r="AY7" s="155">
        <f t="shared" si="22"/>
        <v>4.6552101957782321E-3</v>
      </c>
      <c r="AZ7" s="155">
        <f t="shared" si="23"/>
        <v>0.68604236797514073</v>
      </c>
      <c r="BA7" s="155">
        <f t="shared" si="24"/>
        <v>0.23599174125222588</v>
      </c>
      <c r="BB7" s="155">
        <f t="shared" si="25"/>
        <v>4.5956539084200033E-2</v>
      </c>
      <c r="BC7" s="155">
        <f t="shared" si="26"/>
        <v>1.6937149917589895E-2</v>
      </c>
      <c r="BD7" s="155">
        <f t="shared" si="27"/>
        <v>1.0416991575065286E-2</v>
      </c>
    </row>
    <row r="8" spans="1:56">
      <c r="B8" s="126">
        <f t="shared" si="28"/>
        <v>438</v>
      </c>
      <c r="C8" s="126">
        <f t="shared" si="3"/>
        <v>1.2</v>
      </c>
      <c r="D8" s="129">
        <f>courbes!AF8</f>
        <v>1.2452675646037907E+19</v>
      </c>
      <c r="E8" s="129">
        <f>courbes!AG8</f>
        <v>2.1253000000000004E+21</v>
      </c>
      <c r="F8" s="129">
        <f>courbes!AH8</f>
        <v>7.6480634779638851E+20</v>
      </c>
      <c r="G8" s="129">
        <f>courbes!AI8</f>
        <v>1.3426765350872134E+20</v>
      </c>
      <c r="H8" s="129">
        <f>courbes!AJ8</f>
        <v>5.4868745192770347E+19</v>
      </c>
      <c r="I8" s="129">
        <f>courbes!AK8</f>
        <v>3.2891615916946821E+19</v>
      </c>
      <c r="J8" s="129">
        <f>courbes!AL8</f>
        <v>6.7320988122706354E+19</v>
      </c>
      <c r="K8" s="129">
        <f>courbes!AM8</f>
        <v>1.6182444342233088E+22</v>
      </c>
      <c r="N8" s="128">
        <f>[4]Eq_de_Bateman_avec_RK1!F8</f>
        <v>0.5</v>
      </c>
      <c r="O8" s="128">
        <f>[4]Eq_de_Bateman_avec_RK1!G8</f>
        <v>15768000</v>
      </c>
      <c r="P8" s="129">
        <f>courbes!B8</f>
        <v>1.5205697049389722E+19</v>
      </c>
      <c r="Q8" s="129">
        <f>courbes!C8</f>
        <v>2.156480670261362E+21</v>
      </c>
      <c r="R8" s="129">
        <f>courbes!D8</f>
        <v>7.4317291723508744E+20</v>
      </c>
      <c r="S8" s="129">
        <f>courbes!E8</f>
        <v>1.4223164784802193E+20</v>
      </c>
      <c r="T8" s="129">
        <f>courbes!F8</f>
        <v>5.2966515152135119E+19</v>
      </c>
      <c r="U8" s="129">
        <f>courbes!G8</f>
        <v>3.251335891169187E+19</v>
      </c>
      <c r="V8" s="129">
        <f>courbes!H8</f>
        <v>7.8136149874028872E+19</v>
      </c>
      <c r="W8" s="129">
        <f>courbes!I8</f>
        <v>1.6514387980015695E+22</v>
      </c>
      <c r="AB8" s="126">
        <f t="shared" si="0"/>
        <v>1.2</v>
      </c>
      <c r="AC8" s="154">
        <f t="shared" si="4"/>
        <v>0.48874078016353822</v>
      </c>
      <c r="AD8" s="154">
        <f t="shared" si="5"/>
        <v>1.0308907653401474E-4</v>
      </c>
      <c r="AE8" s="154">
        <f t="shared" si="6"/>
        <v>3.1083856678911928E-3</v>
      </c>
      <c r="AF8" s="154">
        <f t="shared" si="7"/>
        <v>-3.7748509764189979E-3</v>
      </c>
      <c r="AG8" s="154">
        <f t="shared" si="8"/>
        <v>4.1335363915495681E-3</v>
      </c>
      <c r="AH8" s="154">
        <f t="shared" si="9"/>
        <v>-1.9818331048014729E-2</v>
      </c>
      <c r="AI8" s="154">
        <f t="shared" si="10"/>
        <v>-2.3306688843466029E-2</v>
      </c>
      <c r="AJ8" s="154">
        <f t="shared" si="11"/>
        <v>-2.5484484308320424E-3</v>
      </c>
      <c r="AM8" s="126">
        <f t="shared" si="12"/>
        <v>1.2</v>
      </c>
      <c r="AN8" s="127">
        <f t="shared" si="13"/>
        <v>7.4802758054312685E+23</v>
      </c>
      <c r="AO8" s="155">
        <f t="shared" si="14"/>
        <v>3.9620688873598965E-3</v>
      </c>
      <c r="AP8" s="155">
        <f t="shared" si="15"/>
        <v>0.67904809022040458</v>
      </c>
      <c r="AQ8" s="155">
        <f t="shared" si="16"/>
        <v>0.24538336318810455</v>
      </c>
      <c r="AR8" s="155">
        <f t="shared" si="17"/>
        <v>4.3258437706410538E-2</v>
      </c>
      <c r="AS8" s="155">
        <f t="shared" si="18"/>
        <v>1.7750998334860033E-2</v>
      </c>
      <c r="AT8" s="155">
        <f t="shared" si="19"/>
        <v>1.0597041662860407E-2</v>
      </c>
      <c r="AW8" s="126">
        <f t="shared" si="20"/>
        <v>0.5</v>
      </c>
      <c r="AX8" s="127">
        <f t="shared" si="21"/>
        <v>7.5231077952254906E+23</v>
      </c>
      <c r="AY8" s="155">
        <f t="shared" si="22"/>
        <v>4.8104533342610209E-3</v>
      </c>
      <c r="AZ8" s="155">
        <f t="shared" si="23"/>
        <v>0.68508772467617884</v>
      </c>
      <c r="BA8" s="155">
        <f t="shared" si="24"/>
        <v>0.23708486571150475</v>
      </c>
      <c r="BB8" s="155">
        <f t="shared" si="25"/>
        <v>4.5563386919867832E-2</v>
      </c>
      <c r="BC8" s="155">
        <f t="shared" si="26"/>
        <v>1.7038034035550473E-2</v>
      </c>
      <c r="BD8" s="155">
        <f t="shared" si="27"/>
        <v>1.0415535322637073E-2</v>
      </c>
    </row>
    <row r="9" spans="1:56">
      <c r="B9" s="126">
        <f t="shared" si="28"/>
        <v>511</v>
      </c>
      <c r="C9" s="126">
        <f t="shared" si="3"/>
        <v>1.4</v>
      </c>
      <c r="D9" s="129">
        <f>courbes!AF9</f>
        <v>1.2795768779925363E+19</v>
      </c>
      <c r="E9" s="129">
        <f>courbes!AG9</f>
        <v>2.1164000000000003E+21</v>
      </c>
      <c r="F9" s="129">
        <f>courbes!AH9</f>
        <v>7.7113731090765054E+20</v>
      </c>
      <c r="G9" s="129">
        <f>courbes!AI9</f>
        <v>1.3229607272896446E+20</v>
      </c>
      <c r="H9" s="129">
        <f>courbes!AJ9</f>
        <v>5.5404200808532034E+19</v>
      </c>
      <c r="I9" s="129">
        <f>courbes!AK9</f>
        <v>3.284774181580252E+19</v>
      </c>
      <c r="J9" s="129">
        <f>courbes!AL9</f>
        <v>6.4222520060362015E+19</v>
      </c>
      <c r="K9" s="129">
        <f>courbes!AM9</f>
        <v>1.6080529713750266E+22</v>
      </c>
      <c r="N9" s="128">
        <f>[4]Eq_de_Bateman_avec_RK1!F9</f>
        <v>0.58333333333333337</v>
      </c>
      <c r="O9" s="128">
        <f>[4]Eq_de_Bateman_avec_RK1!G9</f>
        <v>18396000</v>
      </c>
      <c r="P9" s="129">
        <f>courbes!B9</f>
        <v>1.5675297284838984E+19</v>
      </c>
      <c r="Q9" s="129">
        <f>courbes!C9</f>
        <v>2.1527276332074646E+21</v>
      </c>
      <c r="R9" s="129">
        <f>courbes!D9</f>
        <v>7.463149348893583E+20</v>
      </c>
      <c r="S9" s="129">
        <f>courbes!E9</f>
        <v>1.4100890126423232E+20</v>
      </c>
      <c r="T9" s="129">
        <f>courbes!F9</f>
        <v>5.32555274610577E+19</v>
      </c>
      <c r="U9" s="129">
        <f>courbes!G9</f>
        <v>3.2493235093964632E+19</v>
      </c>
      <c r="V9" s="129">
        <f>courbes!H9</f>
        <v>7.646839180224222E+19</v>
      </c>
      <c r="W9" s="129">
        <f>courbes!I9</f>
        <v>1.6467272207678692E+22</v>
      </c>
      <c r="AB9" s="126">
        <f t="shared" si="0"/>
        <v>1.4</v>
      </c>
      <c r="AC9" s="154">
        <f t="shared" si="4"/>
        <v>0.50296381331634465</v>
      </c>
      <c r="AD9" s="154">
        <f t="shared" si="5"/>
        <v>5.0610211726793703E-4</v>
      </c>
      <c r="AE9" s="154">
        <f t="shared" si="6"/>
        <v>2.1429845945646685E-3</v>
      </c>
      <c r="AF9" s="154">
        <f t="shared" si="7"/>
        <v>-1.7418601122734898E-3</v>
      </c>
      <c r="AG9" s="154">
        <f t="shared" si="8"/>
        <v>2.9739298442817319E-3</v>
      </c>
      <c r="AH9" s="154">
        <f t="shared" si="9"/>
        <v>-2.1588919799833794E-2</v>
      </c>
      <c r="AI9" s="154">
        <f t="shared" si="10"/>
        <v>-1.9399783440265807E-2</v>
      </c>
      <c r="AJ9" s="154">
        <f t="shared" si="11"/>
        <v>-1.9462206514076178E-3</v>
      </c>
      <c r="AM9" s="126">
        <f t="shared" si="12"/>
        <v>1.4</v>
      </c>
      <c r="AN9" s="127">
        <f t="shared" si="13"/>
        <v>7.47145423488412E+23</v>
      </c>
      <c r="AO9" s="155">
        <f t="shared" si="14"/>
        <v>4.0760377750871275E-3</v>
      </c>
      <c r="AP9" s="155">
        <f t="shared" si="15"/>
        <v>0.67700287534163717</v>
      </c>
      <c r="AQ9" s="155">
        <f t="shared" si="16"/>
        <v>0.24770673659986162</v>
      </c>
      <c r="AR9" s="155">
        <f t="shared" si="17"/>
        <v>4.2673557951834175E-2</v>
      </c>
      <c r="AS9" s="155">
        <f t="shared" si="18"/>
        <v>1.7945390782244018E-2</v>
      </c>
      <c r="AT9" s="155">
        <f t="shared" si="19"/>
        <v>1.059540154933598E-2</v>
      </c>
      <c r="AW9" s="126">
        <f t="shared" si="20"/>
        <v>0.58333333333333337</v>
      </c>
      <c r="AX9" s="127">
        <f t="shared" si="21"/>
        <v>7.5205006197172328E+23</v>
      </c>
      <c r="AY9" s="155">
        <f t="shared" si="22"/>
        <v>4.9607345872833015E-3</v>
      </c>
      <c r="AZ9" s="155">
        <f t="shared" si="23"/>
        <v>0.68413252036395555</v>
      </c>
      <c r="BA9" s="155">
        <f t="shared" si="24"/>
        <v>0.2381697621350381</v>
      </c>
      <c r="BB9" s="155">
        <f t="shared" si="25"/>
        <v>4.5187344464254216E-2</v>
      </c>
      <c r="BC9" s="155">
        <f t="shared" si="26"/>
        <v>1.7136941138980375E-2</v>
      </c>
      <c r="BD9" s="155">
        <f t="shared" si="27"/>
        <v>1.041269731048824E-2</v>
      </c>
    </row>
    <row r="10" spans="1:56">
      <c r="B10" s="126">
        <f t="shared" si="28"/>
        <v>584</v>
      </c>
      <c r="C10" s="126">
        <f t="shared" si="3"/>
        <v>1.6</v>
      </c>
      <c r="D10" s="129">
        <f>courbes!AF10</f>
        <v>1.316695141015448E+19</v>
      </c>
      <c r="E10" s="129">
        <f>courbes!AG10</f>
        <v>2.1073000000000001E+21</v>
      </c>
      <c r="F10" s="129">
        <f>courbes!AH10</f>
        <v>7.7729824815336561E+20</v>
      </c>
      <c r="G10" s="129">
        <f>courbes!AI10</f>
        <v>1.3049462836167395E+20</v>
      </c>
      <c r="H10" s="129">
        <f>courbes!AJ10</f>
        <v>5.5917719695156363E+19</v>
      </c>
      <c r="I10" s="129">
        <f>courbes!AK10</f>
        <v>3.2782927802748453E+19</v>
      </c>
      <c r="J10" s="129">
        <f>courbes!AL10</f>
        <v>6.1252946670717583E+19</v>
      </c>
      <c r="K10" s="129">
        <f>courbes!AM10</f>
        <v>1.5978615085267444E+22</v>
      </c>
      <c r="N10" s="128">
        <f>[4]Eq_de_Bateman_avec_RK1!F10</f>
        <v>0.66666666666666663</v>
      </c>
      <c r="O10" s="128">
        <f>[4]Eq_de_Bateman_avec_RK1!G10</f>
        <v>21024000</v>
      </c>
      <c r="P10" s="129">
        <f>courbes!B10</f>
        <v>1.6129017930984909E+19</v>
      </c>
      <c r="Q10" s="129">
        <f>courbes!C10</f>
        <v>2.1489392400453363E+21</v>
      </c>
      <c r="R10" s="129">
        <f>courbes!D10</f>
        <v>7.4941640777099117E+20</v>
      </c>
      <c r="S10" s="129">
        <f>courbes!E10</f>
        <v>1.3983622382489697E+20</v>
      </c>
      <c r="T10" s="129">
        <f>courbes!F10</f>
        <v>5.3537535657737888E+19</v>
      </c>
      <c r="U10" s="129">
        <f>courbes!G10</f>
        <v>3.246854825975296E+19</v>
      </c>
      <c r="V10" s="129">
        <f>courbes!H10</f>
        <v>7.4836332070193693E+19</v>
      </c>
      <c r="W10" s="129">
        <f>courbes!I10</f>
        <v>1.6420290857345409E+22</v>
      </c>
      <c r="AB10" s="126">
        <f t="shared" si="0"/>
        <v>1.6</v>
      </c>
      <c r="AC10" s="154">
        <f t="shared" si="4"/>
        <v>0.53235389150510182</v>
      </c>
      <c r="AD10" s="154">
        <f t="shared" si="5"/>
        <v>-9.9833974493249112E-4</v>
      </c>
      <c r="AE10" s="154">
        <f t="shared" si="6"/>
        <v>4.6437769529896868E-3</v>
      </c>
      <c r="AF10" s="154">
        <f t="shared" si="7"/>
        <v>-5.3642378515244967E-3</v>
      </c>
      <c r="AG10" s="154">
        <f t="shared" si="8"/>
        <v>5.7882903901568059E-3</v>
      </c>
      <c r="AH10" s="154">
        <f t="shared" si="9"/>
        <v>-2.4817122041617661E-2</v>
      </c>
      <c r="AI10" s="154">
        <f t="shared" si="10"/>
        <v>-3.6251882331356289E-2</v>
      </c>
      <c r="AJ10" s="154">
        <f t="shared" si="11"/>
        <v>-4.1528088761707115E-3</v>
      </c>
      <c r="AM10" s="126">
        <f t="shared" si="12"/>
        <v>1.6</v>
      </c>
      <c r="AN10" s="127">
        <f t="shared" si="13"/>
        <v>7.4621199319427809E+23</v>
      </c>
      <c r="AO10" s="155">
        <f t="shared" si="14"/>
        <v>4.1995230098116247E-3</v>
      </c>
      <c r="AP10" s="155">
        <f t="shared" si="15"/>
        <v>0.67493514523140996</v>
      </c>
      <c r="AQ10" s="155">
        <f t="shared" si="16"/>
        <v>0.24999809874167836</v>
      </c>
      <c r="AR10" s="155">
        <f t="shared" si="17"/>
        <v>4.2145135326142565E-2</v>
      </c>
      <c r="AS10" s="155">
        <f t="shared" si="18"/>
        <v>1.8134375069880079E-2</v>
      </c>
      <c r="AT10" s="155">
        <f t="shared" si="19"/>
        <v>1.0587722621077485E-2</v>
      </c>
      <c r="AW10" s="126">
        <f t="shared" si="20"/>
        <v>0.66666666666666663</v>
      </c>
      <c r="AX10" s="127">
        <f t="shared" si="21"/>
        <v>7.5177665620502088E+23</v>
      </c>
      <c r="AY10" s="155">
        <f t="shared" si="22"/>
        <v>5.1061791236671952E-3</v>
      </c>
      <c r="AZ10" s="155">
        <f t="shared" si="23"/>
        <v>0.68317694375278637</v>
      </c>
      <c r="BA10" s="155">
        <f t="shared" si="24"/>
        <v>0.23924650543550177</v>
      </c>
      <c r="BB10" s="155">
        <f t="shared" si="25"/>
        <v>4.482784835581477E-2</v>
      </c>
      <c r="BC10" s="155">
        <f t="shared" si="26"/>
        <v>1.7233953092631343E-2</v>
      </c>
      <c r="BD10" s="155">
        <f t="shared" si="27"/>
        <v>1.0408570239598514E-2</v>
      </c>
    </row>
    <row r="11" spans="1:56">
      <c r="B11" s="126">
        <f t="shared" si="28"/>
        <v>657</v>
      </c>
      <c r="C11" s="126">
        <f t="shared" si="3"/>
        <v>1.8</v>
      </c>
      <c r="D11" s="129">
        <f>courbes!AF11</f>
        <v>1.3557194770044008E+19</v>
      </c>
      <c r="E11" s="129">
        <f>courbes!AG11</f>
        <v>2.0981000000000001E+21</v>
      </c>
      <c r="F11" s="129">
        <f>courbes!AH11</f>
        <v>7.8329916105503592E+20</v>
      </c>
      <c r="G11" s="129">
        <f>courbes!AI11</f>
        <v>1.2887332843111247E+20</v>
      </c>
      <c r="H11" s="129">
        <f>courbes!AJ11</f>
        <v>5.6410298976695026E+19</v>
      </c>
      <c r="I11" s="129">
        <f>courbes!AK11</f>
        <v>3.2697173877784605E+19</v>
      </c>
      <c r="J11" s="129">
        <f>courbes!AL11</f>
        <v>5.8409270403245154E+19</v>
      </c>
      <c r="K11" s="129">
        <f>courbes!AM11</f>
        <v>1.5876700456784625E+22</v>
      </c>
      <c r="N11" s="128">
        <f>[4]Eq_de_Bateman_avec_RK1!F11</f>
        <v>0.75</v>
      </c>
      <c r="O11" s="128">
        <f>[4]Eq_de_Bateman_avec_RK1!G11</f>
        <v>23652000</v>
      </c>
      <c r="P11" s="129">
        <f>courbes!B11</f>
        <v>1.6567241333507404E+19</v>
      </c>
      <c r="Q11" s="129">
        <f>courbes!C11</f>
        <v>2.1451164546479418E+21</v>
      </c>
      <c r="R11" s="129">
        <f>courbes!D11</f>
        <v>7.5247750864750851E+20</v>
      </c>
      <c r="S11" s="129">
        <f>courbes!E11</f>
        <v>1.3871193100573498E+20</v>
      </c>
      <c r="T11" s="129">
        <f>courbes!F11</f>
        <v>5.3812782439816823E+19</v>
      </c>
      <c r="U11" s="129">
        <f>courbes!G11</f>
        <v>3.2439583614496035E+19</v>
      </c>
      <c r="V11" s="129">
        <f>courbes!H11</f>
        <v>7.3239206278220169E+19</v>
      </c>
      <c r="W11" s="129">
        <f>courbes!I11</f>
        <v>1.6373443545506907E+22</v>
      </c>
      <c r="AB11" s="126">
        <f t="shared" si="0"/>
        <v>1.8</v>
      </c>
      <c r="AC11" s="154">
        <f t="shared" si="4"/>
        <v>0.53034290436458853</v>
      </c>
      <c r="AD11" s="154">
        <f t="shared" si="5"/>
        <v>-5.7820295073000752E-4</v>
      </c>
      <c r="AE11" s="154">
        <f t="shared" si="6"/>
        <v>3.6113666945342504E-3</v>
      </c>
      <c r="AF11" s="154">
        <f t="shared" si="7"/>
        <v>-3.3048959603447664E-3</v>
      </c>
      <c r="AG11" s="154">
        <f t="shared" si="8"/>
        <v>4.5425829104547722E-3</v>
      </c>
      <c r="AH11" s="154">
        <f t="shared" si="9"/>
        <v>-2.6001746375067778E-2</v>
      </c>
      <c r="AI11" s="154">
        <f t="shared" si="10"/>
        <v>-3.1975076953632581E-2</v>
      </c>
      <c r="AJ11" s="154">
        <f t="shared" si="11"/>
        <v>-3.4709834017765109E-3</v>
      </c>
      <c r="AM11" s="126">
        <f t="shared" si="12"/>
        <v>1.8</v>
      </c>
      <c r="AN11" s="127">
        <f t="shared" si="13"/>
        <v>7.4525409441728363E+23</v>
      </c>
      <c r="AO11" s="155">
        <f t="shared" si="14"/>
        <v>4.3295466330760275E-3</v>
      </c>
      <c r="AP11" s="155">
        <f t="shared" si="15"/>
        <v>0.67285225771497714</v>
      </c>
      <c r="AQ11" s="155">
        <f t="shared" si="16"/>
        <v>0.25225195012205864</v>
      </c>
      <c r="AR11" s="155">
        <f t="shared" si="17"/>
        <v>4.1675010422026357E-2</v>
      </c>
      <c r="AS11" s="155">
        <f t="shared" si="18"/>
        <v>1.8317634823642508E-2</v>
      </c>
      <c r="AT11" s="155">
        <f t="shared" si="19"/>
        <v>1.057360028421917E-2</v>
      </c>
      <c r="AW11" s="126">
        <f t="shared" si="20"/>
        <v>0.75</v>
      </c>
      <c r="AX11" s="127">
        <f t="shared" si="21"/>
        <v>7.5149064654754629E+23</v>
      </c>
      <c r="AY11" s="155">
        <f t="shared" si="22"/>
        <v>5.2469095330586937E-3</v>
      </c>
      <c r="AZ11" s="155">
        <f t="shared" si="23"/>
        <v>0.68222117602686749</v>
      </c>
      <c r="BA11" s="155">
        <f t="shared" si="24"/>
        <v>0.24031516946362413</v>
      </c>
      <c r="BB11" s="155">
        <f t="shared" si="25"/>
        <v>4.4484353233087193E-2</v>
      </c>
      <c r="BC11" s="155">
        <f t="shared" si="26"/>
        <v>1.7329148952503606E-2</v>
      </c>
      <c r="BD11" s="155">
        <f t="shared" si="27"/>
        <v>1.0403242790858754E-2</v>
      </c>
    </row>
    <row r="12" spans="1:56">
      <c r="B12" s="126">
        <f t="shared" si="28"/>
        <v>730</v>
      </c>
      <c r="C12" s="126">
        <f t="shared" si="3"/>
        <v>2</v>
      </c>
      <c r="D12" s="129">
        <f>courbes!AF12</f>
        <v>1.3960479681806457E+19</v>
      </c>
      <c r="E12" s="129">
        <f>courbes!AG12</f>
        <v>2.0887000000000004E+21</v>
      </c>
      <c r="F12" s="129">
        <f>courbes!AH12</f>
        <v>7.8914004961266185E+20</v>
      </c>
      <c r="G12" s="129">
        <f>courbes!AI12</f>
        <v>1.2741215688875457E+20</v>
      </c>
      <c r="H12" s="129">
        <f>courbes!AJ12</f>
        <v>5.6882935777199751E+19</v>
      </c>
      <c r="I12" s="129">
        <f>courbes!AK12</f>
        <v>3.2595465734222836E+19</v>
      </c>
      <c r="J12" s="129">
        <f>courbes!AL12</f>
        <v>5.5685496156888916E+19</v>
      </c>
      <c r="K12" s="129">
        <f>courbes!AM12</f>
        <v>1.5774785828301803E+22</v>
      </c>
      <c r="N12" s="128">
        <f>[4]Eq_de_Bateman_avec_RK1!F12</f>
        <v>0.83333333333333337</v>
      </c>
      <c r="O12" s="128">
        <f>[4]Eq_de_Bateman_avec_RK1!G12</f>
        <v>26280000</v>
      </c>
      <c r="P12" s="129">
        <f>courbes!B12</f>
        <v>1.6990342993139104E+19</v>
      </c>
      <c r="Q12" s="129">
        <f>courbes!C12</f>
        <v>2.1412602222635951E+21</v>
      </c>
      <c r="R12" s="129">
        <f>courbes!D12</f>
        <v>7.5549841295143482E+20</v>
      </c>
      <c r="S12" s="129">
        <f>courbes!E12</f>
        <v>1.3763439001208273E+20</v>
      </c>
      <c r="T12" s="129">
        <f>courbes!F12</f>
        <v>5.4081502566935757E+19</v>
      </c>
      <c r="U12" s="129">
        <f>courbes!G12</f>
        <v>3.2406614363796681E+19</v>
      </c>
      <c r="V12" s="129">
        <f>courbes!H12</f>
        <v>7.1676266395053728E+19</v>
      </c>
      <c r="W12" s="129">
        <f>courbes!I12</f>
        <v>1.6326729889748437E+22</v>
      </c>
      <c r="AB12" s="126">
        <f t="shared" si="0"/>
        <v>2</v>
      </c>
      <c r="AC12" s="154">
        <f t="shared" si="4"/>
        <v>0.54153150107984682</v>
      </c>
      <c r="AD12" s="154">
        <f t="shared" si="5"/>
        <v>-2.1310376757784633E-3</v>
      </c>
      <c r="AE12" s="154">
        <f t="shared" si="6"/>
        <v>5.7456980827791156E-3</v>
      </c>
      <c r="AF12" s="154">
        <f t="shared" si="7"/>
        <v>-5.9503819284380142E-3</v>
      </c>
      <c r="AG12" s="154">
        <f t="shared" si="8"/>
        <v>6.8536585945791588E-3</v>
      </c>
      <c r="AH12" s="154">
        <f t="shared" si="9"/>
        <v>-2.893200960758234E-2</v>
      </c>
      <c r="AI12" s="154">
        <f t="shared" si="10"/>
        <v>-4.8193467353258641E-2</v>
      </c>
      <c r="AJ12" s="154">
        <f t="shared" si="11"/>
        <v>-5.5927735817247271E-3</v>
      </c>
      <c r="AM12" s="126">
        <f t="shared" si="12"/>
        <v>2</v>
      </c>
      <c r="AN12" s="127">
        <f t="shared" si="13"/>
        <v>7.4424301358152872E+23</v>
      </c>
      <c r="AO12" s="155">
        <f t="shared" si="14"/>
        <v>4.4643941610960931E-3</v>
      </c>
      <c r="AP12" s="155">
        <f t="shared" si="15"/>
        <v>0.67074771397274924</v>
      </c>
      <c r="AQ12" s="155">
        <f t="shared" si="16"/>
        <v>0.25447818582215226</v>
      </c>
      <c r="AR12" s="155">
        <f t="shared" si="17"/>
        <v>4.1258472367004764E-2</v>
      </c>
      <c r="AS12" s="155">
        <f t="shared" si="18"/>
        <v>1.8496203802891822E-2</v>
      </c>
      <c r="AT12" s="155">
        <f t="shared" si="19"/>
        <v>1.0555029874105986E-2</v>
      </c>
      <c r="AW12" s="126">
        <f t="shared" si="20"/>
        <v>0.83333333333333337</v>
      </c>
      <c r="AX12" s="127">
        <f t="shared" si="21"/>
        <v>7.5119211953749605E+23</v>
      </c>
      <c r="AY12" s="155">
        <f t="shared" si="22"/>
        <v>5.3830458642947247E-3</v>
      </c>
      <c r="AZ12" s="155">
        <f t="shared" si="23"/>
        <v>0.68126539111737106</v>
      </c>
      <c r="BA12" s="155">
        <f t="shared" si="24"/>
        <v>0.24137582702542412</v>
      </c>
      <c r="BB12" s="155">
        <f t="shared" si="25"/>
        <v>4.4156331157113864E-2</v>
      </c>
      <c r="BC12" s="155">
        <f t="shared" si="26"/>
        <v>1.7422605057753372E-2</v>
      </c>
      <c r="BD12" s="155">
        <f t="shared" si="27"/>
        <v>1.0396799778042882E-2</v>
      </c>
    </row>
    <row r="13" spans="1:56">
      <c r="B13" s="126">
        <f t="shared" si="28"/>
        <v>803</v>
      </c>
      <c r="C13" s="126">
        <f t="shared" si="3"/>
        <v>2.2000000000000002</v>
      </c>
      <c r="D13" s="129">
        <f>courbes!AF13</f>
        <v>1.4371790163952232E+19</v>
      </c>
      <c r="E13" s="129">
        <f>courbes!AG13</f>
        <v>2.0790999999999999E+21</v>
      </c>
      <c r="F13" s="129">
        <f>courbes!AH13</f>
        <v>7.9481091230474043E+20</v>
      </c>
      <c r="G13" s="129">
        <f>courbes!AI13</f>
        <v>1.2609109768607487E+20</v>
      </c>
      <c r="H13" s="129">
        <f>courbes!AJ13</f>
        <v>5.7337624344773911E+19</v>
      </c>
      <c r="I13" s="129">
        <f>courbes!AK13</f>
        <v>3.2478800510725509E+19</v>
      </c>
      <c r="J13" s="129">
        <f>courbes!AL13</f>
        <v>5.3078626381120979E+19</v>
      </c>
      <c r="K13" s="129">
        <f>courbes!AM13</f>
        <v>1.5672871199818979E+22</v>
      </c>
      <c r="N13" s="128">
        <f>[4]Eq_de_Bateman_avec_RK1!F13</f>
        <v>0.91666666666666663</v>
      </c>
      <c r="O13" s="128">
        <f>[4]Eq_de_Bateman_avec_RK1!G13</f>
        <v>28908000</v>
      </c>
      <c r="P13" s="129">
        <f>courbes!B13</f>
        <v>1.7398691625607973E+19</v>
      </c>
      <c r="Q13" s="129">
        <f>courbes!C13</f>
        <v>2.1373714698631315E+21</v>
      </c>
      <c r="R13" s="129">
        <f>courbes!D13</f>
        <v>7.5847929868132509E+20</v>
      </c>
      <c r="S13" s="129">
        <f>courbes!E13</f>
        <v>1.3660201822342323E+20</v>
      </c>
      <c r="T13" s="129">
        <f>courbes!F13</f>
        <v>5.4343923101024846E+19</v>
      </c>
      <c r="U13" s="129">
        <f>courbes!G13</f>
        <v>3.2369902141106323E+19</v>
      </c>
      <c r="V13" s="129">
        <f>courbes!H13</f>
        <v>7.0146780407323435E+19</v>
      </c>
      <c r="W13" s="129">
        <f>courbes!I13</f>
        <v>1.6280149508746325E+22</v>
      </c>
      <c r="Z13" s="155"/>
      <c r="AB13" s="126">
        <f t="shared" si="0"/>
        <v>2.2000000000000002</v>
      </c>
      <c r="AC13" s="154">
        <f t="shared" si="4"/>
        <v>0.52968325631511826</v>
      </c>
      <c r="AD13" s="154">
        <f t="shared" si="5"/>
        <v>-1.6276371507742738E-3</v>
      </c>
      <c r="AE13" s="154">
        <f t="shared" si="6"/>
        <v>4.664338140780086E-3</v>
      </c>
      <c r="AF13" s="154">
        <f t="shared" si="7"/>
        <v>-3.9128987053400075E-3</v>
      </c>
      <c r="AG13" s="154">
        <f t="shared" si="8"/>
        <v>5.5816270833923959E-3</v>
      </c>
      <c r="AH13" s="154">
        <f t="shared" si="9"/>
        <v>-2.9612490879523067E-2</v>
      </c>
      <c r="AI13" s="154">
        <f t="shared" si="10"/>
        <v>-4.3562155852246313E-2</v>
      </c>
      <c r="AJ13" s="154">
        <f t="shared" si="11"/>
        <v>-4.8293916136191717E-3</v>
      </c>
      <c r="AM13" s="126">
        <f t="shared" si="12"/>
        <v>2.2000000000000002</v>
      </c>
      <c r="AN13" s="127">
        <f t="shared" si="13"/>
        <v>7.4317105556902262E+23</v>
      </c>
      <c r="AO13" s="155">
        <f t="shared" si="14"/>
        <v>4.6025555400589077E-3</v>
      </c>
      <c r="AP13" s="155">
        <f t="shared" si="15"/>
        <v>0.66862789700486325</v>
      </c>
      <c r="AQ13" s="155">
        <f t="shared" si="16"/>
        <v>0.25667659891178474</v>
      </c>
      <c r="AR13" s="155">
        <f t="shared" si="17"/>
        <v>4.0889582976394237E-2</v>
      </c>
      <c r="AS13" s="155">
        <f t="shared" si="18"/>
        <v>1.867094390646188E-2</v>
      </c>
      <c r="AT13" s="155">
        <f t="shared" si="19"/>
        <v>1.053242166043679E-2</v>
      </c>
      <c r="AW13" s="126">
        <f t="shared" si="20"/>
        <v>0.91666666666666663</v>
      </c>
      <c r="AX13" s="127">
        <f t="shared" si="21"/>
        <v>7.5088116378600072E+23</v>
      </c>
      <c r="AY13" s="155">
        <f t="shared" si="22"/>
        <v>5.5147056639642126E-3</v>
      </c>
      <c r="AZ13" s="155">
        <f t="shared" si="23"/>
        <v>0.68030975596942023</v>
      </c>
      <c r="BA13" s="155">
        <f t="shared" si="24"/>
        <v>0.24242854989953852</v>
      </c>
      <c r="BB13" s="155">
        <f t="shared" si="25"/>
        <v>4.3843271052178667E-2</v>
      </c>
      <c r="BC13" s="155">
        <f t="shared" si="26"/>
        <v>1.7514395119646496E-2</v>
      </c>
      <c r="BD13" s="155">
        <f t="shared" si="27"/>
        <v>1.0389322295251944E-2</v>
      </c>
    </row>
    <row r="14" spans="1:56">
      <c r="B14" s="126">
        <f t="shared" si="28"/>
        <v>876</v>
      </c>
      <c r="C14" s="126">
        <f t="shared" si="3"/>
        <v>2.4</v>
      </c>
      <c r="D14" s="129">
        <f>courbes!AF14</f>
        <v>1.4788116627587594E+19</v>
      </c>
      <c r="E14" s="129">
        <f>courbes!AG14</f>
        <v>2.0694E+21</v>
      </c>
      <c r="F14" s="129">
        <f>courbes!AH14</f>
        <v>8.0031174913127154E+20</v>
      </c>
      <c r="G14" s="129">
        <f>courbes!AI14</f>
        <v>1.2491015082307328E+20</v>
      </c>
      <c r="H14" s="129">
        <f>courbes!AJ14</f>
        <v>5.777536180346921E+19</v>
      </c>
      <c r="I14" s="129">
        <f>courbes!AK14</f>
        <v>3.2348175345955004E+19</v>
      </c>
      <c r="J14" s="129">
        <f>courbes!AL14</f>
        <v>5.0582665974885515E+19</v>
      </c>
      <c r="K14" s="129">
        <f>courbes!AM14</f>
        <v>1.5571955734360502E+22</v>
      </c>
      <c r="N14" s="128">
        <f>[4]Eq_de_Bateman_avec_RK1!F14</f>
        <v>1</v>
      </c>
      <c r="O14" s="128">
        <f>[4]Eq_de_Bateman_avec_RK1!G14</f>
        <v>31536000</v>
      </c>
      <c r="P14" s="129">
        <f>courbes!B14</f>
        <v>1.7792649223600368E+19</v>
      </c>
      <c r="Q14" s="129">
        <f>courbes!C14</f>
        <v>2.1334511064803437E+21</v>
      </c>
      <c r="R14" s="129">
        <f>courbes!D14</f>
        <v>7.6142034630502777E+20</v>
      </c>
      <c r="S14" s="129">
        <f>courbes!E14</f>
        <v>1.3561328168460904E+20</v>
      </c>
      <c r="T14" s="129">
        <f>courbes!F14</f>
        <v>5.46002636394955E+19</v>
      </c>
      <c r="U14" s="129">
        <f>courbes!G14</f>
        <v>3.2329697421329052E+19</v>
      </c>
      <c r="V14" s="129">
        <f>courbes!H14</f>
        <v>6.8650031976562369E+19</v>
      </c>
      <c r="W14" s="129">
        <f>courbes!I14</f>
        <v>1.6233702022264849E+22</v>
      </c>
      <c r="Z14" s="127"/>
      <c r="AB14" s="126">
        <f t="shared" si="0"/>
        <v>2.4</v>
      </c>
      <c r="AC14" s="154">
        <f t="shared" si="4"/>
        <v>0.51534942517670201</v>
      </c>
      <c r="AD14" s="154">
        <f t="shared" si="5"/>
        <v>-1.1097987303650156E-3</v>
      </c>
      <c r="AE14" s="154">
        <f t="shared" si="6"/>
        <v>3.6271158079524868E-3</v>
      </c>
      <c r="AF14" s="154">
        <f t="shared" si="7"/>
        <v>-2.132934296915519E-3</v>
      </c>
      <c r="AG14" s="154">
        <f t="shared" si="8"/>
        <v>4.3789296025542757E-3</v>
      </c>
      <c r="AH14" s="154">
        <f t="shared" si="9"/>
        <v>-2.9982398208684011E-2</v>
      </c>
      <c r="AI14" s="154">
        <f t="shared" si="10"/>
        <v>-3.8689424804763381E-2</v>
      </c>
      <c r="AJ14" s="154">
        <f t="shared" si="11"/>
        <v>-4.0872158451737382E-3</v>
      </c>
      <c r="AM14" s="126">
        <f t="shared" si="12"/>
        <v>2.4</v>
      </c>
      <c r="AN14" s="127">
        <f t="shared" si="13"/>
        <v>7.4206188571204637E+23</v>
      </c>
      <c r="AO14" s="155">
        <f t="shared" si="14"/>
        <v>4.7429625818723167E-3</v>
      </c>
      <c r="AP14" s="155">
        <f t="shared" si="15"/>
        <v>0.66650317112759239</v>
      </c>
      <c r="AQ14" s="155">
        <f t="shared" si="16"/>
        <v>0.25883935489719911</v>
      </c>
      <c r="AR14" s="155">
        <f t="shared" si="17"/>
        <v>4.056716417859807E-2</v>
      </c>
      <c r="AS14" s="155">
        <f t="shared" si="18"/>
        <v>1.8841605835911449E-2</v>
      </c>
      <c r="AT14" s="155">
        <f t="shared" si="19"/>
        <v>1.050574137882662E-2</v>
      </c>
      <c r="AW14" s="126">
        <f t="shared" si="20"/>
        <v>1</v>
      </c>
      <c r="AX14" s="127">
        <f t="shared" si="21"/>
        <v>7.5055786984251469E+23</v>
      </c>
      <c r="AY14" s="155">
        <f t="shared" si="22"/>
        <v>5.642004015100688E-3</v>
      </c>
      <c r="AZ14" s="155">
        <f t="shared" si="23"/>
        <v>0.67935443079930735</v>
      </c>
      <c r="BA14" s="155">
        <f t="shared" si="24"/>
        <v>0.24347340885460322</v>
      </c>
      <c r="BB14" s="155">
        <f t="shared" si="25"/>
        <v>4.3544678164321192E-2</v>
      </c>
      <c r="BC14" s="155">
        <f t="shared" si="26"/>
        <v>1.7604590307647265E-2</v>
      </c>
      <c r="BD14" s="155">
        <f t="shared" si="27"/>
        <v>1.0380887859020303E-2</v>
      </c>
    </row>
    <row r="15" spans="1:56">
      <c r="B15" s="126">
        <f t="shared" si="28"/>
        <v>949</v>
      </c>
      <c r="C15" s="126">
        <f t="shared" si="3"/>
        <v>2.6</v>
      </c>
      <c r="D15" s="129">
        <f>courbes!AF15</f>
        <v>1.5205446287520872E+19</v>
      </c>
      <c r="E15" s="129">
        <f>courbes!AG15</f>
        <v>2.0595000000000001E+21</v>
      </c>
      <c r="F15" s="129">
        <f>courbes!AH15</f>
        <v>8.0565256161375814E+20</v>
      </c>
      <c r="G15" s="129">
        <f>courbes!AI15</f>
        <v>1.2386931629974985E+20</v>
      </c>
      <c r="H15" s="129">
        <f>courbes!AJ15</f>
        <v>5.8197145277337346E+19</v>
      </c>
      <c r="I15" s="129">
        <f>courbes!AK15</f>
        <v>3.2207578794560786E+19</v>
      </c>
      <c r="J15" s="129">
        <f>courbes!AL15</f>
        <v>4.8194617387654627E+19</v>
      </c>
      <c r="K15" s="129">
        <f>courbes!AM15</f>
        <v>1.547004110587768E+22</v>
      </c>
      <c r="N15" s="128">
        <f>[4]Eq_de_Bateman_avec_RK1!F15</f>
        <v>1.0833333333333333</v>
      </c>
      <c r="O15" s="128">
        <f>[4]Eq_de_Bateman_avec_RK1!G15</f>
        <v>34164000</v>
      </c>
      <c r="P15" s="129">
        <f>courbes!B15</f>
        <v>1.817257112059264E+19</v>
      </c>
      <c r="Q15" s="129">
        <f>courbes!C15</f>
        <v>2.1295000235458243E+21</v>
      </c>
      <c r="R15" s="129">
        <f>courbes!D15</f>
        <v>7.6432173866513754E+20</v>
      </c>
      <c r="S15" s="129">
        <f>courbes!E15</f>
        <v>1.3466669364237418E+20</v>
      </c>
      <c r="T15" s="129">
        <f>courbes!F15</f>
        <v>5.4850736541545923E+19</v>
      </c>
      <c r="U15" s="129">
        <f>courbes!G15</f>
        <v>3.2286239920790135E+19</v>
      </c>
      <c r="V15" s="129">
        <f>courbes!H15</f>
        <v>6.7185320103559004E+19</v>
      </c>
      <c r="W15" s="129">
        <f>courbes!I15</f>
        <v>1.6187387051153144E+22</v>
      </c>
      <c r="AB15" s="126">
        <f t="shared" si="0"/>
        <v>2.6</v>
      </c>
      <c r="AC15" s="154">
        <f t="shared" si="4"/>
        <v>0.51117622112090899</v>
      </c>
      <c r="AD15" s="154">
        <f t="shared" si="5"/>
        <v>-2.6479555405038908E-3</v>
      </c>
      <c r="AE15" s="154">
        <f t="shared" si="6"/>
        <v>5.3789429193336407E-3</v>
      </c>
      <c r="AF15" s="154">
        <f t="shared" si="7"/>
        <v>-3.8800614547945637E-3</v>
      </c>
      <c r="AG15" s="154">
        <f t="shared" si="8"/>
        <v>6.2346178271826501E-3</v>
      </c>
      <c r="AH15" s="154">
        <f t="shared" si="9"/>
        <v>-3.2340727310973753E-2</v>
      </c>
      <c r="AI15" s="154">
        <f t="shared" si="10"/>
        <v>-5.418328927781968E-2</v>
      </c>
      <c r="AJ15" s="154">
        <f t="shared" si="11"/>
        <v>-6.0820282176906959E-3</v>
      </c>
      <c r="AM15" s="126">
        <f t="shared" si="12"/>
        <v>2.6</v>
      </c>
      <c r="AN15" s="127">
        <f t="shared" si="13"/>
        <v>7.4089425187857642E+23</v>
      </c>
      <c r="AO15" s="155">
        <f t="shared" si="14"/>
        <v>4.8844976287156575E-3</v>
      </c>
      <c r="AP15" s="155">
        <f t="shared" si="15"/>
        <v>0.66435999301107951</v>
      </c>
      <c r="AQ15" s="155">
        <f t="shared" si="16"/>
        <v>0.26097734500846254</v>
      </c>
      <c r="AR15" s="155">
        <f t="shared" si="17"/>
        <v>4.0292531832372989E-2</v>
      </c>
      <c r="AS15" s="155">
        <f t="shared" si="18"/>
        <v>1.9009067922184108E-2</v>
      </c>
      <c r="AT15" s="155">
        <f t="shared" si="19"/>
        <v>1.0476564597185255E-2</v>
      </c>
      <c r="AW15" s="126">
        <f t="shared" si="20"/>
        <v>1.0833333333333333</v>
      </c>
      <c r="AX15" s="127">
        <f t="shared" si="21"/>
        <v>7.5022233006556265E+23</v>
      </c>
      <c r="AY15" s="155">
        <f t="shared" si="22"/>
        <v>5.7650535759487141E-3</v>
      </c>
      <c r="AZ15" s="155">
        <f t="shared" si="23"/>
        <v>0.67839956934229662</v>
      </c>
      <c r="BA15" s="155">
        <f t="shared" si="24"/>
        <v>0.2445104736666559</v>
      </c>
      <c r="BB15" s="155">
        <f t="shared" si="25"/>
        <v>4.3260073537101908E-2</v>
      </c>
      <c r="BC15" s="155">
        <f t="shared" si="26"/>
        <v>1.7693259332728868E-2</v>
      </c>
      <c r="BD15" s="155">
        <f t="shared" si="27"/>
        <v>1.037157054526814E-2</v>
      </c>
    </row>
    <row r="16" spans="1:56">
      <c r="B16" s="126">
        <f t="shared" si="28"/>
        <v>1022</v>
      </c>
      <c r="C16" s="126">
        <f t="shared" si="3"/>
        <v>2.8</v>
      </c>
      <c r="D16" s="129">
        <f>courbes!AF16</f>
        <v>1.5621772751156232E+19</v>
      </c>
      <c r="E16" s="129">
        <f>courbes!AG16</f>
        <v>2.0495000000000001E+21</v>
      </c>
      <c r="F16" s="129">
        <f>courbes!AH16</f>
        <v>8.1083334975220023E+20</v>
      </c>
      <c r="G16" s="129">
        <f>courbes!AI16</f>
        <v>1.2293857004331642E+20</v>
      </c>
      <c r="H16" s="129">
        <f>courbes!AJ16</f>
        <v>5.8604969014481699E+19</v>
      </c>
      <c r="I16" s="129">
        <f>courbes!AK16</f>
        <v>3.2057010856542876E+19</v>
      </c>
      <c r="J16" s="129">
        <f>courbes!AL16</f>
        <v>4.5909484701881811E+19</v>
      </c>
      <c r="K16" s="129">
        <f>courbes!AM16</f>
        <v>1.5369125640419198E+22</v>
      </c>
      <c r="N16" s="128">
        <f>[4]Eq_de_Bateman_avec_RK1!F16</f>
        <v>1.1666666666666667</v>
      </c>
      <c r="O16" s="128">
        <f>[4]Eq_de_Bateman_avec_RK1!G16</f>
        <v>36792000</v>
      </c>
      <c r="P16" s="129">
        <f>courbes!B16</f>
        <v>1.8538806056405967E+19</v>
      </c>
      <c r="Q16" s="129">
        <f>courbes!C16</f>
        <v>2.1255190952143581E+21</v>
      </c>
      <c r="R16" s="129">
        <f>courbes!D16</f>
        <v>7.6718366088659101E+20</v>
      </c>
      <c r="S16" s="129">
        <f>courbes!E16</f>
        <v>1.3376081312577246E+20</v>
      </c>
      <c r="T16" s="129">
        <f>courbes!F16</f>
        <v>5.5095547147783324E+19</v>
      </c>
      <c r="U16" s="129">
        <f>courbes!G16</f>
        <v>3.2239758984000618E+19</v>
      </c>
      <c r="V16" s="129">
        <f>courbes!H16</f>
        <v>6.5751958799895765E+19</v>
      </c>
      <c r="W16" s="129">
        <f>courbes!I16</f>
        <v>1.6141204217342097E+22</v>
      </c>
      <c r="AB16" s="126">
        <f t="shared" si="0"/>
        <v>2.8</v>
      </c>
      <c r="AC16" s="154">
        <f t="shared" si="4"/>
        <v>0.49245006827929227</v>
      </c>
      <c r="AD16" s="154">
        <f t="shared" si="5"/>
        <v>-2.0701167026061524E-3</v>
      </c>
      <c r="AE16" s="154">
        <f t="shared" si="6"/>
        <v>4.3012261491449351E-3</v>
      </c>
      <c r="AF16" s="154">
        <f t="shared" si="7"/>
        <v>-2.2702352517820577E-3</v>
      </c>
      <c r="AG16" s="154">
        <f t="shared" si="8"/>
        <v>5.0249123896921755E-3</v>
      </c>
      <c r="AH16" s="154">
        <f t="shared" si="9"/>
        <v>-3.2263125138294102E-2</v>
      </c>
      <c r="AI16" s="154">
        <f t="shared" si="10"/>
        <v>-4.8954997800590302E-2</v>
      </c>
      <c r="AJ16" s="154">
        <f t="shared" si="11"/>
        <v>-5.2562651988079983E-3</v>
      </c>
      <c r="AK16" s="127"/>
      <c r="AM16" s="126">
        <f t="shared" si="12"/>
        <v>2.8</v>
      </c>
      <c r="AN16" s="127">
        <f t="shared" si="13"/>
        <v>7.3968482335367389E+23</v>
      </c>
      <c r="AO16" s="155">
        <f t="shared" si="14"/>
        <v>5.0264407182482674E-3</v>
      </c>
      <c r="AP16" s="155">
        <f t="shared" si="15"/>
        <v>0.66221515506989359</v>
      </c>
      <c r="AQ16" s="155">
        <f t="shared" si="16"/>
        <v>0.2630850299972719</v>
      </c>
      <c r="AR16" s="155">
        <f t="shared" si="17"/>
        <v>4.0055161935197356E-2</v>
      </c>
      <c r="AS16" s="155">
        <f t="shared" si="18"/>
        <v>1.9173575087295495E-2</v>
      </c>
      <c r="AT16" s="155">
        <f t="shared" si="19"/>
        <v>1.0444637192093419E-2</v>
      </c>
      <c r="AW16" s="126">
        <f t="shared" si="20"/>
        <v>1.1666666666666667</v>
      </c>
      <c r="AX16" s="127">
        <f t="shared" si="21"/>
        <v>7.4987463849865704E+23</v>
      </c>
      <c r="AY16" s="155">
        <f t="shared" si="22"/>
        <v>5.8839646187507678E-3</v>
      </c>
      <c r="AZ16" s="155">
        <f t="shared" si="23"/>
        <v>0.67744531909134753</v>
      </c>
      <c r="BA16" s="155">
        <f t="shared" si="24"/>
        <v>0.24553981313652815</v>
      </c>
      <c r="BB16" s="155">
        <f t="shared" si="25"/>
        <v>4.2988993504104074E-2</v>
      </c>
      <c r="BC16" s="155">
        <f t="shared" si="26"/>
        <v>1.7780468527990419E-2</v>
      </c>
      <c r="BD16" s="155">
        <f t="shared" si="27"/>
        <v>1.0361441121278918E-2</v>
      </c>
    </row>
    <row r="17" spans="2:56">
      <c r="B17" s="126">
        <f t="shared" si="28"/>
        <v>1095</v>
      </c>
      <c r="C17" s="126">
        <f t="shared" si="3"/>
        <v>3</v>
      </c>
      <c r="D17" s="129">
        <f>courbes!AF17</f>
        <v>1.6036092822195759E+19</v>
      </c>
      <c r="E17" s="129">
        <f>courbes!AG17</f>
        <v>2.0394E+21</v>
      </c>
      <c r="F17" s="129">
        <f>courbes!AH17</f>
        <v>8.1584411202509511E+20</v>
      </c>
      <c r="G17" s="129">
        <f>courbes!AI17</f>
        <v>1.2211791205377294E+20</v>
      </c>
      <c r="H17" s="129">
        <f>courbes!AJ17</f>
        <v>5.8998833014902301E+19</v>
      </c>
      <c r="I17" s="129">
        <f>courbes!AK17</f>
        <v>3.1897468670563627E+19</v>
      </c>
      <c r="J17" s="129">
        <f>courbes!AL17</f>
        <v>4.3724270367039152E+19</v>
      </c>
      <c r="K17" s="129">
        <f>courbes!AM17</f>
        <v>1.5269209337985061E+22</v>
      </c>
      <c r="N17" s="128">
        <f>[4]Eq_de_Bateman_avec_RK1!F17</f>
        <v>1.25</v>
      </c>
      <c r="O17" s="128">
        <f>[4]Eq_de_Bateman_avec_RK1!G17</f>
        <v>39420000</v>
      </c>
      <c r="P17" s="129">
        <f>courbes!B17</f>
        <v>1.8891696244345467E+19</v>
      </c>
      <c r="Q17" s="129">
        <f>courbes!C17</f>
        <v>2.1215091786860022E+21</v>
      </c>
      <c r="R17" s="129">
        <f>courbes!D17</f>
        <v>7.7000630028636298E+20</v>
      </c>
      <c r="S17" s="129">
        <f>courbes!E17</f>
        <v>1.3289424356922099E+20</v>
      </c>
      <c r="T17" s="129">
        <f>courbes!F17</f>
        <v>5.5334893993360032E+19</v>
      </c>
      <c r="U17" s="129">
        <f>courbes!G17</f>
        <v>3.219047395763619E+19</v>
      </c>
      <c r="V17" s="129">
        <f>courbes!H17</f>
        <v>6.4349276766520877E+19</v>
      </c>
      <c r="W17" s="129">
        <f>courbes!I17</f>
        <v>1.6095153143841265E+22</v>
      </c>
      <c r="AB17" s="126">
        <f t="shared" si="0"/>
        <v>3</v>
      </c>
      <c r="AC17" s="154">
        <f t="shared" si="4"/>
        <v>0.48167566874468876</v>
      </c>
      <c r="AD17" s="154">
        <f t="shared" si="5"/>
        <v>-3.6489572625295467E-3</v>
      </c>
      <c r="AE17" s="154">
        <f t="shared" si="6"/>
        <v>5.7780207105579658E-3</v>
      </c>
      <c r="AF17" s="154">
        <f t="shared" si="7"/>
        <v>-3.3301404413973745E-3</v>
      </c>
      <c r="AG17" s="154">
        <f t="shared" si="8"/>
        <v>6.6017547088534851E-3</v>
      </c>
      <c r="AH17" s="154">
        <f t="shared" si="9"/>
        <v>-3.4179498383479667E-2</v>
      </c>
      <c r="AI17" s="154">
        <f t="shared" si="10"/>
        <v>-6.3872338178506169E-2</v>
      </c>
      <c r="AJ17" s="154">
        <f t="shared" si="11"/>
        <v>-7.2923524524613932E-3</v>
      </c>
      <c r="AK17" s="127"/>
      <c r="AM17" s="126">
        <f t="shared" si="12"/>
        <v>3</v>
      </c>
      <c r="AN17" s="127">
        <f t="shared" si="13"/>
        <v>7.3843120132187702E+23</v>
      </c>
      <c r="AO17" s="155">
        <f t="shared" si="14"/>
        <v>5.1685114129122033E-3</v>
      </c>
      <c r="AP17" s="155">
        <f t="shared" si="15"/>
        <v>0.66007042921191317</v>
      </c>
      <c r="AQ17" s="155">
        <f t="shared" si="16"/>
        <v>0.26516022959960739</v>
      </c>
      <c r="AR17" s="155">
        <f t="shared" si="17"/>
        <v>3.9855326741713291E-2</v>
      </c>
      <c r="AS17" s="155">
        <f t="shared" si="18"/>
        <v>1.9335203555927209E-2</v>
      </c>
      <c r="AT17" s="155">
        <f t="shared" si="19"/>
        <v>1.0410299477926582E-2</v>
      </c>
      <c r="AW17" s="126">
        <f t="shared" si="20"/>
        <v>1.25</v>
      </c>
      <c r="AX17" s="127">
        <f t="shared" si="21"/>
        <v>7.4951489075120154E+23</v>
      </c>
      <c r="AY17" s="155">
        <f t="shared" si="22"/>
        <v>5.9988450685054158E-3</v>
      </c>
      <c r="AZ17" s="155">
        <f t="shared" si="23"/>
        <v>0.67649182152708509</v>
      </c>
      <c r="BA17" s="155">
        <f t="shared" si="24"/>
        <v>0.2465614951072016</v>
      </c>
      <c r="BB17" s="155">
        <f t="shared" si="25"/>
        <v>4.2730989197669808E-2</v>
      </c>
      <c r="BC17" s="155">
        <f t="shared" si="26"/>
        <v>1.7866281926663188E-2</v>
      </c>
      <c r="BD17" s="155">
        <f t="shared" si="27"/>
        <v>1.0350567172874924E-2</v>
      </c>
    </row>
    <row r="18" spans="2:56">
      <c r="B18" s="126">
        <f t="shared" si="28"/>
        <v>1168</v>
      </c>
      <c r="C18" s="126">
        <f t="shared" si="3"/>
        <v>3.2</v>
      </c>
      <c r="D18" s="129">
        <f>courbes!AF18</f>
        <v>1.6447403304341539E+19</v>
      </c>
      <c r="E18" s="129">
        <f>courbes!AG18</f>
        <v>2.0290999999999999E+21</v>
      </c>
      <c r="F18" s="129">
        <f>courbes!AH18</f>
        <v>8.2069484995394522E+20</v>
      </c>
      <c r="G18" s="129">
        <f>courbes!AI18</f>
        <v>1.2139733430685673E+20</v>
      </c>
      <c r="H18" s="129">
        <f>courbes!AJ18</f>
        <v>5.9380731526702531E+19</v>
      </c>
      <c r="I18" s="129">
        <f>courbes!AK18</f>
        <v>3.173194365261015E+19</v>
      </c>
      <c r="J18" s="129">
        <f>courbes!AL18</f>
        <v>4.1634977649089454E+19</v>
      </c>
      <c r="K18" s="129">
        <f>courbes!AM18</f>
        <v>1.5168293872526581E+22</v>
      </c>
      <c r="N18" s="128">
        <f>[4]Eq_de_Bateman_avec_RK1!F18</f>
        <v>1.3333333333333333</v>
      </c>
      <c r="O18" s="128">
        <f>[4]Eq_de_Bateman_avec_RK1!G18</f>
        <v>42048000</v>
      </c>
      <c r="P18" s="129">
        <f>courbes!B18</f>
        <v>1.9231577439790854E+19</v>
      </c>
      <c r="Q18" s="129">
        <f>courbes!C18</f>
        <v>2.1174711145209861E+21</v>
      </c>
      <c r="R18" s="129">
        <f>courbes!D18</f>
        <v>7.7278984628521966E+20</v>
      </c>
      <c r="S18" s="129">
        <f>courbes!E18</f>
        <v>1.3206563147686745E+20</v>
      </c>
      <c r="T18" s="129">
        <f>courbes!F18</f>
        <v>5.5568969014815105E+19</v>
      </c>
      <c r="U18" s="129">
        <f>courbes!G18</f>
        <v>3.2138594552135512E+19</v>
      </c>
      <c r="V18" s="129">
        <f>courbes!H18</f>
        <v>6.2976617079202865E+19</v>
      </c>
      <c r="W18" s="129">
        <f>courbes!I18</f>
        <v>1.6049233454735791E+22</v>
      </c>
      <c r="AB18" s="126">
        <f t="shared" si="0"/>
        <v>3.2</v>
      </c>
      <c r="AC18" s="154">
        <f t="shared" si="4"/>
        <v>0.46043554873167858</v>
      </c>
      <c r="AD18" s="154">
        <f t="shared" si="5"/>
        <v>-2.9953268722663082E-3</v>
      </c>
      <c r="AE18" s="154">
        <f t="shared" si="6"/>
        <v>4.6876561317162474E-3</v>
      </c>
      <c r="AF18" s="154">
        <f t="shared" si="7"/>
        <v>-1.8909986204717344E-3</v>
      </c>
      <c r="AG18" s="154">
        <f t="shared" si="8"/>
        <v>5.4069770072996837E-3</v>
      </c>
      <c r="AH18" s="154">
        <f t="shared" si="9"/>
        <v>-3.3655918314916045E-2</v>
      </c>
      <c r="AI18" s="154">
        <f t="shared" si="10"/>
        <v>-5.8311834091023099E-2</v>
      </c>
      <c r="AJ18" s="154">
        <f t="shared" si="11"/>
        <v>-6.3817837571619991E-3</v>
      </c>
      <c r="AM18" s="126">
        <f t="shared" si="12"/>
        <v>3.2</v>
      </c>
      <c r="AN18" s="127">
        <f t="shared" si="13"/>
        <v>7.3711043899307369E+23</v>
      </c>
      <c r="AO18" s="155">
        <f t="shared" si="14"/>
        <v>5.3105773292000131E-3</v>
      </c>
      <c r="AP18" s="155">
        <f t="shared" si="15"/>
        <v>0.65791348805542671</v>
      </c>
      <c r="AQ18" s="155">
        <f t="shared" si="16"/>
        <v>0.26721472600226964</v>
      </c>
      <c r="AR18" s="155">
        <f t="shared" si="17"/>
        <v>3.9691145343048635E-2</v>
      </c>
      <c r="AS18" s="155">
        <f t="shared" si="18"/>
        <v>1.9495229302534733E-2</v>
      </c>
      <c r="AT18" s="155">
        <f t="shared" si="19"/>
        <v>1.0374833967520172E-2</v>
      </c>
      <c r="AW18" s="126">
        <f t="shared" si="20"/>
        <v>1.3333333333333333</v>
      </c>
      <c r="AX18" s="127">
        <f t="shared" si="21"/>
        <v>7.4914318388421356E+23</v>
      </c>
      <c r="AY18" s="155">
        <f t="shared" si="22"/>
        <v>6.109800541651402E-3</v>
      </c>
      <c r="AZ18" s="155">
        <f t="shared" si="23"/>
        <v>0.6755392123393249</v>
      </c>
      <c r="BA18" s="155">
        <f t="shared" si="24"/>
        <v>0.24757558648110001</v>
      </c>
      <c r="BB18" s="155">
        <f t="shared" si="25"/>
        <v>4.248562607337867E-2</v>
      </c>
      <c r="BC18" s="155">
        <f t="shared" si="26"/>
        <v>1.7950761337586583E-2</v>
      </c>
      <c r="BD18" s="155">
        <f t="shared" si="27"/>
        <v>1.033901322695846E-2</v>
      </c>
    </row>
    <row r="19" spans="2:56">
      <c r="B19" s="126">
        <f t="shared" si="28"/>
        <v>1241</v>
      </c>
      <c r="C19" s="126">
        <f t="shared" si="3"/>
        <v>3.4</v>
      </c>
      <c r="D19" s="129">
        <f>courbes!AF19</f>
        <v>1.6853697804997732E+19</v>
      </c>
      <c r="E19" s="129">
        <f>courbes!AG19</f>
        <v>2.0188E+21</v>
      </c>
      <c r="F19" s="129">
        <f>courbes!AH19</f>
        <v>8.2538556353875083E+20</v>
      </c>
      <c r="G19" s="129">
        <f>courbes!AI19</f>
        <v>1.2077683680256777E+20</v>
      </c>
      <c r="H19" s="129">
        <f>courbes!AJ19</f>
        <v>5.9751661673934078E+19</v>
      </c>
      <c r="I19" s="129">
        <f>courbes!AK19</f>
        <v>3.1561432941344834E+19</v>
      </c>
      <c r="J19" s="129">
        <f>courbes!AL19</f>
        <v>3.9636610630486204E+19</v>
      </c>
      <c r="K19" s="129">
        <f>courbes!AM19</f>
        <v>1.50673784070681E+22</v>
      </c>
      <c r="N19" s="128">
        <f>[4]Eq_de_Bateman_avec_RK1!F19</f>
        <v>1.4166666666666667</v>
      </c>
      <c r="O19" s="128">
        <f>[4]Eq_de_Bateman_avec_RK1!G19</f>
        <v>44676000</v>
      </c>
      <c r="P19" s="129">
        <f>courbes!B19</f>
        <v>1.9558779010111738E+19</v>
      </c>
      <c r="Q19" s="129">
        <f>courbes!C19</f>
        <v>2.1134057269485673E+21</v>
      </c>
      <c r="R19" s="129">
        <f>courbes!D19</f>
        <v>7.75534490321487E+20</v>
      </c>
      <c r="S19" s="129">
        <f>courbes!E19</f>
        <v>1.3127366512703803E+20</v>
      </c>
      <c r="T19" s="129">
        <f>courbes!F19</f>
        <v>5.5797957750807183E+19</v>
      </c>
      <c r="U19" s="129">
        <f>courbes!G19</f>
        <v>3.2084321191310774E+19</v>
      </c>
      <c r="V19" s="129">
        <f>courbes!H19</f>
        <v>6.1633336880720347E+19</v>
      </c>
      <c r="W19" s="129">
        <f>courbes!I19</f>
        <v>1.6003444775183343E+22</v>
      </c>
      <c r="AB19" s="126">
        <f t="shared" si="0"/>
        <v>3.4</v>
      </c>
      <c r="AC19" s="154">
        <f t="shared" si="4"/>
        <v>0.439022992622007</v>
      </c>
      <c r="AD19" s="154">
        <f t="shared" si="5"/>
        <v>-2.3603257344151926E-3</v>
      </c>
      <c r="AE19" s="154">
        <f t="shared" si="6"/>
        <v>3.6383061553500267E-3</v>
      </c>
      <c r="AF19" s="154">
        <f t="shared" si="7"/>
        <v>-7.2724476582263756E-4</v>
      </c>
      <c r="AG19" s="154">
        <f t="shared" si="8"/>
        <v>4.2589017649392437E-3</v>
      </c>
      <c r="AH19" s="154">
        <f t="shared" si="9"/>
        <v>-3.2943264870461265E-2</v>
      </c>
      <c r="AI19" s="154">
        <f t="shared" si="10"/>
        <v>-5.2496258148771915E-2</v>
      </c>
      <c r="AJ19" s="154">
        <f t="shared" si="11"/>
        <v>-5.4263568936164684E-3</v>
      </c>
      <c r="AM19" s="126">
        <f t="shared" si="12"/>
        <v>3.4</v>
      </c>
      <c r="AN19" s="127">
        <f t="shared" si="13"/>
        <v>7.3577034046026454E+23</v>
      </c>
      <c r="AO19" s="155">
        <f t="shared" si="14"/>
        <v>5.4516740578048417E-3</v>
      </c>
      <c r="AP19" s="155">
        <f t="shared" si="15"/>
        <v>0.65576603658442412</v>
      </c>
      <c r="AQ19" s="155">
        <f t="shared" si="16"/>
        <v>0.26923147666618702</v>
      </c>
      <c r="AR19" s="155">
        <f t="shared" si="17"/>
        <v>3.9560194355225946E-2</v>
      </c>
      <c r="AS19" s="155">
        <f t="shared" si="18"/>
        <v>1.9652738538015257E-2</v>
      </c>
      <c r="AT19" s="155">
        <f t="shared" si="19"/>
        <v>1.033787979834298E-2</v>
      </c>
      <c r="AW19" s="126">
        <f t="shared" si="20"/>
        <v>1.4166666666666667</v>
      </c>
      <c r="AX19" s="127">
        <f t="shared" si="21"/>
        <v>7.4875961630068847E+23</v>
      </c>
      <c r="AY19" s="155">
        <f t="shared" si="22"/>
        <v>6.2169343846359805E-3</v>
      </c>
      <c r="AZ19" s="155">
        <f t="shared" si="23"/>
        <v>0.6745876216404636</v>
      </c>
      <c r="BA19" s="155">
        <f t="shared" si="24"/>
        <v>0.24858215323729624</v>
      </c>
      <c r="BB19" s="155">
        <f t="shared" si="25"/>
        <v>4.2252483449790289E-2</v>
      </c>
      <c r="BC19" s="155">
        <f t="shared" si="26"/>
        <v>1.8033966418232593E-2</v>
      </c>
      <c r="BD19" s="155">
        <f t="shared" si="27"/>
        <v>1.0326840869581213E-2</v>
      </c>
    </row>
    <row r="20" spans="2:56">
      <c r="B20" s="126">
        <f t="shared" si="28"/>
        <v>1314</v>
      </c>
      <c r="C20" s="126">
        <f t="shared" si="3"/>
        <v>3.6</v>
      </c>
      <c r="D20" s="129">
        <f>courbes!AF20</f>
        <v>1.7253973127866427E+19</v>
      </c>
      <c r="E20" s="129">
        <f>courbes!AG20</f>
        <v>2.0083000000000004E+21</v>
      </c>
      <c r="F20" s="129">
        <f>courbes!AH20</f>
        <v>8.2990625125800949E+20</v>
      </c>
      <c r="G20" s="129">
        <f>courbes!AI20</f>
        <v>1.2024641151664334E+20</v>
      </c>
      <c r="H20" s="129">
        <f>courbes!AJ20</f>
        <v>6.0111623456596967E+19</v>
      </c>
      <c r="I20" s="129">
        <f>courbes!AK20</f>
        <v>3.1385936536767664E+19</v>
      </c>
      <c r="J20" s="129">
        <f>courbes!AL20</f>
        <v>3.7726171760701489E+19</v>
      </c>
      <c r="K20" s="129">
        <f>courbes!AM20</f>
        <v>1.4967462104633962E+22</v>
      </c>
      <c r="N20" s="128">
        <f>[4]Eq_de_Bateman_avec_RK1!F20</f>
        <v>1.5</v>
      </c>
      <c r="O20" s="128">
        <f>[4]Eq_de_Bateman_avec_RK1!G20</f>
        <v>47304000</v>
      </c>
      <c r="P20" s="129">
        <f>courbes!B20</f>
        <v>1.9873624005786468E+19</v>
      </c>
      <c r="Q20" s="129">
        <f>courbes!C20</f>
        <v>2.1093138241699654E+21</v>
      </c>
      <c r="R20" s="129">
        <f>courbes!D20</f>
        <v>7.7824042576679233E+20</v>
      </c>
      <c r="S20" s="129">
        <f>courbes!E20</f>
        <v>1.3051707331556083E+20</v>
      </c>
      <c r="T20" s="129">
        <f>courbes!F20</f>
        <v>5.6022039536918823E+19</v>
      </c>
      <c r="U20" s="129">
        <f>courbes!G20</f>
        <v>3.2027845350350897E+19</v>
      </c>
      <c r="V20" s="129">
        <f>courbes!H20</f>
        <v>6.0318807079642907E+19</v>
      </c>
      <c r="W20" s="129">
        <f>courbes!I20</f>
        <v>1.5957786731411046E+22</v>
      </c>
      <c r="AB20" s="126">
        <f t="shared" si="0"/>
        <v>3.6</v>
      </c>
      <c r="AC20" s="154">
        <f t="shared" si="4"/>
        <v>0.42305429616336659</v>
      </c>
      <c r="AD20" s="154">
        <f t="shared" si="5"/>
        <v>-3.9001176847272344E-3</v>
      </c>
      <c r="AE20" s="154">
        <f t="shared" si="6"/>
        <v>4.8180513321232788E-3</v>
      </c>
      <c r="AF20" s="154">
        <f t="shared" si="7"/>
        <v>-1.3726361237096061E-3</v>
      </c>
      <c r="AG20" s="154">
        <f t="shared" si="8"/>
        <v>5.5777286751652246E-3</v>
      </c>
      <c r="AH20" s="154">
        <f t="shared" si="9"/>
        <v>-3.4245214532454007E-2</v>
      </c>
      <c r="AI20" s="154">
        <f t="shared" si="10"/>
        <v>-6.6722237737915288E-2</v>
      </c>
      <c r="AJ20" s="154">
        <f t="shared" si="11"/>
        <v>-7.332010266533965E-3</v>
      </c>
      <c r="AM20" s="126">
        <f t="shared" si="12"/>
        <v>3.6</v>
      </c>
      <c r="AN20" s="127">
        <f t="shared" si="13"/>
        <v>7.343580546637232E+23</v>
      </c>
      <c r="AO20" s="155">
        <f t="shared" si="14"/>
        <v>5.5918847466208165E-3</v>
      </c>
      <c r="AP20" s="155">
        <f t="shared" si="15"/>
        <v>0.65360990725402202</v>
      </c>
      <c r="AQ20" s="155">
        <f t="shared" si="16"/>
        <v>0.27122668436329672</v>
      </c>
      <c r="AR20" s="155">
        <f t="shared" si="17"/>
        <v>3.9462201022335441E-2</v>
      </c>
      <c r="AS20" s="155">
        <f t="shared" si="18"/>
        <v>1.9809155471383542E-2</v>
      </c>
      <c r="AT20" s="155">
        <f t="shared" si="19"/>
        <v>1.0300167142341367E-2</v>
      </c>
      <c r="AW20" s="126">
        <f t="shared" si="20"/>
        <v>1.5</v>
      </c>
      <c r="AX20" s="127">
        <f t="shared" si="21"/>
        <v>7.4836428764044821E+23</v>
      </c>
      <c r="AY20" s="155">
        <f t="shared" si="22"/>
        <v>6.3203477123292022E-3</v>
      </c>
      <c r="AZ20" s="155">
        <f t="shared" si="23"/>
        <v>0.67363717417102242</v>
      </c>
      <c r="BA20" s="155">
        <f t="shared" si="24"/>
        <v>0.24958126044861131</v>
      </c>
      <c r="BB20" s="155">
        <f t="shared" si="25"/>
        <v>4.2031154062982946E-2</v>
      </c>
      <c r="BC20" s="155">
        <f t="shared" si="26"/>
        <v>1.8115954745355219E-2</v>
      </c>
      <c r="BD20" s="155">
        <f t="shared" si="27"/>
        <v>1.0314108859698851E-2</v>
      </c>
    </row>
    <row r="21" spans="2:56">
      <c r="B21" s="126">
        <f t="shared" si="28"/>
        <v>1387</v>
      </c>
      <c r="C21" s="126">
        <f t="shared" si="3"/>
        <v>3.8</v>
      </c>
      <c r="D21" s="129">
        <f>courbes!AF21</f>
        <v>1.7648229272947626E+19</v>
      </c>
      <c r="E21" s="129">
        <f>courbes!AG21</f>
        <v>1.9976999999999999E+21</v>
      </c>
      <c r="F21" s="129">
        <f>courbes!AH21</f>
        <v>8.3426691463322324E+20</v>
      </c>
      <c r="G21" s="129">
        <f>courbes!AI21</f>
        <v>1.1978604240055797E+20</v>
      </c>
      <c r="H21" s="129">
        <f>courbes!AJ21</f>
        <v>6.0462611122794562E+19</v>
      </c>
      <c r="I21" s="129">
        <f>courbes!AK21</f>
        <v>3.1207448716203377E+19</v>
      </c>
      <c r="J21" s="129">
        <f>courbes!AL21</f>
        <v>3.5901662672716722E+19</v>
      </c>
      <c r="K21" s="129">
        <f>courbes!AM21</f>
        <v>1.4867545802199823E+22</v>
      </c>
      <c r="N21" s="128">
        <f>[4]Eq_de_Bateman_avec_RK1!F21</f>
        <v>1.5833333333333333</v>
      </c>
      <c r="O21" s="128">
        <f>[4]Eq_de_Bateman_avec_RK1!G21</f>
        <v>49932000</v>
      </c>
      <c r="P21" s="129">
        <f>courbes!B21</f>
        <v>2.0176429232608805E+19</v>
      </c>
      <c r="Q21" s="129">
        <f>courbes!C21</f>
        <v>2.1051961986555039E+21</v>
      </c>
      <c r="R21" s="129">
        <f>courbes!D21</f>
        <v>7.8090784784373947E+20</v>
      </c>
      <c r="S21" s="129">
        <f>courbes!E21</f>
        <v>1.2979462413679564E+20</v>
      </c>
      <c r="T21" s="129">
        <f>courbes!F21</f>
        <v>5.6241387694707319E+19</v>
      </c>
      <c r="U21" s="129">
        <f>courbes!G21</f>
        <v>3.1969349882586104E+19</v>
      </c>
      <c r="V21" s="129">
        <f>courbes!H21</f>
        <v>5.9032412055561888E+19</v>
      </c>
      <c r="W21" s="129">
        <f>courbes!I21</f>
        <v>1.591225895071243E+22</v>
      </c>
      <c r="AB21" s="126">
        <f t="shared" si="0"/>
        <v>3.8</v>
      </c>
      <c r="AC21" s="154">
        <f t="shared" si="4"/>
        <v>0.40091745102124576</v>
      </c>
      <c r="AD21" s="154">
        <f t="shared" si="5"/>
        <v>-3.1685325084230458E-3</v>
      </c>
      <c r="AE21" s="154">
        <f t="shared" si="6"/>
        <v>3.7743238703316822E-3</v>
      </c>
      <c r="AF21" s="154">
        <f t="shared" si="7"/>
        <v>-3.5737351153775429E-4</v>
      </c>
      <c r="AG21" s="154">
        <f t="shared" si="8"/>
        <v>4.4409966735187182E-3</v>
      </c>
      <c r="AH21" s="154">
        <f t="shared" si="9"/>
        <v>-3.3140629732673933E-2</v>
      </c>
      <c r="AI21" s="154">
        <f t="shared" si="10"/>
        <v>-6.0574620482932419E-2</v>
      </c>
      <c r="AJ21" s="154">
        <f t="shared" si="11"/>
        <v>-6.3549760525107996E-3</v>
      </c>
      <c r="AM21" s="126">
        <f t="shared" si="12"/>
        <v>3.8</v>
      </c>
      <c r="AN21" s="127">
        <f t="shared" si="13"/>
        <v>7.3289602132979088E+23</v>
      </c>
      <c r="AO21" s="155">
        <f t="shared" si="14"/>
        <v>5.7310702264973543E-3</v>
      </c>
      <c r="AP21" s="155">
        <f t="shared" si="15"/>
        <v>0.65145707727229607</v>
      </c>
      <c r="AQ21" s="155">
        <f t="shared" si="16"/>
        <v>0.27319572447491308</v>
      </c>
      <c r="AR21" s="155">
        <f t="shared" si="17"/>
        <v>3.9389538731776197E-2</v>
      </c>
      <c r="AS21" s="155">
        <f t="shared" si="18"/>
        <v>1.9964567231743988E-2</v>
      </c>
      <c r="AT21" s="155">
        <f t="shared" si="19"/>
        <v>1.0262022062773202E-2</v>
      </c>
      <c r="AW21" s="126">
        <f t="shared" si="20"/>
        <v>1.5833333333333333</v>
      </c>
      <c r="AX21" s="127">
        <f t="shared" si="21"/>
        <v>7.4795729867931396E+23</v>
      </c>
      <c r="AY21" s="155">
        <f t="shared" si="22"/>
        <v>6.4201394462489823E-3</v>
      </c>
      <c r="AZ21" s="155">
        <f t="shared" si="23"/>
        <v>0.6726879894976292</v>
      </c>
      <c r="BA21" s="155">
        <f t="shared" si="24"/>
        <v>0.25057297229858672</v>
      </c>
      <c r="BB21" s="155">
        <f t="shared" si="25"/>
        <v>4.182124363543277E-2</v>
      </c>
      <c r="BC21" s="155">
        <f t="shared" si="26"/>
        <v>1.8196781883339338E-2</v>
      </c>
      <c r="BD21" s="155">
        <f t="shared" si="27"/>
        <v>1.0300873238763057E-2</v>
      </c>
    </row>
    <row r="22" spans="2:56">
      <c r="B22" s="126">
        <f t="shared" si="28"/>
        <v>1460</v>
      </c>
      <c r="C22" s="126">
        <f t="shared" si="3"/>
        <v>4</v>
      </c>
      <c r="D22" s="129">
        <f>courbes!AF22</f>
        <v>1.8036466240241322E+19</v>
      </c>
      <c r="E22" s="129">
        <f>courbes!AG22</f>
        <v>1.987E+21</v>
      </c>
      <c r="F22" s="129">
        <f>courbes!AH22</f>
        <v>8.3845755214288965E+20</v>
      </c>
      <c r="G22" s="129">
        <f>courbes!AI22</f>
        <v>1.1941574550283713E+20</v>
      </c>
      <c r="H22" s="129">
        <f>courbes!AJ22</f>
        <v>6.0803627548475171E+19</v>
      </c>
      <c r="I22" s="129">
        <f>courbes!AK22</f>
        <v>3.1026966618314351E+19</v>
      </c>
      <c r="J22" s="129">
        <f>courbes!AL22</f>
        <v>3.4157088265476084E+19</v>
      </c>
      <c r="K22" s="129">
        <f>courbes!AM22</f>
        <v>1.4767629499765686E+22</v>
      </c>
      <c r="N22" s="128">
        <f>[4]Eq_de_Bateman_avec_RK1!F22</f>
        <v>1.6666666666666667</v>
      </c>
      <c r="O22" s="128">
        <f>[4]Eq_de_Bateman_avec_RK1!G22</f>
        <v>52560000</v>
      </c>
      <c r="P22" s="129">
        <f>courbes!B22</f>
        <v>2.0467505324872086E+19</v>
      </c>
      <c r="Q22" s="129">
        <f>courbes!C22</f>
        <v>2.1010536274360787E+21</v>
      </c>
      <c r="R22" s="129">
        <f>courbes!D22</f>
        <v>7.8353695354547785E+20</v>
      </c>
      <c r="S22" s="129">
        <f>courbes!E22</f>
        <v>1.29105123801236E+20</v>
      </c>
      <c r="T22" s="129">
        <f>courbes!F22</f>
        <v>5.6456169715171639E+19</v>
      </c>
      <c r="U22" s="129">
        <f>courbes!G22</f>
        <v>3.1909009335371092E+19</v>
      </c>
      <c r="V22" s="129">
        <f>courbes!H22</f>
        <v>5.7773549370633044E+19</v>
      </c>
      <c r="W22" s="129">
        <f>courbes!I22</f>
        <v>1.5866861061444389E+22</v>
      </c>
      <c r="AB22" s="126">
        <f t="shared" si="0"/>
        <v>4</v>
      </c>
      <c r="AC22" s="154">
        <f t="shared" si="4"/>
        <v>0.38263945487342799</v>
      </c>
      <c r="AD22" s="154">
        <f t="shared" si="5"/>
        <v>-4.7027557152020082E-3</v>
      </c>
      <c r="AE22" s="154">
        <f t="shared" si="6"/>
        <v>4.7457635103407446E-3</v>
      </c>
      <c r="AF22" s="154">
        <f t="shared" si="7"/>
        <v>-7.5220282846320081E-4</v>
      </c>
      <c r="AG22" s="154">
        <f t="shared" si="8"/>
        <v>5.603407888077375E-3</v>
      </c>
      <c r="AH22" s="154">
        <f t="shared" si="9"/>
        <v>-3.4036126765972861E-2</v>
      </c>
      <c r="AI22" s="154">
        <f t="shared" si="10"/>
        <v>-7.42583158920882E-2</v>
      </c>
      <c r="AJ22" s="154">
        <f t="shared" si="11"/>
        <v>-8.1698577701438541E-3</v>
      </c>
      <c r="AM22" s="126">
        <f t="shared" si="12"/>
        <v>4</v>
      </c>
      <c r="AN22" s="127">
        <f t="shared" si="13"/>
        <v>7.3138666296739936E+23</v>
      </c>
      <c r="AO22" s="155">
        <f t="shared" si="14"/>
        <v>5.8692333105461276E-3</v>
      </c>
      <c r="AP22" s="155">
        <f t="shared" si="15"/>
        <v>0.64930497648569752</v>
      </c>
      <c r="AQ22" s="155">
        <f t="shared" si="16"/>
        <v>0.27513464861098114</v>
      </c>
      <c r="AR22" s="155">
        <f t="shared" si="17"/>
        <v>3.9348809765576143E-2</v>
      </c>
      <c r="AS22" s="155">
        <f t="shared" si="18"/>
        <v>2.0118602938466314E-2</v>
      </c>
      <c r="AT22" s="155">
        <f t="shared" si="19"/>
        <v>1.0223728888732906E-2</v>
      </c>
      <c r="AW22" s="126">
        <f t="shared" si="20"/>
        <v>1.6666666666666667</v>
      </c>
      <c r="AX22" s="127">
        <f t="shared" si="21"/>
        <v>7.4753875123245089E+23</v>
      </c>
      <c r="AY22" s="155">
        <f t="shared" si="22"/>
        <v>6.5164063525648746E-3</v>
      </c>
      <c r="AZ22" s="155">
        <f t="shared" si="23"/>
        <v>0.67174018220371323</v>
      </c>
      <c r="BA22" s="155">
        <f t="shared" si="24"/>
        <v>0.25155735209831276</v>
      </c>
      <c r="BB22" s="155">
        <f t="shared" si="25"/>
        <v>4.1622370458789394E-2</v>
      </c>
      <c r="BC22" s="155">
        <f t="shared" si="26"/>
        <v>1.8276501450321666E-2</v>
      </c>
      <c r="BD22" s="155">
        <f t="shared" si="27"/>
        <v>1.0287187436298091E-2</v>
      </c>
    </row>
    <row r="23" spans="2:56">
      <c r="B23" s="126">
        <f t="shared" si="28"/>
        <v>1533</v>
      </c>
      <c r="C23" s="126">
        <f t="shared" si="3"/>
        <v>4.2</v>
      </c>
      <c r="D23" s="129">
        <f>courbes!AF23</f>
        <v>1.8416677637151689E+19</v>
      </c>
      <c r="E23" s="129">
        <f>courbes!AG23</f>
        <v>1.9762E+21</v>
      </c>
      <c r="F23" s="129">
        <f>courbes!AH23</f>
        <v>8.424981668300144E+20</v>
      </c>
      <c r="G23" s="129">
        <f>courbes!AI23</f>
        <v>1.1910549675069266E+20</v>
      </c>
      <c r="H23" s="129">
        <f>courbes!AJ23</f>
        <v>6.1137664105793913E+19</v>
      </c>
      <c r="I23" s="129">
        <f>courbes!AK23</f>
        <v>3.0844490243100582E+19</v>
      </c>
      <c r="J23" s="129">
        <f>courbes!AL23</f>
        <v>3.2491449355470275E+19</v>
      </c>
      <c r="K23" s="129">
        <f>courbes!AM23</f>
        <v>1.4668712360355889E+22</v>
      </c>
      <c r="N23" s="128">
        <f>[4]Eq_de_Bateman_avec_RK1!F23</f>
        <v>1.75</v>
      </c>
      <c r="O23" s="128">
        <f>[4]Eq_de_Bateman_avec_RK1!G23</f>
        <v>55188000</v>
      </c>
      <c r="P23" s="129">
        <f>courbes!B23</f>
        <v>2.0747156819425559E+19</v>
      </c>
      <c r="Q23" s="129">
        <f>courbes!C23</f>
        <v>2.0968868723890735E+21</v>
      </c>
      <c r="R23" s="129">
        <f>courbes!D23</f>
        <v>7.8612794155712669E+20</v>
      </c>
      <c r="S23" s="129">
        <f>courbes!E23</f>
        <v>1.284474154885843E+20</v>
      </c>
      <c r="T23" s="129">
        <f>courbes!F23</f>
        <v>5.6666547436800205E+19</v>
      </c>
      <c r="U23" s="129">
        <f>courbes!G23</f>
        <v>3.1846990255432958E+19</v>
      </c>
      <c r="V23" s="129">
        <f>courbes!H23</f>
        <v>5.6541629487295857E+19</v>
      </c>
      <c r="W23" s="129">
        <f>courbes!I23</f>
        <v>1.5821592693024148E+22</v>
      </c>
      <c r="AB23" s="126">
        <f t="shared" si="0"/>
        <v>4.2</v>
      </c>
      <c r="AC23" s="154">
        <f t="shared" si="4"/>
        <v>0.36045995892297145</v>
      </c>
      <c r="AD23" s="154">
        <f t="shared" si="5"/>
        <v>-3.910617371906051E-3</v>
      </c>
      <c r="AE23" s="154">
        <f t="shared" si="6"/>
        <v>3.7089377100806868E-3</v>
      </c>
      <c r="AF23" s="154">
        <f t="shared" si="7"/>
        <v>-2.9929803922549971E-5</v>
      </c>
      <c r="AG23" s="154">
        <f t="shared" si="8"/>
        <v>4.4834557408224068E-3</v>
      </c>
      <c r="AH23" s="154">
        <f t="shared" si="9"/>
        <v>-3.2581442790193052E-2</v>
      </c>
      <c r="AI23" s="154">
        <f t="shared" si="10"/>
        <v>-6.7739976818648448E-2</v>
      </c>
      <c r="AJ23" s="154">
        <f t="shared" si="11"/>
        <v>-7.1709860411487093E-3</v>
      </c>
      <c r="AM23" s="126">
        <f t="shared" si="12"/>
        <v>4.2</v>
      </c>
      <c r="AN23" s="127">
        <f t="shared" si="13"/>
        <v>7.2982779089595202E+23</v>
      </c>
      <c r="AO23" s="155">
        <f t="shared" si="14"/>
        <v>6.0057582519038233E-3</v>
      </c>
      <c r="AP23" s="155">
        <f t="shared" si="15"/>
        <v>0.64715513151421655</v>
      </c>
      <c r="AQ23" s="155">
        <f t="shared" si="16"/>
        <v>0.27705105582644229</v>
      </c>
      <c r="AR23" s="155">
        <f t="shared" si="17"/>
        <v>3.933040790578661E-2</v>
      </c>
      <c r="AS23" s="155">
        <f t="shared" si="18"/>
        <v>2.0272336704853462E-2</v>
      </c>
      <c r="AT23" s="155">
        <f t="shared" si="19"/>
        <v>1.0185309796796983E-2</v>
      </c>
      <c r="AW23" s="126">
        <f t="shared" si="20"/>
        <v>1.75</v>
      </c>
      <c r="AX23" s="127">
        <f t="shared" si="21"/>
        <v>7.4710874806173614E+23</v>
      </c>
      <c r="AY23" s="155">
        <f t="shared" si="22"/>
        <v>6.6092430798511455E-3</v>
      </c>
      <c r="AZ23" s="155">
        <f t="shared" si="23"/>
        <v>0.67079386207317748</v>
      </c>
      <c r="BA23" s="155">
        <f t="shared" si="24"/>
        <v>0.25253446230309684</v>
      </c>
      <c r="BB23" s="155">
        <f t="shared" si="25"/>
        <v>4.1434164990115777E-2</v>
      </c>
      <c r="BC23" s="155">
        <f t="shared" si="26"/>
        <v>1.8355165182154277E-2</v>
      </c>
      <c r="BD23" s="155">
        <f t="shared" si="27"/>
        <v>1.0273102371604302E-2</v>
      </c>
    </row>
    <row r="24" spans="2:56">
      <c r="B24" s="126">
        <f t="shared" si="28"/>
        <v>1606</v>
      </c>
      <c r="C24" s="126">
        <f t="shared" si="3"/>
        <v>4.4000000000000004</v>
      </c>
      <c r="D24" s="129">
        <f>courbes!AF24</f>
        <v>1.8789866659976638E+19</v>
      </c>
      <c r="E24" s="129">
        <f>courbes!AG24</f>
        <v>1.9653000000000001E+21</v>
      </c>
      <c r="F24" s="129">
        <f>courbes!AH24</f>
        <v>8.463687556515918E+20</v>
      </c>
      <c r="G24" s="129">
        <f>courbes!AI24</f>
        <v>1.1885529614412451E+20</v>
      </c>
      <c r="H24" s="129">
        <f>courbes!AJ24</f>
        <v>6.1463723670699065E+19</v>
      </c>
      <c r="I24" s="129">
        <f>courbes!AK24</f>
        <v>3.066101672922445E+19</v>
      </c>
      <c r="J24" s="129">
        <f>courbes!AL24</f>
        <v>3.0900749208662086E+19</v>
      </c>
      <c r="K24" s="129">
        <f>courbes!AM24</f>
        <v>1.4568796057921749E+22</v>
      </c>
      <c r="N24" s="128">
        <f>[4]Eq_de_Bateman_avec_RK1!F24</f>
        <v>1.8333333333333333</v>
      </c>
      <c r="O24" s="128">
        <f>[4]Eq_de_Bateman_avec_RK1!G24</f>
        <v>57816000</v>
      </c>
      <c r="P24" s="129">
        <f>courbes!B24</f>
        <v>2.1015682230502478E+19</v>
      </c>
      <c r="Q24" s="129">
        <f>courbes!C24</f>
        <v>2.0926966805188371E+21</v>
      </c>
      <c r="R24" s="129">
        <f>courbes!D24</f>
        <v>7.8868101217901622E+20</v>
      </c>
      <c r="S24" s="129">
        <f>courbes!E24</f>
        <v>1.2782037823523308E+20</v>
      </c>
      <c r="T24" s="129">
        <f>courbes!F24</f>
        <v>5.6872677218359304E+19</v>
      </c>
      <c r="U24" s="129">
        <f>courbes!G24</f>
        <v>3.1783451484019261E+19</v>
      </c>
      <c r="V24" s="129">
        <f>courbes!H24</f>
        <v>5.533607549203728E+19</v>
      </c>
      <c r="W24" s="129">
        <f>courbes!I24</f>
        <v>1.5776453475926234E+22</v>
      </c>
      <c r="AB24" s="126">
        <f t="shared" si="0"/>
        <v>4.4000000000000004</v>
      </c>
      <c r="AC24" s="154">
        <f t="shared" si="4"/>
        <v>0.33866827292605234</v>
      </c>
      <c r="AD24" s="154">
        <f t="shared" si="5"/>
        <v>-3.0736139097889679E-3</v>
      </c>
      <c r="AE24" s="154">
        <f t="shared" si="6"/>
        <v>2.7336500066923006E-3</v>
      </c>
      <c r="AF24" s="154">
        <f t="shared" si="7"/>
        <v>5.19891929002536E-4</v>
      </c>
      <c r="AG24" s="154">
        <f t="shared" si="8"/>
        <v>3.4097134039074248E-3</v>
      </c>
      <c r="AH24" s="154">
        <f t="shared" si="9"/>
        <v>-3.0978617673217457E-2</v>
      </c>
      <c r="AI24" s="154">
        <f t="shared" si="10"/>
        <v>-6.0973466008526635E-2</v>
      </c>
      <c r="AJ24" s="154">
        <f t="shared" si="11"/>
        <v>-6.0577510547501177E-3</v>
      </c>
      <c r="AM24" s="126">
        <f t="shared" si="12"/>
        <v>4.4000000000000004</v>
      </c>
      <c r="AN24" s="127">
        <f t="shared" si="13"/>
        <v>7.2821484215224288E+23</v>
      </c>
      <c r="AO24" s="155">
        <f t="shared" si="14"/>
        <v>6.1410287269859191E-3</v>
      </c>
      <c r="AP24" s="155">
        <f t="shared" si="15"/>
        <v>0.6450111599095939</v>
      </c>
      <c r="AQ24" s="155">
        <f t="shared" si="16"/>
        <v>0.27894034781828214</v>
      </c>
      <c r="AR24" s="155">
        <f t="shared" si="17"/>
        <v>3.9334719251362879E-2</v>
      </c>
      <c r="AS24" s="155">
        <f t="shared" si="18"/>
        <v>2.0425594573640293E-2</v>
      </c>
      <c r="AT24" s="155">
        <f t="shared" si="19"/>
        <v>1.0147149720134736E-2</v>
      </c>
      <c r="AW24" s="126">
        <f t="shared" si="20"/>
        <v>1.8333333333333333</v>
      </c>
      <c r="AX24" s="127">
        <f t="shared" si="21"/>
        <v>7.4666739278700834E+23</v>
      </c>
      <c r="AY24" s="155">
        <f t="shared" si="22"/>
        <v>6.6987421965624336E-3</v>
      </c>
      <c r="AZ24" s="155">
        <f t="shared" si="23"/>
        <v>0.6698491342673033</v>
      </c>
      <c r="BA24" s="155">
        <f t="shared" si="24"/>
        <v>0.2535043645289573</v>
      </c>
      <c r="BB24" s="155">
        <f t="shared" si="25"/>
        <v>4.1256269461171467E-2</v>
      </c>
      <c r="BC24" s="155">
        <f t="shared" si="26"/>
        <v>1.8432822994279313E-2</v>
      </c>
      <c r="BD24" s="155">
        <f t="shared" si="27"/>
        <v>1.0258666551726135E-2</v>
      </c>
    </row>
    <row r="25" spans="2:56">
      <c r="B25" s="126">
        <f t="shared" si="28"/>
        <v>1679</v>
      </c>
      <c r="C25" s="126">
        <f t="shared" si="3"/>
        <v>4.5999999999999996</v>
      </c>
      <c r="D25" s="129">
        <f>courbes!AF25</f>
        <v>1.9155030112418255E+19</v>
      </c>
      <c r="E25" s="129">
        <f>courbes!AG25</f>
        <v>1.9542999999999999E+21</v>
      </c>
      <c r="F25" s="129">
        <f>courbes!AH25</f>
        <v>8.500793201291247E+20</v>
      </c>
      <c r="G25" s="129">
        <f>courbes!AI25</f>
        <v>1.1866514368313275E+20</v>
      </c>
      <c r="H25" s="129">
        <f>courbes!AJ25</f>
        <v>6.1782803367242342E+19</v>
      </c>
      <c r="I25" s="129">
        <f>courbes!AK25</f>
        <v>3.0477543215348318E+19</v>
      </c>
      <c r="J25" s="129">
        <f>courbes!AL25</f>
        <v>2.9381990274523611E+19</v>
      </c>
      <c r="K25" s="129">
        <f>courbes!AM25</f>
        <v>1.4469878918511952E+22</v>
      </c>
      <c r="N25" s="128">
        <f>[4]Eq_de_Bateman_avec_RK1!F25</f>
        <v>1.9166666666666667</v>
      </c>
      <c r="O25" s="128">
        <f>[4]Eq_de_Bateman_avec_RK1!G25</f>
        <v>60444000</v>
      </c>
      <c r="P25" s="129">
        <f>courbes!B25</f>
        <v>2.1273374125224309E+19</v>
      </c>
      <c r="Q25" s="129">
        <f>courbes!C25</f>
        <v>2.0884837842318375E+21</v>
      </c>
      <c r="R25" s="129">
        <f>courbes!D25</f>
        <v>7.911963672517091E+20</v>
      </c>
      <c r="S25" s="129">
        <f>courbes!E25</f>
        <v>1.2722292585511811E+20</v>
      </c>
      <c r="T25" s="129">
        <f>courbes!F25</f>
        <v>5.707471010657715E+19</v>
      </c>
      <c r="U25" s="129">
        <f>courbes!G25</f>
        <v>3.1718544442171183E+19</v>
      </c>
      <c r="V25" s="129">
        <f>courbes!H25</f>
        <v>5.4156322825070477E+19</v>
      </c>
      <c r="W25" s="129">
        <f>courbes!I25</f>
        <v>1.5731443041679459E+22</v>
      </c>
      <c r="AB25" s="126">
        <f t="shared" si="0"/>
        <v>4.5999999999999996</v>
      </c>
      <c r="AC25" s="154">
        <f t="shared" si="4"/>
        <v>0.31912207479084576</v>
      </c>
      <c r="AD25" s="154">
        <f t="shared" si="5"/>
        <v>-4.5570408287038252E-3</v>
      </c>
      <c r="AE25" s="154">
        <f t="shared" si="6"/>
        <v>3.4802721512160739E-3</v>
      </c>
      <c r="AF25" s="154">
        <f t="shared" si="7"/>
        <v>3.4355032038243714E-4</v>
      </c>
      <c r="AG25" s="154">
        <f t="shared" si="8"/>
        <v>4.4118125841327155E-3</v>
      </c>
      <c r="AH25" s="154">
        <f t="shared" si="9"/>
        <v>-3.1261082413579028E-2</v>
      </c>
      <c r="AI25" s="154">
        <f t="shared" si="10"/>
        <v>-7.405109950031917E-2</v>
      </c>
      <c r="AJ25" s="154">
        <f t="shared" si="11"/>
        <v>-7.8040234384258392E-3</v>
      </c>
      <c r="AM25" s="126">
        <f t="shared" si="12"/>
        <v>4.5999999999999996</v>
      </c>
      <c r="AN25" s="127">
        <f t="shared" si="13"/>
        <v>7.265504599551521E+23</v>
      </c>
      <c r="AO25" s="155">
        <f t="shared" si="14"/>
        <v>6.2747151340829827E-3</v>
      </c>
      <c r="AP25" s="155">
        <f t="shared" si="15"/>
        <v>0.64287028326818674</v>
      </c>
      <c r="AQ25" s="155">
        <f t="shared" si="16"/>
        <v>0.28080504806725121</v>
      </c>
      <c r="AR25" s="155">
        <f t="shared" si="17"/>
        <v>3.9361752835997493E-2</v>
      </c>
      <c r="AS25" s="155">
        <f t="shared" si="18"/>
        <v>2.0578664853911945E-2</v>
      </c>
      <c r="AT25" s="155">
        <f t="shared" si="19"/>
        <v>1.0109535840569608E-2</v>
      </c>
      <c r="AW25" s="126">
        <f t="shared" si="20"/>
        <v>1.9166666666666667</v>
      </c>
      <c r="AX25" s="127">
        <f t="shared" si="21"/>
        <v>7.4621478980106113E+23</v>
      </c>
      <c r="AY25" s="155">
        <f t="shared" si="22"/>
        <v>6.7849942282076506E-3</v>
      </c>
      <c r="AZ25" s="155">
        <f t="shared" si="23"/>
        <v>0.66890609949513413</v>
      </c>
      <c r="BA25" s="155">
        <f t="shared" si="24"/>
        <v>0.25446711956892948</v>
      </c>
      <c r="BB25" s="155">
        <f t="shared" si="25"/>
        <v>4.1088337500329544E-2</v>
      </c>
      <c r="BC25" s="155">
        <f t="shared" si="26"/>
        <v>1.8509523041581544E-2</v>
      </c>
      <c r="BD25" s="155">
        <f t="shared" si="27"/>
        <v>1.0243926165817714E-2</v>
      </c>
    </row>
    <row r="26" spans="2:56">
      <c r="B26" s="126">
        <f t="shared" si="28"/>
        <v>1752</v>
      </c>
      <c r="C26" s="126">
        <f t="shared" si="3"/>
        <v>4.8</v>
      </c>
      <c r="D26" s="129">
        <f>courbes!AF26</f>
        <v>1.951216799447654E+19</v>
      </c>
      <c r="E26" s="129">
        <f>courbes!AG26</f>
        <v>1.9432E+21</v>
      </c>
      <c r="F26" s="129">
        <f>courbes!AH26</f>
        <v>8.5362986026261296E+20</v>
      </c>
      <c r="G26" s="129">
        <f>courbes!AI26</f>
        <v>1.185250313434546E+20</v>
      </c>
      <c r="H26" s="129">
        <f>courbes!AJ26</f>
        <v>6.2095900319475417E+19</v>
      </c>
      <c r="I26" s="129">
        <f>courbes!AK26</f>
        <v>3.0294069701472178E+19</v>
      </c>
      <c r="J26" s="129">
        <f>courbes!AL26</f>
        <v>2.7932175002526953E+19</v>
      </c>
      <c r="K26" s="129">
        <f>courbes!AM26</f>
        <v>1.4370961779102155E+22</v>
      </c>
      <c r="N26" s="128">
        <f>[4]Eq_de_Bateman_avec_RK1!F26</f>
        <v>2</v>
      </c>
      <c r="O26" s="128">
        <f>[4]Eq_de_Bateman_avec_RK1!G26</f>
        <v>63072000</v>
      </c>
      <c r="P26" s="129">
        <f>courbes!B26</f>
        <v>2.152051919968981E+19</v>
      </c>
      <c r="Q26" s="129">
        <f>courbes!C26</f>
        <v>2.0842489016066019E+21</v>
      </c>
      <c r="R26" s="129">
        <f>courbes!D26</f>
        <v>7.9367421008276554E+20</v>
      </c>
      <c r="S26" s="129">
        <f>courbes!E26</f>
        <v>1.2665400589294041E+20</v>
      </c>
      <c r="T26" s="129">
        <f>courbes!F26</f>
        <v>5.7272791998874051E+19</v>
      </c>
      <c r="U26" s="129">
        <f>courbes!G26</f>
        <v>3.165241340643668E+19</v>
      </c>
      <c r="V26" s="129">
        <f>courbes!H26</f>
        <v>5.3001819015801881E+19</v>
      </c>
      <c r="W26" s="129">
        <f>courbes!I26</f>
        <v>1.5686561022863911E+22</v>
      </c>
      <c r="AB26" s="126">
        <f t="shared" si="0"/>
        <v>4.8</v>
      </c>
      <c r="AC26" s="154">
        <f t="shared" si="4"/>
        <v>0.29784693152879405</v>
      </c>
      <c r="AD26" s="154">
        <f t="shared" si="5"/>
        <v>-3.6413841288711799E-3</v>
      </c>
      <c r="AE26" s="154">
        <f t="shared" si="6"/>
        <v>2.5283119642111771E-3</v>
      </c>
      <c r="AF26" s="154">
        <f t="shared" si="7"/>
        <v>6.7185574870329214E-4</v>
      </c>
      <c r="AG26" s="154">
        <f t="shared" si="8"/>
        <v>3.3484574871882979E-3</v>
      </c>
      <c r="AH26" s="154">
        <f t="shared" si="9"/>
        <v>-2.9353676672069215E-2</v>
      </c>
      <c r="AI26" s="154">
        <f t="shared" si="10"/>
        <v>-6.6921475617210041E-2</v>
      </c>
      <c r="AJ26" s="154">
        <f t="shared" si="11"/>
        <v>-6.6669473905156245E-3</v>
      </c>
      <c r="AM26" s="126">
        <f t="shared" si="12"/>
        <v>4.8</v>
      </c>
      <c r="AN26" s="127">
        <f t="shared" si="13"/>
        <v>7.2483247367485297E+23</v>
      </c>
      <c r="AO26" s="155">
        <f t="shared" si="14"/>
        <v>6.4068542061052657E-3</v>
      </c>
      <c r="AP26" s="155">
        <f t="shared" si="15"/>
        <v>0.64073398594491338</v>
      </c>
      <c r="AQ26" s="155">
        <f t="shared" si="16"/>
        <v>0.28264623054806548</v>
      </c>
      <c r="AR26" s="155">
        <f t="shared" si="17"/>
        <v>3.9408461391019445E-2</v>
      </c>
      <c r="AS26" s="155">
        <f t="shared" si="18"/>
        <v>2.0731973832692808E-2</v>
      </c>
      <c r="AT26" s="155">
        <f t="shared" si="19"/>
        <v>1.0072494077203604E-2</v>
      </c>
      <c r="AW26" s="126">
        <f t="shared" si="20"/>
        <v>2</v>
      </c>
      <c r="AX26" s="127">
        <f t="shared" si="21"/>
        <v>7.4575104418824519E+23</v>
      </c>
      <c r="AY26" s="155">
        <f t="shared" si="22"/>
        <v>6.8680876942001168E-3</v>
      </c>
      <c r="AZ26" s="155">
        <f t="shared" si="23"/>
        <v>0.66796485417757823</v>
      </c>
      <c r="BA26" s="155">
        <f t="shared" si="24"/>
        <v>0.25542278740917407</v>
      </c>
      <c r="BB26" s="155">
        <f t="shared" si="25"/>
        <v>4.0930033766729469E-2</v>
      </c>
      <c r="BC26" s="155">
        <f t="shared" si="26"/>
        <v>1.8585311776283513E-2</v>
      </c>
      <c r="BD26" s="155">
        <f t="shared" si="27"/>
        <v>1.0228925176034609E-2</v>
      </c>
    </row>
    <row r="27" spans="2:56">
      <c r="B27" s="126">
        <f t="shared" si="28"/>
        <v>1825</v>
      </c>
      <c r="C27" s="126">
        <f t="shared" si="3"/>
        <v>5</v>
      </c>
      <c r="D27" s="129">
        <f>courbes!AF27</f>
        <v>1.9861280306151494E+19</v>
      </c>
      <c r="E27" s="129">
        <f>courbes!AG27</f>
        <v>1.9320999999999999E+21</v>
      </c>
      <c r="F27" s="129">
        <f>courbes!AH27</f>
        <v>8.5702037605205672E+20</v>
      </c>
      <c r="G27" s="129">
        <f>courbes!AI27</f>
        <v>1.1843495912509007E+20</v>
      </c>
      <c r="H27" s="129">
        <f>courbes!AJ27</f>
        <v>6.2403014527398314E+19</v>
      </c>
      <c r="I27" s="129">
        <f>courbes!AK27</f>
        <v>3.0111593326258414E+19</v>
      </c>
      <c r="J27" s="129">
        <f>courbes!AL27</f>
        <v>2.6548305842144203E+19</v>
      </c>
      <c r="K27" s="129">
        <f>courbes!AM27</f>
        <v>1.4272044639692358E+22</v>
      </c>
      <c r="N27" s="128">
        <f>[4]Eq_de_Bateman_avec_RK1!F27</f>
        <v>2.0833333333333335</v>
      </c>
      <c r="O27" s="128">
        <f>[4]Eq_de_Bateman_avec_RK1!G27</f>
        <v>65700000</v>
      </c>
      <c r="P27" s="129">
        <f>courbes!B27</f>
        <v>2.1757398355562242E+19</v>
      </c>
      <c r="Q27" s="129">
        <f>courbes!C27</f>
        <v>2.0799927366585494E+21</v>
      </c>
      <c r="R27" s="129">
        <f>courbes!D27</f>
        <v>7.9611474537521676E+20</v>
      </c>
      <c r="S27" s="129">
        <f>courbes!E27</f>
        <v>1.2611259860878372E+20</v>
      </c>
      <c r="T27" s="129">
        <f>courbes!F27</f>
        <v>5.7467063801284682E+19</v>
      </c>
      <c r="U27" s="129">
        <f>courbes!G27</f>
        <v>3.1585195775328662E+19</v>
      </c>
      <c r="V27" s="129">
        <f>courbes!H27</f>
        <v>5.1872023423962694E+19</v>
      </c>
      <c r="W27" s="129">
        <f>courbes!I27</f>
        <v>1.5641807053107954E+22</v>
      </c>
      <c r="AB27" s="126">
        <f t="shared" si="0"/>
        <v>5</v>
      </c>
      <c r="AC27" s="154">
        <f t="shared" si="4"/>
        <v>0.27786404136007037</v>
      </c>
      <c r="AD27" s="154">
        <f t="shared" si="5"/>
        <v>-5.1310684434590281E-3</v>
      </c>
      <c r="AE27" s="154">
        <f t="shared" si="6"/>
        <v>3.1125963081715777E-3</v>
      </c>
      <c r="AF27" s="154">
        <f t="shared" si="7"/>
        <v>5.9104949204752215E-4</v>
      </c>
      <c r="AG27" s="154">
        <f t="shared" si="8"/>
        <v>4.2449850226071442E-3</v>
      </c>
      <c r="AH27" s="154">
        <f t="shared" si="9"/>
        <v>-2.9222574588757735E-2</v>
      </c>
      <c r="AI27" s="154">
        <f t="shared" si="10"/>
        <v>-7.9487963645050758E-2</v>
      </c>
      <c r="AJ27" s="154">
        <f t="shared" si="11"/>
        <v>-8.3188251861296258E-3</v>
      </c>
      <c r="AM27" s="126">
        <f t="shared" si="12"/>
        <v>5</v>
      </c>
      <c r="AN27" s="127">
        <f t="shared" si="13"/>
        <v>7.2308502362176296E+23</v>
      </c>
      <c r="AO27" s="155">
        <f t="shared" si="14"/>
        <v>6.5372460477575653E-3</v>
      </c>
      <c r="AP27" s="155">
        <f t="shared" si="15"/>
        <v>0.63861355845415391</v>
      </c>
      <c r="AQ27" s="155">
        <f t="shared" si="16"/>
        <v>0.28445464023340761</v>
      </c>
      <c r="AR27" s="155">
        <f t="shared" si="17"/>
        <v>3.9473677668197864E-2</v>
      </c>
      <c r="AS27" s="155">
        <f t="shared" si="18"/>
        <v>2.0884860040373095E-2</v>
      </c>
      <c r="AT27" s="155">
        <f t="shared" si="19"/>
        <v>1.0036017556110071E-2</v>
      </c>
      <c r="AW27" s="126">
        <f t="shared" si="20"/>
        <v>2.0833333333333335</v>
      </c>
      <c r="AX27" s="127">
        <f t="shared" si="21"/>
        <v>7.4527626164655113E+23</v>
      </c>
      <c r="AY27" s="155">
        <f t="shared" si="22"/>
        <v>6.948109144363993E-3</v>
      </c>
      <c r="AZ27" s="155">
        <f t="shared" si="23"/>
        <v>0.66702549060545913</v>
      </c>
      <c r="BA27" s="155">
        <f t="shared" si="24"/>
        <v>0.2563714272448761</v>
      </c>
      <c r="BB27" s="155">
        <f t="shared" si="25"/>
        <v>4.0781033596278535E-2</v>
      </c>
      <c r="BC27" s="155">
        <f t="shared" si="26"/>
        <v>1.866023400394622E-2</v>
      </c>
      <c r="BD27" s="155">
        <f t="shared" si="27"/>
        <v>1.021370540507599E-2</v>
      </c>
    </row>
    <row r="28" spans="2:56">
      <c r="B28" s="126">
        <f t="shared" si="28"/>
        <v>1898</v>
      </c>
      <c r="C28" s="126">
        <f t="shared" si="3"/>
        <v>5.2</v>
      </c>
      <c r="D28" s="129">
        <f>courbes!AF28</f>
        <v>2.02013638511452E+19</v>
      </c>
      <c r="E28" s="129">
        <f>courbes!AG28</f>
        <v>1.9208999999999999E+21</v>
      </c>
      <c r="F28" s="129">
        <f>courbes!AH28</f>
        <v>8.6025086749745598E+20</v>
      </c>
      <c r="G28" s="129">
        <f>courbes!AI28</f>
        <v>1.1839492702803916E+20</v>
      </c>
      <c r="H28" s="129">
        <f>courbes!AJ28</f>
        <v>6.2705143115062723E+19</v>
      </c>
      <c r="I28" s="129">
        <f>courbes!AK28</f>
        <v>2.9930114089707016E+19</v>
      </c>
      <c r="J28" s="129">
        <f>courbes!AL28</f>
        <v>2.5228384426356761E+19</v>
      </c>
      <c r="K28" s="129">
        <f>courbes!AM28</f>
        <v>1.4174126663306903E+22</v>
      </c>
      <c r="N28" s="128">
        <f>[4]Eq_de_Bateman_avec_RK1!F28</f>
        <v>2.1666666666666665</v>
      </c>
      <c r="O28" s="128">
        <f>[4]Eq_de_Bateman_avec_RK1!G28</f>
        <v>68328000</v>
      </c>
      <c r="P28" s="129">
        <f>courbes!B28</f>
        <v>2.1984286777072038E+19</v>
      </c>
      <c r="Q28" s="129">
        <f>courbes!C28</f>
        <v>2.0757159795998251E+21</v>
      </c>
      <c r="R28" s="129">
        <f>courbes!D28</f>
        <v>7.9851817915771165E+20</v>
      </c>
      <c r="S28" s="129">
        <f>courbes!E28</f>
        <v>1.2559771599318412E+20</v>
      </c>
      <c r="T28" s="129">
        <f>courbes!F28</f>
        <v>5.765766158171408E+19</v>
      </c>
      <c r="U28" s="129">
        <f>courbes!G28</f>
        <v>3.1517022326823801E+19</v>
      </c>
      <c r="V28" s="129">
        <f>courbes!H28</f>
        <v>5.0766406986283434E+19</v>
      </c>
      <c r="W28" s="129">
        <f>courbes!I28</f>
        <v>1.559718076708524E+22</v>
      </c>
      <c r="AB28" s="126">
        <f t="shared" si="0"/>
        <v>5.2</v>
      </c>
      <c r="AC28" s="154">
        <f t="shared" si="4"/>
        <v>0.25736283628460066</v>
      </c>
      <c r="AD28" s="154">
        <f t="shared" si="5"/>
        <v>-4.1768566127464999E-3</v>
      </c>
      <c r="AE28" s="154">
        <f t="shared" si="6"/>
        <v>2.1960197191794903E-3</v>
      </c>
      <c r="AF28" s="154">
        <f t="shared" si="7"/>
        <v>6.2938281152650588E-4</v>
      </c>
      <c r="AG28" s="154">
        <f t="shared" si="8"/>
        <v>3.1928223732767907E-3</v>
      </c>
      <c r="AH28" s="154">
        <f t="shared" si="9"/>
        <v>-2.7038905677896356E-2</v>
      </c>
      <c r="AI28" s="154">
        <f t="shared" si="10"/>
        <v>-7.2002291025555581E-2</v>
      </c>
      <c r="AJ28" s="154">
        <f t="shared" si="11"/>
        <v>-7.1575961584531139E-3</v>
      </c>
      <c r="AM28" s="126">
        <f t="shared" si="12"/>
        <v>5.2</v>
      </c>
      <c r="AN28" s="127">
        <f t="shared" si="13"/>
        <v>7.212842123391839E+23</v>
      </c>
      <c r="AO28" s="155">
        <f t="shared" si="14"/>
        <v>6.6657837705612092E-3</v>
      </c>
      <c r="AP28" s="155">
        <f t="shared" si="15"/>
        <v>0.63649680964333999</v>
      </c>
      <c r="AQ28" s="155">
        <f t="shared" si="16"/>
        <v>0.28623974387269902</v>
      </c>
      <c r="AR28" s="155">
        <f t="shared" si="17"/>
        <v>3.955885478377795E-2</v>
      </c>
      <c r="AS28" s="155">
        <f t="shared" si="18"/>
        <v>2.1038370692507687E-2</v>
      </c>
      <c r="AT28" s="155">
        <f t="shared" si="19"/>
        <v>1.0000437237114242E-2</v>
      </c>
      <c r="AW28" s="126">
        <f t="shared" si="20"/>
        <v>2.1666666666666665</v>
      </c>
      <c r="AX28" s="127">
        <f t="shared" si="21"/>
        <v>7.4479054841304888E+23</v>
      </c>
      <c r="AY28" s="155">
        <f t="shared" si="22"/>
        <v>7.0251431950790789E-3</v>
      </c>
      <c r="AZ28" s="155">
        <f t="shared" si="23"/>
        <v>0.666088097091736</v>
      </c>
      <c r="BA28" s="155">
        <f t="shared" si="24"/>
        <v>0.25731309749592568</v>
      </c>
      <c r="BB28" s="155">
        <f t="shared" si="25"/>
        <v>4.0641022659125697E-2</v>
      </c>
      <c r="BC28" s="155">
        <f t="shared" si="26"/>
        <v>1.8734332937636329E-2</v>
      </c>
      <c r="BD28" s="155">
        <f t="shared" si="27"/>
        <v>1.0198306620497199E-2</v>
      </c>
    </row>
    <row r="29" spans="2:56">
      <c r="B29" s="126">
        <f t="shared" si="28"/>
        <v>1971</v>
      </c>
      <c r="C29" s="126">
        <f t="shared" si="3"/>
        <v>5.4</v>
      </c>
      <c r="D29" s="129">
        <f>courbes!AF29</f>
        <v>2.0533421825755574E+19</v>
      </c>
      <c r="E29" s="129">
        <f>courbes!AG29</f>
        <v>1.9096000000000003E+21</v>
      </c>
      <c r="F29" s="129">
        <f>courbes!AH29</f>
        <v>8.6333133612031332E+20</v>
      </c>
      <c r="G29" s="129">
        <f>courbes!AI29</f>
        <v>1.1838491900377643E+20</v>
      </c>
      <c r="H29" s="129">
        <f>courbes!AJ29</f>
        <v>6.3002286082468643E+19</v>
      </c>
      <c r="I29" s="129">
        <f>courbes!AK29</f>
        <v>2.9749631991817994E+19</v>
      </c>
      <c r="J29" s="129">
        <f>courbes!AL29</f>
        <v>2.3968414021127406E+19</v>
      </c>
      <c r="K29" s="129">
        <f>courbes!AM29</f>
        <v>1.4076208686921446E+22</v>
      </c>
      <c r="N29" s="128">
        <f>[4]Eq_de_Bateman_avec_RK1!F29</f>
        <v>2.25</v>
      </c>
      <c r="O29" s="128">
        <f>[4]Eq_de_Bateman_avec_RK1!G29</f>
        <v>70956000</v>
      </c>
      <c r="P29" s="129">
        <f>courbes!B29</f>
        <v>2.2201454008356368E+19</v>
      </c>
      <c r="Q29" s="129">
        <f>courbes!C29</f>
        <v>2.0714193070942349E+21</v>
      </c>
      <c r="R29" s="129">
        <f>courbes!D29</f>
        <v>8.0088471871630226E+20</v>
      </c>
      <c r="S29" s="129">
        <f>courbes!E29</f>
        <v>1.2510840081173647E+20</v>
      </c>
      <c r="T29" s="129">
        <f>courbes!F29</f>
        <v>5.784471671866481E+19</v>
      </c>
      <c r="U29" s="129">
        <f>courbes!G29</f>
        <v>3.1448017467188322E+19</v>
      </c>
      <c r="V29" s="129">
        <f>courbes!H29</f>
        <v>4.9684451968592962E+19</v>
      </c>
      <c r="W29" s="129">
        <f>courbes!I29</f>
        <v>1.5552681800511722E+22</v>
      </c>
      <c r="AB29" s="126">
        <f t="shared" si="0"/>
        <v>5.4</v>
      </c>
      <c r="AC29" s="154">
        <f t="shared" si="4"/>
        <v>0.23741408996796601</v>
      </c>
      <c r="AD29" s="154">
        <f t="shared" si="5"/>
        <v>-3.1650654591396576E-3</v>
      </c>
      <c r="AE29" s="154">
        <f t="shared" si="6"/>
        <v>1.3256794960179936E-3</v>
      </c>
      <c r="AF29" s="154">
        <f t="shared" si="7"/>
        <v>5.991373524325724E-4</v>
      </c>
      <c r="AG29" s="154">
        <f t="shared" si="8"/>
        <v>2.1678461112056447E-3</v>
      </c>
      <c r="AH29" s="154">
        <f t="shared" si="9"/>
        <v>-2.4734510366616797E-2</v>
      </c>
      <c r="AI29" s="154">
        <f t="shared" si="10"/>
        <v>-6.4220232551673195E-2</v>
      </c>
      <c r="AJ29" s="154">
        <f t="shared" si="11"/>
        <v>-5.9475676971368213E-3</v>
      </c>
      <c r="AM29" s="126">
        <f t="shared" si="12"/>
        <v>5.4</v>
      </c>
      <c r="AN29" s="127">
        <f t="shared" si="13"/>
        <v>7.194278550853007E+23</v>
      </c>
      <c r="AO29" s="155">
        <f t="shared" si="14"/>
        <v>6.7928345559408361E-3</v>
      </c>
      <c r="AP29" s="155">
        <f t="shared" si="15"/>
        <v>0.63438522260982877</v>
      </c>
      <c r="AQ29" s="155">
        <f t="shared" si="16"/>
        <v>0.28800597475379669</v>
      </c>
      <c r="AR29" s="155">
        <f t="shared" si="17"/>
        <v>3.9657576890079274E-2</v>
      </c>
      <c r="AS29" s="155">
        <f t="shared" si="18"/>
        <v>2.1192608993642132E-2</v>
      </c>
      <c r="AT29" s="155">
        <f t="shared" si="19"/>
        <v>9.9657821967124808E-3</v>
      </c>
      <c r="AW29" s="126">
        <f t="shared" si="20"/>
        <v>2.25</v>
      </c>
      <c r="AX29" s="127">
        <f t="shared" si="21"/>
        <v>7.442940111925612E+23</v>
      </c>
      <c r="AY29" s="155">
        <f t="shared" si="22"/>
        <v>7.0992725650479149E-3</v>
      </c>
      <c r="AZ29" s="155">
        <f t="shared" si="23"/>
        <v>0.66515275811810814</v>
      </c>
      <c r="BA29" s="155">
        <f t="shared" si="24"/>
        <v>0.25824785582237342</v>
      </c>
      <c r="BB29" s="155">
        <f t="shared" si="25"/>
        <v>4.0509696628242643E-2</v>
      </c>
      <c r="BC29" s="155">
        <f t="shared" si="26"/>
        <v>1.880765025031924E-2</v>
      </c>
      <c r="BD29" s="155">
        <f t="shared" si="27"/>
        <v>1.0182766615908697E-2</v>
      </c>
    </row>
    <row r="30" spans="2:56">
      <c r="B30" s="126">
        <f t="shared" si="28"/>
        <v>2044</v>
      </c>
      <c r="C30" s="126">
        <f t="shared" si="3"/>
        <v>5.6</v>
      </c>
      <c r="D30" s="129">
        <f>courbes!AF30</f>
        <v>2.0856451033684693E+19</v>
      </c>
      <c r="E30" s="129">
        <f>courbes!AG30</f>
        <v>1.8982000000000003E+21</v>
      </c>
      <c r="F30" s="129">
        <f>courbes!AH30</f>
        <v>8.6624177887762357E+20</v>
      </c>
      <c r="G30" s="129">
        <f>courbes!AI30</f>
        <v>1.1841494307656462E+20</v>
      </c>
      <c r="H30" s="129">
        <f>courbes!AJ30</f>
        <v>6.3295440553667772E+19</v>
      </c>
      <c r="I30" s="129">
        <f>courbes!AK30</f>
        <v>2.9572141309916082E+19</v>
      </c>
      <c r="J30" s="129">
        <f>courbes!AL30</f>
        <v>2.2767395442946851E+19</v>
      </c>
      <c r="K30" s="129">
        <f>courbes!AM30</f>
        <v>1.3978290710535991E+22</v>
      </c>
      <c r="N30" s="128">
        <f>[4]Eq_de_Bateman_avec_RK1!F30</f>
        <v>2.3333333333333335</v>
      </c>
      <c r="O30" s="128">
        <f>[4]Eq_de_Bateman_avec_RK1!G30</f>
        <v>73584000</v>
      </c>
      <c r="P30" s="129">
        <f>courbes!B30</f>
        <v>2.240916403106089E+19</v>
      </c>
      <c r="Q30" s="129">
        <f>courbes!C30</f>
        <v>2.0671033825073826E+21</v>
      </c>
      <c r="R30" s="129">
        <f>courbes!D30</f>
        <v>8.0321457252783568E+20</v>
      </c>
      <c r="S30" s="129">
        <f>courbes!E30</f>
        <v>1.2464372567834986E+20</v>
      </c>
      <c r="T30" s="129">
        <f>courbes!F30</f>
        <v>5.8028356045568705E+19</v>
      </c>
      <c r="U30" s="129">
        <f>courbes!G30</f>
        <v>3.1378299471408247E+19</v>
      </c>
      <c r="V30" s="129">
        <f>courbes!H30</f>
        <v>4.8625651723225719E+19</v>
      </c>
      <c r="W30" s="129">
        <f>courbes!I30</f>
        <v>1.5508309790142679E+22</v>
      </c>
      <c r="AB30" s="126">
        <f t="shared" si="0"/>
        <v>5.6</v>
      </c>
      <c r="AC30" s="154">
        <f t="shared" si="4"/>
        <v>0.21778422769798703</v>
      </c>
      <c r="AD30" s="154">
        <f t="shared" si="5"/>
        <v>-4.5518776571463583E-3</v>
      </c>
      <c r="AE30" s="154">
        <f t="shared" si="6"/>
        <v>1.7590022290801264E-3</v>
      </c>
      <c r="AF30" s="154">
        <f t="shared" si="7"/>
        <v>4.7905079529704205E-4</v>
      </c>
      <c r="AG30" s="154">
        <f t="shared" si="8"/>
        <v>2.9524261530609127E-3</v>
      </c>
      <c r="AH30" s="154">
        <f t="shared" si="9"/>
        <v>-2.4069342559747037E-2</v>
      </c>
      <c r="AI30" s="154">
        <f t="shared" si="10"/>
        <v>-7.6201365733085905E-2</v>
      </c>
      <c r="AJ30" s="154">
        <f t="shared" si="11"/>
        <v>-7.5275402613711063E-3</v>
      </c>
      <c r="AM30" s="126">
        <f t="shared" si="12"/>
        <v>5.6</v>
      </c>
      <c r="AN30" s="127">
        <f t="shared" si="13"/>
        <v>7.1751404622777606E+23</v>
      </c>
      <c r="AO30" s="155">
        <f t="shared" si="14"/>
        <v>6.918101982969653E-3</v>
      </c>
      <c r="AP30" s="155">
        <f t="shared" si="15"/>
        <v>0.63228002627279822</v>
      </c>
      <c r="AQ30" s="155">
        <f t="shared" si="16"/>
        <v>0.28974767535719026</v>
      </c>
      <c r="AR30" s="155">
        <f t="shared" si="17"/>
        <v>3.9773439184203278E-2</v>
      </c>
      <c r="AS30" s="155">
        <f t="shared" si="18"/>
        <v>2.134800941461296E-2</v>
      </c>
      <c r="AT30" s="155">
        <f t="shared" si="19"/>
        <v>9.9327477882256449E-3</v>
      </c>
      <c r="AW30" s="126">
        <f t="shared" si="20"/>
        <v>2.3333333333333335</v>
      </c>
      <c r="AX30" s="127">
        <f t="shared" si="21"/>
        <v>7.4378675708945688E+23</v>
      </c>
      <c r="AY30" s="155">
        <f t="shared" si="22"/>
        <v>7.1705781106708175E-3</v>
      </c>
      <c r="AZ30" s="155">
        <f t="shared" si="23"/>
        <v>0.66421955447621051</v>
      </c>
      <c r="BA30" s="155">
        <f t="shared" si="24"/>
        <v>0.25917575913965285</v>
      </c>
      <c r="BB30" s="155">
        <f t="shared" si="25"/>
        <v>4.0386760858757052E-2</v>
      </c>
      <c r="BC30" s="155">
        <f t="shared" si="26"/>
        <v>1.8880226125535412E-2</v>
      </c>
      <c r="BD30" s="155">
        <f t="shared" si="27"/>
        <v>1.0167121289173301E-2</v>
      </c>
    </row>
    <row r="31" spans="2:56">
      <c r="B31" s="126">
        <f t="shared" si="28"/>
        <v>2117</v>
      </c>
      <c r="C31" s="126">
        <f t="shared" si="3"/>
        <v>5.8</v>
      </c>
      <c r="D31" s="129">
        <f>courbes!AF31</f>
        <v>2.1170451474932572E+19</v>
      </c>
      <c r="E31" s="129">
        <f>courbes!AG31</f>
        <v>1.8867999999999997E+21</v>
      </c>
      <c r="F31" s="129">
        <f>courbes!AH31</f>
        <v>8.690021988123919E+20</v>
      </c>
      <c r="G31" s="129">
        <f>courbes!AI31</f>
        <v>1.1846498319787824E+20</v>
      </c>
      <c r="H31" s="129">
        <f>courbes!AJ31</f>
        <v>6.358460652866012E+19</v>
      </c>
      <c r="I31" s="129">
        <f>courbes!AK31</f>
        <v>2.9395647766676533E+19</v>
      </c>
      <c r="J31" s="129">
        <f>courbes!AL31</f>
        <v>2.1622331141287186E+19</v>
      </c>
      <c r="K31" s="129">
        <f>courbes!AM31</f>
        <v>1.3880372734150534E+22</v>
      </c>
      <c r="N31" s="128">
        <f>[4]Eq_de_Bateman_avec_RK1!F31</f>
        <v>2.4166666666666665</v>
      </c>
      <c r="O31" s="128">
        <f>[4]Eq_de_Bateman_avec_RK1!G31</f>
        <v>76212000</v>
      </c>
      <c r="P31" s="129">
        <f>courbes!B31</f>
        <v>2.2607675342132642E+19</v>
      </c>
      <c r="Q31" s="129">
        <f>courbes!C31</f>
        <v>2.062768856152109E+21</v>
      </c>
      <c r="R31" s="129">
        <f>courbes!D31</f>
        <v>8.0550795019491829E+20</v>
      </c>
      <c r="S31" s="129">
        <f>courbes!E31</f>
        <v>1.2420279215629148E+20</v>
      </c>
      <c r="T31" s="129">
        <f>courbes!F31</f>
        <v>5.8208701990852534E+19</v>
      </c>
      <c r="U31" s="129">
        <f>courbes!G31</f>
        <v>3.1307980715492889E+19</v>
      </c>
      <c r="V31" s="129">
        <f>courbes!H31</f>
        <v>4.75895104516236E+19</v>
      </c>
      <c r="W31" s="129">
        <f>courbes!I31</f>
        <v>1.5464064373769753E+22</v>
      </c>
      <c r="AB31" s="126">
        <f t="shared" si="0"/>
        <v>5.8</v>
      </c>
      <c r="AC31" s="154">
        <f t="shared" si="4"/>
        <v>0.19879642785262283</v>
      </c>
      <c r="AD31" s="154">
        <f t="shared" si="5"/>
        <v>-3.486342916232418E-3</v>
      </c>
      <c r="AE31" s="154">
        <f t="shared" si="6"/>
        <v>9.3924748837735585E-4</v>
      </c>
      <c r="AF31" s="154">
        <f t="shared" si="7"/>
        <v>3.2379701325450813E-4</v>
      </c>
      <c r="AG31" s="154">
        <f t="shared" si="8"/>
        <v>1.9256678047714466E-3</v>
      </c>
      <c r="AH31" s="154">
        <f t="shared" si="9"/>
        <v>-2.1526962235066685E-2</v>
      </c>
      <c r="AI31" s="154">
        <f t="shared" si="10"/>
        <v>-6.8072317660201817E-2</v>
      </c>
      <c r="AJ31" s="154">
        <f t="shared" si="11"/>
        <v>-6.2211114710054088E-3</v>
      </c>
      <c r="AM31" s="126">
        <f t="shared" si="12"/>
        <v>5.8</v>
      </c>
      <c r="AN31" s="127">
        <f t="shared" si="13"/>
        <v>7.1556618200840141E+23</v>
      </c>
      <c r="AO31" s="155">
        <f t="shared" si="14"/>
        <v>7.0413716826192817E-3</v>
      </c>
      <c r="AP31" s="155">
        <f t="shared" si="15"/>
        <v>0.63019356048146136</v>
      </c>
      <c r="AQ31" s="155">
        <f t="shared" si="16"/>
        <v>0.29146224760035594</v>
      </c>
      <c r="AR31" s="155">
        <f t="shared" si="17"/>
        <v>3.989856098363443E-2</v>
      </c>
      <c r="AS31" s="155">
        <f t="shared" si="18"/>
        <v>2.1503915594148475E-2</v>
      </c>
      <c r="AT31" s="155">
        <f t="shared" si="19"/>
        <v>9.9003436577804454E-3</v>
      </c>
      <c r="AW31" s="126">
        <f t="shared" si="20"/>
        <v>2.4166666666666665</v>
      </c>
      <c r="AX31" s="127">
        <f t="shared" si="21"/>
        <v>7.4326889354244834E+23</v>
      </c>
      <c r="AY31" s="155">
        <f t="shared" si="22"/>
        <v>7.23913886101609E-3</v>
      </c>
      <c r="AZ31" s="155">
        <f t="shared" si="23"/>
        <v>0.66328856340360021</v>
      </c>
      <c r="BA31" s="155">
        <f t="shared" si="24"/>
        <v>0.26009686363356427</v>
      </c>
      <c r="BB31" s="155">
        <f t="shared" si="25"/>
        <v>4.0271930077693703E-2</v>
      </c>
      <c r="BC31" s="155">
        <f t="shared" si="26"/>
        <v>1.8952099306415851E-2</v>
      </c>
      <c r="BD31" s="155">
        <f t="shared" si="27"/>
        <v>1.0151404717709844E-2</v>
      </c>
    </row>
    <row r="32" spans="2:56">
      <c r="B32" s="126">
        <f t="shared" si="28"/>
        <v>2190</v>
      </c>
      <c r="C32" s="126">
        <f t="shared" si="3"/>
        <v>6</v>
      </c>
      <c r="D32" s="129">
        <f>courbes!AF32</f>
        <v>2.1475423149499195E+19</v>
      </c>
      <c r="E32" s="129">
        <f>courbes!AG32</f>
        <v>1.8753000000000001E+21</v>
      </c>
      <c r="F32" s="129">
        <f>courbes!AH32</f>
        <v>8.7161259592461858E+20</v>
      </c>
      <c r="G32" s="129">
        <f>courbes!AI32</f>
        <v>1.1855505541624278E+20</v>
      </c>
      <c r="H32" s="129">
        <f>courbes!AJ32</f>
        <v>6.3869784007445651E+19</v>
      </c>
      <c r="I32" s="129">
        <f>courbes!AK32</f>
        <v>2.9222145639424102E+19</v>
      </c>
      <c r="J32" s="129">
        <f>courbes!AL32</f>
        <v>2.0530223565620511E+19</v>
      </c>
      <c r="K32" s="129">
        <f>courbes!AM32</f>
        <v>1.3782454757765079E+22</v>
      </c>
      <c r="N32" s="128">
        <f>[4]Eq_de_Bateman_avec_RK1!F32</f>
        <v>2.5</v>
      </c>
      <c r="O32" s="128">
        <f>[4]Eq_de_Bateman_avec_RK1!G32</f>
        <v>78840000</v>
      </c>
      <c r="P32" s="129">
        <f>courbes!B32</f>
        <v>2.2797241031736721E+19</v>
      </c>
      <c r="Q32" s="129">
        <f>courbes!C32</f>
        <v>2.0584163655293241E+21</v>
      </c>
      <c r="R32" s="129">
        <f>courbes!D32</f>
        <v>8.0776506238242089E+20</v>
      </c>
      <c r="S32" s="129">
        <f>courbes!E32</f>
        <v>1.2378472988618349E+20</v>
      </c>
      <c r="T32" s="129">
        <f>courbes!F32</f>
        <v>5.8385872713863242E+19</v>
      </c>
      <c r="U32" s="129">
        <f>courbes!G32</f>
        <v>3.123716790091205E+19</v>
      </c>
      <c r="V32" s="129">
        <f>courbes!H32</f>
        <v>4.6575542972021187E+19</v>
      </c>
      <c r="W32" s="129">
        <f>courbes!I32</f>
        <v>1.5419945190217992E+22</v>
      </c>
      <c r="AB32" s="126">
        <f t="shared" si="0"/>
        <v>6</v>
      </c>
      <c r="AC32" s="154">
        <f t="shared" si="4"/>
        <v>0.17957748367999501</v>
      </c>
      <c r="AD32" s="154">
        <f t="shared" si="5"/>
        <v>-4.8466855312363256E-3</v>
      </c>
      <c r="AE32" s="154">
        <f t="shared" si="6"/>
        <v>1.2381439615878639E-3</v>
      </c>
      <c r="AF32" s="154">
        <f t="shared" si="7"/>
        <v>1.9173425029291166E-4</v>
      </c>
      <c r="AG32" s="154">
        <f t="shared" si="8"/>
        <v>2.6381355158565053E-3</v>
      </c>
      <c r="AH32" s="154">
        <f t="shared" si="9"/>
        <v>-2.0478393340781127E-2</v>
      </c>
      <c r="AI32" s="154">
        <f t="shared" si="10"/>
        <v>-7.9558521515874253E-2</v>
      </c>
      <c r="AJ32" s="154">
        <f t="shared" si="11"/>
        <v>-7.7025780017282415E-3</v>
      </c>
      <c r="AM32" s="126">
        <f t="shared" si="12"/>
        <v>6</v>
      </c>
      <c r="AN32" s="127">
        <f t="shared" si="13"/>
        <v>7.135656669157069E+23</v>
      </c>
      <c r="AO32" s="155">
        <f t="shared" si="14"/>
        <v>7.1628316026933871E-3</v>
      </c>
      <c r="AP32" s="155">
        <f t="shared" si="15"/>
        <v>0.62810855507842878</v>
      </c>
      <c r="AQ32" s="155">
        <f t="shared" si="16"/>
        <v>0.29315735428540396</v>
      </c>
      <c r="AR32" s="155">
        <f t="shared" si="17"/>
        <v>4.0040839519104379E-2</v>
      </c>
      <c r="AS32" s="155">
        <f t="shared" si="18"/>
        <v>2.1660918464043357E-2</v>
      </c>
      <c r="AT32" s="155">
        <f t="shared" si="19"/>
        <v>9.8695010503260933E-3</v>
      </c>
      <c r="AW32" s="126">
        <f t="shared" si="20"/>
        <v>2.5</v>
      </c>
      <c r="AX32" s="127">
        <f t="shared" si="21"/>
        <v>7.4274052826228771E+23</v>
      </c>
      <c r="AY32" s="155">
        <f t="shared" si="22"/>
        <v>7.3050320523741757E-3</v>
      </c>
      <c r="AZ32" s="155">
        <f t="shared" si="23"/>
        <v>0.66235985871472414</v>
      </c>
      <c r="BA32" s="155">
        <f t="shared" si="24"/>
        <v>0.26101122477501454</v>
      </c>
      <c r="BB32" s="155">
        <f t="shared" si="25"/>
        <v>4.0164928083788978E-2</v>
      </c>
      <c r="BC32" s="155">
        <f t="shared" si="26"/>
        <v>1.9023307143090654E-2</v>
      </c>
      <c r="BD32" s="155">
        <f t="shared" si="27"/>
        <v>1.0135649231007559E-2</v>
      </c>
    </row>
    <row r="33" spans="2:56">
      <c r="B33" s="126">
        <f t="shared" si="28"/>
        <v>2263</v>
      </c>
      <c r="C33" s="126">
        <f t="shared" si="3"/>
        <v>6.2</v>
      </c>
      <c r="D33" s="129">
        <f>courbes!AF33</f>
        <v>2.1771366057384571E+19</v>
      </c>
      <c r="E33" s="129">
        <f>courbes!AG33</f>
        <v>1.8638000000000003E+21</v>
      </c>
      <c r="F33" s="129">
        <f>courbes!AH33</f>
        <v>8.7406296869280075E+20</v>
      </c>
      <c r="G33" s="129">
        <f>courbes!AI33</f>
        <v>1.1866514368313275E+20</v>
      </c>
      <c r="H33" s="129">
        <f>courbes!AJ33</f>
        <v>6.4151970114076115E+19</v>
      </c>
      <c r="I33" s="129">
        <f>courbes!AK33</f>
        <v>2.905063778949641E+19</v>
      </c>
      <c r="J33" s="129">
        <f>courbes!AL33</f>
        <v>1.9490073532437516E+19</v>
      </c>
      <c r="K33" s="129">
        <f>courbes!AM33</f>
        <v>1.3685535944403965E+22</v>
      </c>
      <c r="N33" s="128">
        <f>[4]Eq_de_Bateman_avec_RK1!F33</f>
        <v>2.5833333333333335</v>
      </c>
      <c r="O33" s="128">
        <f>[4]Eq_de_Bateman_avec_RK1!G33</f>
        <v>81468000</v>
      </c>
      <c r="P33" s="129">
        <f>courbes!B33</f>
        <v>2.2978108861232746E+19</v>
      </c>
      <c r="Q33" s="129">
        <f>courbes!C33</f>
        <v>2.0540465355643324E+21</v>
      </c>
      <c r="R33" s="129">
        <f>courbes!D33</f>
        <v>8.0998612075549347E+20</v>
      </c>
      <c r="S33" s="129">
        <f>courbes!E33</f>
        <v>1.2338869574014344E+20</v>
      </c>
      <c r="T33" s="129">
        <f>courbes!F33</f>
        <v>5.8559982236774572E+19</v>
      </c>
      <c r="U33" s="129">
        <f>courbes!G33</f>
        <v>3.1165962271419195E+19</v>
      </c>
      <c r="V33" s="129">
        <f>courbes!H33</f>
        <v>4.5583274492105499E+19</v>
      </c>
      <c r="W33" s="129">
        <f>courbes!I33</f>
        <v>1.5375951879342897E+22</v>
      </c>
      <c r="AB33" s="126">
        <f t="shared" ref="AB33:AB51" si="29">C33</f>
        <v>6.2</v>
      </c>
      <c r="AC33" s="154">
        <f t="shared" si="4"/>
        <v>0.16160568059227556</v>
      </c>
      <c r="AD33" s="154">
        <f t="shared" si="5"/>
        <v>-3.7179343501846599E-3</v>
      </c>
      <c r="AE33" s="154">
        <f t="shared" si="6"/>
        <v>4.6857489677179531E-4</v>
      </c>
      <c r="AF33" s="154">
        <f t="shared" si="7"/>
        <v>-1.8800070660590545E-4</v>
      </c>
      <c r="AG33" s="154">
        <f t="shared" si="8"/>
        <v>1.6128576572843158E-3</v>
      </c>
      <c r="AH33" s="154">
        <f t="shared" si="9"/>
        <v>-1.7725791325382777E-2</v>
      </c>
      <c r="AI33" s="154">
        <f t="shared" si="10"/>
        <v>-7.1055908809934121E-2</v>
      </c>
      <c r="AJ33" s="154">
        <f t="shared" si="11"/>
        <v>-6.369322934536222E-3</v>
      </c>
      <c r="AM33" s="126">
        <f t="shared" si="12"/>
        <v>6.2</v>
      </c>
      <c r="AN33" s="127">
        <f t="shared" si="13"/>
        <v>7.1152917771043978E+23</v>
      </c>
      <c r="AO33" s="155">
        <f t="shared" si="14"/>
        <v>7.2823227549583345E-3</v>
      </c>
      <c r="AP33" s="155">
        <f t="shared" si="15"/>
        <v>0.62604347643671376</v>
      </c>
      <c r="AQ33" s="155">
        <f t="shared" si="16"/>
        <v>0.29482292372223867</v>
      </c>
      <c r="AR33" s="155">
        <f t="shared" si="17"/>
        <v>4.0192729298408628E-2</v>
      </c>
      <c r="AS33" s="155">
        <f t="shared" si="18"/>
        <v>2.1818889869790137E-2</v>
      </c>
      <c r="AT33" s="155">
        <f t="shared" si="19"/>
        <v>9.8396579178904858E-3</v>
      </c>
      <c r="AW33" s="126">
        <f t="shared" si="20"/>
        <v>2.5833333333333335</v>
      </c>
      <c r="AX33" s="127">
        <f t="shared" si="21"/>
        <v>7.4220176917225326E+23</v>
      </c>
      <c r="AY33" s="155">
        <f t="shared" si="22"/>
        <v>7.3683331623858924E-3</v>
      </c>
      <c r="AZ33" s="155">
        <f t="shared" si="23"/>
        <v>0.66143351092705538</v>
      </c>
      <c r="BA33" s="155">
        <f t="shared" si="24"/>
        <v>0.26191889733450913</v>
      </c>
      <c r="BB33" s="155">
        <f t="shared" si="25"/>
        <v>4.0065487457054495E-2</v>
      </c>
      <c r="BC33" s="155">
        <f t="shared" si="26"/>
        <v>1.9093885638543206E-2</v>
      </c>
      <c r="BD33" s="155">
        <f t="shared" si="27"/>
        <v>1.0119885480451937E-2</v>
      </c>
    </row>
    <row r="34" spans="2:56">
      <c r="B34" s="126">
        <f t="shared" si="28"/>
        <v>2336</v>
      </c>
      <c r="C34" s="126">
        <f t="shared" ref="C34:C65" si="30">B34/365</f>
        <v>6.4</v>
      </c>
      <c r="D34" s="129">
        <f>courbes!AF34</f>
        <v>2.2059283394886615E+19</v>
      </c>
      <c r="E34" s="129">
        <f>courbes!AG34</f>
        <v>1.8522E+21</v>
      </c>
      <c r="F34" s="129">
        <f>courbes!AH34</f>
        <v>8.7636331863844101E+20</v>
      </c>
      <c r="G34" s="129">
        <f>courbes!AI34</f>
        <v>1.1879524799854816E+20</v>
      </c>
      <c r="H34" s="129">
        <f>courbes!AJ34</f>
        <v>6.4430167724499788E+19</v>
      </c>
      <c r="I34" s="129">
        <f>courbes!AK34</f>
        <v>2.888112421689346E+19</v>
      </c>
      <c r="J34" s="129">
        <f>courbes!AL34</f>
        <v>1.8498883491210301E+19</v>
      </c>
      <c r="K34" s="129">
        <f>courbes!AM34</f>
        <v>1.3587617968018508E+22</v>
      </c>
      <c r="N34" s="128">
        <f>[4]Eq_de_Bateman_avec_RK1!F34</f>
        <v>2.6666666666666665</v>
      </c>
      <c r="O34" s="128">
        <f>[4]Eq_de_Bateman_avec_RK1!G34</f>
        <v>84096000</v>
      </c>
      <c r="P34" s="129">
        <f>courbes!B34</f>
        <v>2.3150521341150417E+19</v>
      </c>
      <c r="Q34" s="129">
        <f>courbes!C34</f>
        <v>2.0496599788387358E+21</v>
      </c>
      <c r="R34" s="129">
        <f>courbes!D34</f>
        <v>8.1217133791905867E+20</v>
      </c>
      <c r="S34" s="129">
        <f>courbes!E34</f>
        <v>1.2301387300128258E+20</v>
      </c>
      <c r="T34" s="129">
        <f>courbes!F34</f>
        <v>5.873114057259334E+19</v>
      </c>
      <c r="U34" s="129">
        <f>courbes!G34</f>
        <v>3.1094459822505075E+19</v>
      </c>
      <c r="V34" s="129">
        <f>courbes!H34</f>
        <v>4.4612240386543763E+19</v>
      </c>
      <c r="W34" s="129">
        <f>courbes!I34</f>
        <v>1.5332084082027484E+22</v>
      </c>
      <c r="AB34" s="126">
        <f t="shared" si="29"/>
        <v>6.4</v>
      </c>
      <c r="AC34" s="154">
        <f t="shared" ref="AC34:AC51" si="31">(INDEX(P:P,MATCH($C34,$N:$N,1))-D34)/D34</f>
        <v>0.14417842418561547</v>
      </c>
      <c r="AD34" s="154">
        <f t="shared" ref="AD34:AD51" si="32">(INDEX(Q:Q,MATCH($C34,$N:$N,1))-E34)/E34</f>
        <v>-2.5199712848258688E-3</v>
      </c>
      <c r="AE34" s="154">
        <f t="shared" ref="AE34:AE51" si="33">(INDEX(R:R,MATCH($C34,$N:$N,1))-F34)/F34</f>
        <v>-2.463630745577276E-4</v>
      </c>
      <c r="AF34" s="154">
        <f t="shared" ref="AF34:AF51" si="34">(INDEX(S:S,MATCH($C34,$N:$N,1))-G34)/G34</f>
        <v>-6.4740090156220511E-4</v>
      </c>
      <c r="AG34" s="154">
        <f t="shared" ref="AG34:AG51" si="35">(INDEX(T:T,MATCH($C34,$N:$N,1))-H34)/H34</f>
        <v>6.1575407041708529E-4</v>
      </c>
      <c r="AH34" s="154">
        <f t="shared" ref="AH34:AH51" si="36">(INDEX(U:U,MATCH($C34,$N:$N,1))-I34)/I34</f>
        <v>-1.4879471733448328E-2</v>
      </c>
      <c r="AI34" s="154">
        <f t="shared" ref="AI34:AI51" si="37">(INDEX(V:V,MATCH($C34,$N:$N,1))-J34)/J34</f>
        <v>-6.2267668876469645E-2</v>
      </c>
      <c r="AJ34" s="154">
        <f t="shared" ref="AJ34:AJ51" si="38">(INDEX(W:W,MATCH($C34,$N:$N,1))-K34)/K34</f>
        <v>-4.9112056754713074E-3</v>
      </c>
      <c r="AM34" s="126">
        <f t="shared" ref="AM34:AM51" si="39">C34</f>
        <v>6.4</v>
      </c>
      <c r="AN34" s="127">
        <f t="shared" ref="AN34:AN51" si="40">E34*239+F34*240+G34*241+H34*242+I34*241+D34*238</f>
        <v>7.0943521221445932E+23</v>
      </c>
      <c r="AO34" s="155">
        <f t="shared" ref="AO34:AO51" si="41">D34*238/$AN34</f>
        <v>7.4004071937663115E-3</v>
      </c>
      <c r="AP34" s="155">
        <f t="shared" ref="AP34:AP51" si="42">E34*239/$AN34</f>
        <v>0.62398340592400836</v>
      </c>
      <c r="AQ34" s="155">
        <f t="shared" ref="AQ34:AQ51" si="43">F34*240/$AN34</f>
        <v>0.29647132374033447</v>
      </c>
      <c r="AR34" s="155">
        <f t="shared" ref="AR34:AR51" si="44">G34*241/$AN34</f>
        <v>4.0355559288189777E-2</v>
      </c>
      <c r="AS34" s="155">
        <f t="shared" ref="AS34:AS51" si="45">H34*242/$AN34</f>
        <v>2.1978188171206139E-2</v>
      </c>
      <c r="AT34" s="155">
        <f t="shared" ref="AT34:AT51" si="46">I34*241/$AN34</f>
        <v>9.8111156824948215E-3</v>
      </c>
      <c r="AW34" s="126">
        <f t="shared" ref="AW34:AW65" si="47">N34</f>
        <v>2.6666666666666665</v>
      </c>
      <c r="AX34" s="127">
        <f t="shared" ref="AX34:AX65" si="48">P34*238+Q34*239+R34*240+S34*241+T34*242+U34*241</f>
        <v>7.4165272435132616E+23</v>
      </c>
      <c r="AY34" s="155">
        <f t="shared" ref="AY34:AY65" si="49">P34*238/$AX34</f>
        <v>7.429115943736163E-3</v>
      </c>
      <c r="AZ34" s="155">
        <f t="shared" ref="AZ34:AZ65" si="50">Q34*239/$AX34</f>
        <v>0.66050958738257615</v>
      </c>
      <c r="BA34" s="155">
        <f t="shared" ref="BA34:BA65" si="51">R34*240/$AX34</f>
        <v>0.26281993539639253</v>
      </c>
      <c r="BB34" s="155">
        <f t="shared" ref="BB34:BB65" si="52">S34*241/$AX34</f>
        <v>3.9973349277775211E-2</v>
      </c>
      <c r="BC34" s="155">
        <f t="shared" ref="BC34:BC65" si="53">T34*242/$AX34</f>
        <v>1.9163869492960724E-2</v>
      </c>
      <c r="BD34" s="155">
        <f t="shared" ref="BD34:BD65" si="54">U34*241/$AX34</f>
        <v>1.0104142506559274E-2</v>
      </c>
    </row>
    <row r="35" spans="2:56">
      <c r="B35" s="126">
        <f t="shared" ref="B35:B51" si="55">B34+73</f>
        <v>2409</v>
      </c>
      <c r="C35" s="126">
        <f t="shared" si="30"/>
        <v>6.6</v>
      </c>
      <c r="D35" s="129">
        <f>courbes!AF35</f>
        <v>2.2337168769409495E+19</v>
      </c>
      <c r="E35" s="129">
        <f>courbes!AG35</f>
        <v>1.8404999999999999E+21</v>
      </c>
      <c r="F35" s="129">
        <f>courbes!AH35</f>
        <v>8.7850364424003663E+20</v>
      </c>
      <c r="G35" s="129">
        <f>courbes!AI35</f>
        <v>1.1894536836248905E+20</v>
      </c>
      <c r="H35" s="129">
        <f>courbes!AJ35</f>
        <v>6.4706371086820041E+19</v>
      </c>
      <c r="I35" s="129">
        <f>courbes!AK35</f>
        <v>2.8714602060277617E+19</v>
      </c>
      <c r="J35" s="129">
        <f>courbes!AL35</f>
        <v>1.7553655891410964E+19</v>
      </c>
      <c r="K35" s="129">
        <f>courbes!AM35</f>
        <v>1.3490699154657395E+22</v>
      </c>
      <c r="N35" s="128">
        <f>[4]Eq_de_Bateman_avec_RK1!F35</f>
        <v>2.75</v>
      </c>
      <c r="O35" s="128">
        <f>[4]Eq_de_Bateman_avec_RK1!G35</f>
        <v>86724000</v>
      </c>
      <c r="P35" s="129">
        <f>courbes!B35</f>
        <v>2.3314715809106706E+19</v>
      </c>
      <c r="Q35" s="129">
        <f>courbes!C35</f>
        <v>2.0452572958180088E+21</v>
      </c>
      <c r="R35" s="129">
        <f>courbes!D35</f>
        <v>8.1432092735875318E+20</v>
      </c>
      <c r="S35" s="129">
        <f>courbes!E35</f>
        <v>1.2265947056780041E+20</v>
      </c>
      <c r="T35" s="129">
        <f>courbes!F35</f>
        <v>5.8899453849380094E+19</v>
      </c>
      <c r="U35" s="129">
        <f>courbes!G35</f>
        <v>3.102275150371858E+19</v>
      </c>
      <c r="V35" s="129">
        <f>courbes!H35</f>
        <v>4.3661985979274953E+19</v>
      </c>
      <c r="W35" s="129">
        <f>courbes!I35</f>
        <v>1.5288341440179355E+22</v>
      </c>
      <c r="AB35" s="126">
        <f t="shared" si="29"/>
        <v>6.6</v>
      </c>
      <c r="AC35" s="154">
        <f t="shared" si="31"/>
        <v>0.12599548172083858</v>
      </c>
      <c r="AD35" s="154">
        <f t="shared" si="32"/>
        <v>-3.7846257985121416E-3</v>
      </c>
      <c r="AE35" s="154">
        <f t="shared" si="33"/>
        <v>-4.4070727231429559E-5</v>
      </c>
      <c r="AF35" s="154">
        <f t="shared" si="34"/>
        <v>-8.1873891615508578E-4</v>
      </c>
      <c r="AG35" s="154">
        <f t="shared" si="35"/>
        <v>1.2394606176506665E-3</v>
      </c>
      <c r="AH35" s="154">
        <f t="shared" si="36"/>
        <v>-1.3331307009528068E-2</v>
      </c>
      <c r="AI35" s="154">
        <f t="shared" si="37"/>
        <v>-7.3159887437983587E-2</v>
      </c>
      <c r="AJ35" s="154">
        <f t="shared" si="38"/>
        <v>-6.3161089217587309E-3</v>
      </c>
      <c r="AM35" s="126">
        <f t="shared" si="39"/>
        <v>6.6</v>
      </c>
      <c r="AN35" s="127">
        <f t="shared" si="40"/>
        <v>7.072816154596255E+23</v>
      </c>
      <c r="AO35" s="155">
        <f t="shared" si="41"/>
        <v>7.516448965896998E-3</v>
      </c>
      <c r="AP35" s="155">
        <f t="shared" si="42"/>
        <v>0.62192978070573091</v>
      </c>
      <c r="AQ35" s="155">
        <f t="shared" si="43"/>
        <v>0.29810031818880839</v>
      </c>
      <c r="AR35" s="155">
        <f t="shared" si="44"/>
        <v>4.0529589839163889E-2</v>
      </c>
      <c r="AS35" s="155">
        <f t="shared" si="45"/>
        <v>2.2139613784297952E-2</v>
      </c>
      <c r="AT35" s="155">
        <f t="shared" si="46"/>
        <v>9.784248516101773E-3</v>
      </c>
      <c r="AW35" s="126">
        <f t="shared" si="47"/>
        <v>2.75</v>
      </c>
      <c r="AX35" s="127">
        <f t="shared" si="48"/>
        <v>7.4109350197995845E+23</v>
      </c>
      <c r="AY35" s="155">
        <f t="shared" si="49"/>
        <v>7.4874524574059164E-3</v>
      </c>
      <c r="AZ35" s="155">
        <f t="shared" si="50"/>
        <v>0.65958815236477852</v>
      </c>
      <c r="BA35" s="155">
        <f t="shared" si="51"/>
        <v>0.26371439237283451</v>
      </c>
      <c r="BB35" s="155">
        <f t="shared" si="52"/>
        <v>3.9888262854636827E-2</v>
      </c>
      <c r="BC35" s="155">
        <f t="shared" si="53"/>
        <v>1.9233292146630436E-2</v>
      </c>
      <c r="BD35" s="155">
        <f t="shared" si="54"/>
        <v>1.008844780371366E-2</v>
      </c>
    </row>
    <row r="36" spans="2:56">
      <c r="B36" s="126">
        <f t="shared" si="55"/>
        <v>2482</v>
      </c>
      <c r="C36" s="126">
        <f t="shared" si="30"/>
        <v>6.8</v>
      </c>
      <c r="D36" s="129">
        <f>courbes!AF36</f>
        <v>2.2607028573549044E+19</v>
      </c>
      <c r="E36" s="129">
        <f>courbes!AG36</f>
        <v>1.8288E+21</v>
      </c>
      <c r="F36" s="129">
        <f>courbes!AH36</f>
        <v>8.8049394701909059E+20</v>
      </c>
      <c r="G36" s="129">
        <f>courbes!AI36</f>
        <v>1.1911550477495538E+20</v>
      </c>
      <c r="H36" s="129">
        <f>courbes!AJ36</f>
        <v>6.4979583076985209E+19</v>
      </c>
      <c r="I36" s="129">
        <f>courbes!AK36</f>
        <v>2.8551071319648887E+19</v>
      </c>
      <c r="J36" s="129">
        <f>courbes!AL36</f>
        <v>1.6654390733039501E+19</v>
      </c>
      <c r="K36" s="129">
        <f>courbes!AM36</f>
        <v>1.3394779504320621E+22</v>
      </c>
      <c r="N36" s="128">
        <f>[4]Eq_de_Bateman_avec_RK1!F36</f>
        <v>2.8333333333333335</v>
      </c>
      <c r="O36" s="128">
        <f>[4]Eq_de_Bateman_avec_RK1!G36</f>
        <v>89352000</v>
      </c>
      <c r="P36" s="129">
        <f>courbes!B36</f>
        <v>2.3470924507610239E+19</v>
      </c>
      <c r="Q36" s="129">
        <f>courbes!C36</f>
        <v>2.0408390750748284E+21</v>
      </c>
      <c r="R36" s="129">
        <f>courbes!D36</f>
        <v>8.1643510338328815E+20</v>
      </c>
      <c r="S36" s="129">
        <f>courbes!E36</f>
        <v>1.223247221809365E+20</v>
      </c>
      <c r="T36" s="129">
        <f>courbes!F36</f>
        <v>5.9065024430795506E+19</v>
      </c>
      <c r="U36" s="129">
        <f>courbes!G36</f>
        <v>3.0950923414084243E+19</v>
      </c>
      <c r="V36" s="129">
        <f>courbes!H36</f>
        <v>4.2732066330463085E+19</v>
      </c>
      <c r="W36" s="129">
        <f>courbes!I36</f>
        <v>1.5244723596727767E+22</v>
      </c>
      <c r="AB36" s="126">
        <f t="shared" si="29"/>
        <v>6.8</v>
      </c>
      <c r="AC36" s="154">
        <f t="shared" si="31"/>
        <v>0.10960225523388259</v>
      </c>
      <c r="AD36" s="154">
        <f t="shared" si="32"/>
        <v>-2.5093347808220344E-3</v>
      </c>
      <c r="AE36" s="154">
        <f t="shared" si="33"/>
        <v>-6.9442307149746485E-4</v>
      </c>
      <c r="AF36" s="154">
        <f t="shared" si="34"/>
        <v>-1.4452450381488157E-3</v>
      </c>
      <c r="AG36" s="154">
        <f t="shared" si="35"/>
        <v>2.3185949908155205E-4</v>
      </c>
      <c r="AH36" s="154">
        <f t="shared" si="36"/>
        <v>-1.0315469514160262E-2</v>
      </c>
      <c r="AI36" s="154">
        <f t="shared" si="37"/>
        <v>-6.3976491487511847E-2</v>
      </c>
      <c r="AJ36" s="154">
        <f t="shared" si="38"/>
        <v>-4.9028088022242443E-3</v>
      </c>
      <c r="AM36" s="126">
        <f t="shared" si="39"/>
        <v>6.8</v>
      </c>
      <c r="AN36" s="127">
        <f t="shared" si="40"/>
        <v>7.0509492402851654E+23</v>
      </c>
      <c r="AO36" s="155">
        <f t="shared" si="41"/>
        <v>7.6308488646658684E-3</v>
      </c>
      <c r="AP36" s="155">
        <f t="shared" si="42"/>
        <v>0.61989270537185548</v>
      </c>
      <c r="AQ36" s="155">
        <f t="shared" si="43"/>
        <v>0.29970226714614001</v>
      </c>
      <c r="AR36" s="155">
        <f t="shared" si="44"/>
        <v>4.0713435414836768E-2</v>
      </c>
      <c r="AS36" s="155">
        <f t="shared" si="45"/>
        <v>2.2302045538473404E-2</v>
      </c>
      <c r="AT36" s="155">
        <f t="shared" si="46"/>
        <v>9.758697664028421E-3</v>
      </c>
      <c r="AW36" s="126">
        <f t="shared" si="47"/>
        <v>2.8333333333333335</v>
      </c>
      <c r="AX36" s="127">
        <f t="shared" si="48"/>
        <v>7.4052421028833682E+23</v>
      </c>
      <c r="AY36" s="155">
        <f t="shared" si="49"/>
        <v>7.5434131054759081E-3</v>
      </c>
      <c r="AZ36" s="155">
        <f t="shared" si="50"/>
        <v>0.65866926721135199</v>
      </c>
      <c r="BA36" s="155">
        <f t="shared" si="51"/>
        <v>0.26460232101755937</v>
      </c>
      <c r="BB36" s="155">
        <f t="shared" si="52"/>
        <v>3.9809985461686674E-2</v>
      </c>
      <c r="BC36" s="155">
        <f t="shared" si="53"/>
        <v>1.9302185821429094E-2</v>
      </c>
      <c r="BD36" s="155">
        <f t="shared" si="54"/>
        <v>1.0072827382496969E-2</v>
      </c>
    </row>
    <row r="37" spans="2:56">
      <c r="B37" s="126">
        <f t="shared" si="55"/>
        <v>2555</v>
      </c>
      <c r="C37" s="126">
        <f t="shared" si="30"/>
        <v>7</v>
      </c>
      <c r="D37" s="129">
        <f>courbes!AF37</f>
        <v>2.2867859611007345E+19</v>
      </c>
      <c r="E37" s="129">
        <f>courbes!AG37</f>
        <v>1.8171000000000001E+21</v>
      </c>
      <c r="F37" s="129">
        <f>courbes!AH37</f>
        <v>8.8234422849710575E+20</v>
      </c>
      <c r="G37" s="129">
        <f>courbes!AI37</f>
        <v>1.1929564921168444E+20</v>
      </c>
      <c r="H37" s="129">
        <f>courbes!AJ37</f>
        <v>6.525080081904699E+19</v>
      </c>
      <c r="I37" s="129">
        <f>courbes!AK37</f>
        <v>2.83895348563449E+19</v>
      </c>
      <c r="J37" s="129">
        <f>courbes!AL37</f>
        <v>1.579809046556801E+19</v>
      </c>
      <c r="K37" s="129">
        <f>courbes!AM37</f>
        <v>1.3297860690959506E+22</v>
      </c>
      <c r="N37" s="128">
        <f>[4]Eq_de_Bateman_avec_RK1!F37</f>
        <v>2.9166666666666665</v>
      </c>
      <c r="O37" s="128">
        <f>[4]Eq_de_Bateman_avec_RK1!G37</f>
        <v>91980000</v>
      </c>
      <c r="P37" s="129">
        <f>courbes!B37</f>
        <v>2.3619374661701296E+19</v>
      </c>
      <c r="Q37" s="129">
        <f>courbes!C37</f>
        <v>2.0364058935082484E+21</v>
      </c>
      <c r="R37" s="129">
        <f>courbes!D37</f>
        <v>8.1851408106820023E+20</v>
      </c>
      <c r="S37" s="129">
        <f>courbes!E37</f>
        <v>1.2200888567606313E+20</v>
      </c>
      <c r="T37" s="129">
        <f>courbes!F37</f>
        <v>5.9227951033080545E+19</v>
      </c>
      <c r="U37" s="129">
        <f>courbes!G37</f>
        <v>3.0879056990838649E+19</v>
      </c>
      <c r="V37" s="129">
        <f>courbes!H37</f>
        <v>4.1822046028012462E+19</v>
      </c>
      <c r="W37" s="129">
        <f>courbes!I37</f>
        <v>1.5201230195620722E+22</v>
      </c>
      <c r="AB37" s="126">
        <f t="shared" si="29"/>
        <v>7</v>
      </c>
      <c r="AC37" s="154">
        <f t="shared" si="31"/>
        <v>9.2108915755436407E-2</v>
      </c>
      <c r="AD37" s="154">
        <f t="shared" si="32"/>
        <v>-3.7736055491821977E-3</v>
      </c>
      <c r="AE37" s="154">
        <f t="shared" si="33"/>
        <v>-5.9196359506166383E-4</v>
      </c>
      <c r="AF37" s="154">
        <f t="shared" si="34"/>
        <v>-1.6675497923632403E-3</v>
      </c>
      <c r="AG37" s="154">
        <f t="shared" si="35"/>
        <v>7.908447857031633E-4</v>
      </c>
      <c r="AH37" s="154">
        <f t="shared" si="36"/>
        <v>-8.4298129167233466E-3</v>
      </c>
      <c r="AI37" s="154">
        <f t="shared" si="37"/>
        <v>-7.446455030855359E-2</v>
      </c>
      <c r="AJ37" s="154">
        <f t="shared" si="38"/>
        <v>-6.204939133383016E-3</v>
      </c>
      <c r="AM37" s="126">
        <f t="shared" si="39"/>
        <v>7</v>
      </c>
      <c r="AN37" s="127">
        <f t="shared" si="40"/>
        <v>7.0287488858532971E+23</v>
      </c>
      <c r="AO37" s="155">
        <f t="shared" si="41"/>
        <v>7.7432707809122672E-3</v>
      </c>
      <c r="AP37" s="155">
        <f t="shared" si="42"/>
        <v>0.61787226582256416</v>
      </c>
      <c r="AQ37" s="155">
        <f t="shared" si="43"/>
        <v>0.30128066641492651</v>
      </c>
      <c r="AR37" s="155">
        <f t="shared" si="44"/>
        <v>4.0903796574496117E-2</v>
      </c>
      <c r="AS37" s="155">
        <f t="shared" si="45"/>
        <v>2.2465867047820085E-2</v>
      </c>
      <c r="AT37" s="155">
        <f t="shared" si="46"/>
        <v>9.7341333592806389E-3</v>
      </c>
      <c r="AW37" s="126">
        <f t="shared" si="47"/>
        <v>2.9166666666666665</v>
      </c>
      <c r="AX37" s="127">
        <f t="shared" si="48"/>
        <v>7.3994495750705319E+23</v>
      </c>
      <c r="AY37" s="155">
        <f t="shared" si="49"/>
        <v>7.5970666634772284E-3</v>
      </c>
      <c r="AZ37" s="155">
        <f t="shared" si="50"/>
        <v>0.65775299042271274</v>
      </c>
      <c r="BA37" s="155">
        <f t="shared" si="51"/>
        <v>0.26548377343931767</v>
      </c>
      <c r="BB37" s="155">
        <f t="shared" si="52"/>
        <v>3.973828208384126E-2</v>
      </c>
      <c r="BC37" s="155">
        <f t="shared" si="53"/>
        <v>1.9370581560951939E-2</v>
      </c>
      <c r="BD37" s="155">
        <f t="shared" si="54"/>
        <v>1.0057305829699067E-2</v>
      </c>
    </row>
    <row r="38" spans="2:56">
      <c r="B38" s="126">
        <f t="shared" si="55"/>
        <v>2628</v>
      </c>
      <c r="C38" s="126">
        <f t="shared" si="30"/>
        <v>7.2</v>
      </c>
      <c r="D38" s="129">
        <f>courbes!AF38</f>
        <v>2.3118658685486473E+19</v>
      </c>
      <c r="E38" s="129">
        <f>courbes!AG38</f>
        <v>1.8052999999999999E+21</v>
      </c>
      <c r="F38" s="129">
        <f>courbes!AH38</f>
        <v>8.8403448563107627E+20</v>
      </c>
      <c r="G38" s="129">
        <f>courbes!AI38</f>
        <v>1.194858016726762E+20</v>
      </c>
      <c r="H38" s="129">
        <f>courbes!AJ38</f>
        <v>6.5519027188953686E+19</v>
      </c>
      <c r="I38" s="129">
        <f>courbes!AK38</f>
        <v>2.8231986947690394E+19</v>
      </c>
      <c r="J38" s="129">
        <f>courbes!AL38</f>
        <v>1.4982756721977881E+19</v>
      </c>
      <c r="K38" s="129">
        <f>courbes!AM38</f>
        <v>1.3201941040622733E+22</v>
      </c>
      <c r="N38" s="128">
        <f>[4]Eq_de_Bateman_avec_RK1!F38</f>
        <v>3</v>
      </c>
      <c r="O38" s="128">
        <f>[4]Eq_de_Bateman_avec_RK1!G38</f>
        <v>94608000</v>
      </c>
      <c r="P38" s="129">
        <f>courbes!B38</f>
        <v>2.3760288556378804E+19</v>
      </c>
      <c r="Q38" s="129">
        <f>courbes!C38</f>
        <v>2.0319583165587972E+21</v>
      </c>
      <c r="R38" s="129">
        <f>courbes!D38</f>
        <v>8.2055807620096288E+20</v>
      </c>
      <c r="S38" s="129">
        <f>courbes!E38</f>
        <v>1.2171124225622367E+20</v>
      </c>
      <c r="T38" s="129">
        <f>courbes!F38</f>
        <v>5.9388328838575292E+19</v>
      </c>
      <c r="U38" s="129">
        <f>courbes!G38</f>
        <v>3.0807229191701004E+19</v>
      </c>
      <c r="V38" s="129">
        <f>courbes!H38</f>
        <v>4.0931498983547191E+19</v>
      </c>
      <c r="W38" s="129">
        <f>courbes!I38</f>
        <v>1.5157860881822059E+22</v>
      </c>
      <c r="AB38" s="126">
        <f t="shared" si="29"/>
        <v>7.2</v>
      </c>
      <c r="AC38" s="154">
        <f t="shared" si="31"/>
        <v>7.6801476474264482E-2</v>
      </c>
      <c r="AD38" s="154">
        <f t="shared" si="32"/>
        <v>-2.4123889167587762E-3</v>
      </c>
      <c r="AE38" s="154">
        <f t="shared" si="33"/>
        <v>-1.1785535165593744E-3</v>
      </c>
      <c r="AF38" s="154">
        <f t="shared" si="34"/>
        <v>-2.3569405480514736E-3</v>
      </c>
      <c r="AG38" s="154">
        <f t="shared" si="35"/>
        <v>-2.1723306437227116E-4</v>
      </c>
      <c r="AH38" s="154">
        <f t="shared" si="36"/>
        <v>-5.2575876200832445E-3</v>
      </c>
      <c r="AI38" s="154">
        <f t="shared" si="37"/>
        <v>-6.4868127020208083E-2</v>
      </c>
      <c r="AJ38" s="154">
        <f t="shared" si="38"/>
        <v>-4.6881231055376209E-3</v>
      </c>
      <c r="AM38" s="126">
        <f t="shared" si="39"/>
        <v>7.2</v>
      </c>
      <c r="AN38" s="127">
        <f t="shared" si="40"/>
        <v>7.0059280895583935E+23</v>
      </c>
      <c r="AO38" s="155">
        <f t="shared" si="41"/>
        <v>7.8536928966574712E-3</v>
      </c>
      <c r="AP38" s="155">
        <f t="shared" si="42"/>
        <v>0.61585944714884555</v>
      </c>
      <c r="AQ38" s="155">
        <f t="shared" si="43"/>
        <v>0.30284107093201973</v>
      </c>
      <c r="AR38" s="155">
        <f t="shared" si="44"/>
        <v>4.1102446149900572E-2</v>
      </c>
      <c r="AS38" s="155">
        <f t="shared" si="45"/>
        <v>2.2631697581021307E-2</v>
      </c>
      <c r="AT38" s="155">
        <f t="shared" si="46"/>
        <v>9.7116452915551651E-3</v>
      </c>
      <c r="AW38" s="126">
        <f t="shared" si="47"/>
        <v>3</v>
      </c>
      <c r="AX38" s="127">
        <f t="shared" si="48"/>
        <v>7.3935585182008684E+23</v>
      </c>
      <c r="AY38" s="155">
        <f t="shared" si="49"/>
        <v>7.6484803122843451E-3</v>
      </c>
      <c r="AZ38" s="155">
        <f t="shared" si="50"/>
        <v>0.65683937776653534</v>
      </c>
      <c r="BA38" s="155">
        <f t="shared" si="51"/>
        <v>0.26635880111509896</v>
      </c>
      <c r="BB38" s="155">
        <f t="shared" si="52"/>
        <v>3.9672925170662732E-2</v>
      </c>
      <c r="BC38" s="155">
        <f t="shared" si="53"/>
        <v>1.9438509269326058E-2</v>
      </c>
      <c r="BD38" s="155">
        <f t="shared" si="54"/>
        <v>1.0041906366092593E-2</v>
      </c>
    </row>
    <row r="39" spans="2:56">
      <c r="B39" s="126">
        <f t="shared" si="55"/>
        <v>2701</v>
      </c>
      <c r="C39" s="126">
        <f t="shared" si="30"/>
        <v>7.4</v>
      </c>
      <c r="D39" s="129">
        <f>courbes!AF39</f>
        <v>2.3361432189582275E+19</v>
      </c>
      <c r="E39" s="129">
        <f>courbes!AG39</f>
        <v>1.7934999999999999E+21</v>
      </c>
      <c r="F39" s="129">
        <f>courbes!AH39</f>
        <v>8.8557471994250501E+20</v>
      </c>
      <c r="G39" s="129">
        <f>courbes!AI39</f>
        <v>1.1968596215793073E+20</v>
      </c>
      <c r="H39" s="129">
        <f>courbes!AJ39</f>
        <v>6.5785259310756979E+19</v>
      </c>
      <c r="I39" s="129">
        <f>courbes!AK39</f>
        <v>2.8075436177698251E+19</v>
      </c>
      <c r="J39" s="129">
        <f>courbes!AL39</f>
        <v>1.4206391135250518E+19</v>
      </c>
      <c r="K39" s="129">
        <f>courbes!AM39</f>
        <v>1.3105022227261619E+22</v>
      </c>
      <c r="N39" s="128">
        <f>[4]Eq_de_Bateman_avec_RK1!F39</f>
        <v>3.0833333333333335</v>
      </c>
      <c r="O39" s="128">
        <f>[4]Eq_de_Bateman_avec_RK1!G39</f>
        <v>97236000</v>
      </c>
      <c r="P39" s="129">
        <f>courbes!B39</f>
        <v>2.3893883613768274E+19</v>
      </c>
      <c r="Q39" s="129">
        <f>courbes!C39</f>
        <v>2.0274968984195831E+21</v>
      </c>
      <c r="R39" s="129">
        <f>courbes!D39</f>
        <v>8.2256730522743236E+20</v>
      </c>
      <c r="S39" s="129">
        <f>courbes!E39</f>
        <v>1.214310957874426E+20</v>
      </c>
      <c r="T39" s="129">
        <f>courbes!F39</f>
        <v>5.9546249605878137E+19</v>
      </c>
      <c r="U39" s="129">
        <f>courbes!G39</f>
        <v>3.073551267088649E+19</v>
      </c>
      <c r="V39" s="129">
        <f>courbes!H39</f>
        <v>4.0060008232759345E+19</v>
      </c>
      <c r="W39" s="129">
        <f>courbes!I39</f>
        <v>1.5114615301308554E+22</v>
      </c>
      <c r="AB39" s="126">
        <f t="shared" si="29"/>
        <v>7.4</v>
      </c>
      <c r="AC39" s="154">
        <f t="shared" si="31"/>
        <v>6.1997906037606437E-2</v>
      </c>
      <c r="AD39" s="154">
        <f t="shared" si="32"/>
        <v>-1.0260462601773854E-3</v>
      </c>
      <c r="AE39" s="154">
        <f t="shared" si="33"/>
        <v>-1.7020712320754319E-3</v>
      </c>
      <c r="AF39" s="154">
        <f t="shared" si="34"/>
        <v>-3.1027683584587519E-3</v>
      </c>
      <c r="AG39" s="154">
        <f t="shared" si="35"/>
        <v>-1.2192763251871769E-3</v>
      </c>
      <c r="AH39" s="154">
        <f t="shared" si="36"/>
        <v>-1.9684725575593929E-3</v>
      </c>
      <c r="AI39" s="154">
        <f t="shared" si="37"/>
        <v>-5.4943204477761159E-2</v>
      </c>
      <c r="AJ39" s="154">
        <f t="shared" si="38"/>
        <v>-3.0403627869936799E-3</v>
      </c>
      <c r="AM39" s="126">
        <f t="shared" si="39"/>
        <v>7.4</v>
      </c>
      <c r="AN39" s="127">
        <f t="shared" si="40"/>
        <v>6.9827498339941157E+23</v>
      </c>
      <c r="AO39" s="155">
        <f t="shared" si="41"/>
        <v>7.9625090305437216E-3</v>
      </c>
      <c r="AP39" s="155">
        <f t="shared" si="42"/>
        <v>0.61386489590851523</v>
      </c>
      <c r="AQ39" s="155">
        <f t="shared" si="43"/>
        <v>0.30437569415920207</v>
      </c>
      <c r="AR39" s="155">
        <f t="shared" si="44"/>
        <v>4.1307962573195078E-2</v>
      </c>
      <c r="AS39" s="155">
        <f t="shared" si="45"/>
        <v>2.2799087940541283E-2</v>
      </c>
      <c r="AT39" s="155">
        <f t="shared" si="46"/>
        <v>9.6898503880025726E-3</v>
      </c>
      <c r="AW39" s="126">
        <f t="shared" si="47"/>
        <v>3.0833333333333335</v>
      </c>
      <c r="AX39" s="127">
        <f t="shared" si="48"/>
        <v>7.3875700132002095E+23</v>
      </c>
      <c r="AY39" s="155">
        <f t="shared" si="49"/>
        <v>7.6977196695472237E-3</v>
      </c>
      <c r="AZ39" s="155">
        <f t="shared" si="50"/>
        <v>0.65592848237842893</v>
      </c>
      <c r="BA39" s="155">
        <f t="shared" si="51"/>
        <v>0.26722745490308442</v>
      </c>
      <c r="BB39" s="155">
        <f t="shared" si="52"/>
        <v>3.9613694398134648E-2</v>
      </c>
      <c r="BC39" s="155">
        <f t="shared" si="53"/>
        <v>1.950599774875119E-2</v>
      </c>
      <c r="BD39" s="155">
        <f t="shared" si="54"/>
        <v>1.0026650902053388E-2</v>
      </c>
    </row>
    <row r="40" spans="2:56">
      <c r="B40" s="126">
        <f t="shared" si="55"/>
        <v>2774</v>
      </c>
      <c r="C40" s="126">
        <f t="shared" si="30"/>
        <v>7.6</v>
      </c>
      <c r="D40" s="129">
        <f>courbes!AF40</f>
        <v>2.359618012329474E+19</v>
      </c>
      <c r="E40" s="129">
        <f>courbes!AG40</f>
        <v>1.7816999999999999E+21</v>
      </c>
      <c r="F40" s="129">
        <f>courbes!AH40</f>
        <v>8.8697493295289467E+20</v>
      </c>
      <c r="G40" s="129">
        <f>courbes!AI40</f>
        <v>1.1989613066744794E+20</v>
      </c>
      <c r="H40" s="129">
        <f>courbes!AJ40</f>
        <v>6.6050494308508574E+19</v>
      </c>
      <c r="I40" s="129">
        <f>courbes!AK40</f>
        <v>2.7922873962355597E+19</v>
      </c>
      <c r="J40" s="129">
        <f>courbes!AL40</f>
        <v>1.3467994521876617E+19</v>
      </c>
      <c r="K40" s="129">
        <f>courbes!AM40</f>
        <v>1.3010101739949188E+22</v>
      </c>
      <c r="N40" s="128">
        <f>[4]Eq_de_Bateman_avec_RK1!F40</f>
        <v>3.1666666666666665</v>
      </c>
      <c r="O40" s="128">
        <f>[4]Eq_de_Bateman_avec_RK1!G40</f>
        <v>99864000</v>
      </c>
      <c r="P40" s="129">
        <f>courbes!B40</f>
        <v>2.4020372469987258E+19</v>
      </c>
      <c r="Q40" s="129">
        <f>courbes!C40</f>
        <v>2.0230221822434843E+21</v>
      </c>
      <c r="R40" s="129">
        <f>courbes!D40</f>
        <v>8.2454198519959978E+20</v>
      </c>
      <c r="S40" s="129">
        <f>courbes!E40</f>
        <v>1.2116777211515352E+20</v>
      </c>
      <c r="T40" s="129">
        <f>courbes!F40</f>
        <v>5.9701801776744047E+19</v>
      </c>
      <c r="U40" s="129">
        <f>courbes!G40</f>
        <v>3.0663975949064385E+19</v>
      </c>
      <c r="V40" s="129">
        <f>courbes!H40</f>
        <v>3.9207165740032295E+19</v>
      </c>
      <c r="W40" s="129">
        <f>courbes!I40</f>
        <v>1.5071493101067031E+22</v>
      </c>
      <c r="AB40" s="126">
        <f t="shared" si="29"/>
        <v>7.6</v>
      </c>
      <c r="AC40" s="154">
        <f t="shared" si="31"/>
        <v>4.5756557545681337E-2</v>
      </c>
      <c r="AD40" s="154">
        <f t="shared" si="32"/>
        <v>-2.2116080427551192E-3</v>
      </c>
      <c r="AE40" s="154">
        <f t="shared" si="33"/>
        <v>-1.6590764569815039E-3</v>
      </c>
      <c r="AF40" s="154">
        <f t="shared" si="34"/>
        <v>-3.4397611747380109E-3</v>
      </c>
      <c r="AG40" s="154">
        <f t="shared" si="35"/>
        <v>-7.4077942591943666E-4</v>
      </c>
      <c r="AH40" s="154">
        <f t="shared" si="36"/>
        <v>2.919370768010097E-4</v>
      </c>
      <c r="AI40" s="154">
        <f t="shared" si="37"/>
        <v>-6.4865137721604377E-2</v>
      </c>
      <c r="AJ40" s="154">
        <f t="shared" si="38"/>
        <v>-4.3374125166725664E-3</v>
      </c>
      <c r="AM40" s="126">
        <f t="shared" si="39"/>
        <v>7.6</v>
      </c>
      <c r="AN40" s="127">
        <f t="shared" si="40"/>
        <v>6.9592477451648066E+23</v>
      </c>
      <c r="AO40" s="155">
        <f t="shared" si="41"/>
        <v>8.0696809123457277E-3</v>
      </c>
      <c r="AP40" s="155">
        <f t="shared" si="42"/>
        <v>0.6118855307254415</v>
      </c>
      <c r="AQ40" s="155">
        <f t="shared" si="43"/>
        <v>0.30588648616022723</v>
      </c>
      <c r="AR40" s="155">
        <f t="shared" si="44"/>
        <v>4.152024550488348E-2</v>
      </c>
      <c r="AS40" s="155">
        <f t="shared" si="45"/>
        <v>2.2968315266207757E-2</v>
      </c>
      <c r="AT40" s="155">
        <f t="shared" si="46"/>
        <v>9.6697414308941736E-3</v>
      </c>
      <c r="AW40" s="126">
        <f t="shared" si="47"/>
        <v>3.1666666666666665</v>
      </c>
      <c r="AX40" s="127">
        <f t="shared" si="48"/>
        <v>7.3814851396540233E+23</v>
      </c>
      <c r="AY40" s="155">
        <f t="shared" si="49"/>
        <v>7.7448488206601209E-3</v>
      </c>
      <c r="AZ40" s="155">
        <f t="shared" si="50"/>
        <v>0.65502035485890708</v>
      </c>
      <c r="BA40" s="155">
        <f t="shared" si="51"/>
        <v>0.26808978505534081</v>
      </c>
      <c r="BB40" s="155">
        <f t="shared" si="52"/>
        <v>3.9560376438176635E-2</v>
      </c>
      <c r="BC40" s="155">
        <f t="shared" si="53"/>
        <v>1.95730747358102E-2</v>
      </c>
      <c r="BD40" s="155">
        <f t="shared" si="54"/>
        <v>1.0011560091105045E-2</v>
      </c>
    </row>
    <row r="41" spans="2:56">
      <c r="B41" s="126">
        <f t="shared" si="55"/>
        <v>2847</v>
      </c>
      <c r="C41" s="126">
        <f t="shared" si="30"/>
        <v>7.8</v>
      </c>
      <c r="D41" s="129">
        <f>courbes!AF41</f>
        <v>2.3820896094028046E+19</v>
      </c>
      <c r="E41" s="129">
        <f>courbes!AG41</f>
        <v>1.7698E+21</v>
      </c>
      <c r="F41" s="129">
        <f>courbes!AH41</f>
        <v>8.8822512314074281E+20</v>
      </c>
      <c r="G41" s="129">
        <f>courbes!AI41</f>
        <v>1.2010629917696518E+20</v>
      </c>
      <c r="H41" s="129">
        <f>courbes!AJ41</f>
        <v>6.6312737934105068E+19</v>
      </c>
      <c r="I41" s="129">
        <f>courbes!AK41</f>
        <v>2.7772306024337682E+19</v>
      </c>
      <c r="J41" s="129">
        <f>courbes!AL41</f>
        <v>1.2765568514837572E+19</v>
      </c>
      <c r="K41" s="129">
        <f>courbes!AM41</f>
        <v>1.2914182089612414E+22</v>
      </c>
      <c r="N41" s="128">
        <f>[4]Eq_de_Bateman_avec_RK1!F41</f>
        <v>3.25</v>
      </c>
      <c r="O41" s="128">
        <f>[4]Eq_de_Bateman_avec_RK1!G41</f>
        <v>102492000</v>
      </c>
      <c r="P41" s="129">
        <f>courbes!B41</f>
        <v>2.413996305166744E+19</v>
      </c>
      <c r="Q41" s="129">
        <f>courbes!C41</f>
        <v>2.0185347003465039E+21</v>
      </c>
      <c r="R41" s="129">
        <f>courbes!D41</f>
        <v>8.2648233372462272E+20</v>
      </c>
      <c r="S41" s="129">
        <f>courbes!E41</f>
        <v>1.2092061840111087E+20</v>
      </c>
      <c r="T41" s="129">
        <f>courbes!F41</f>
        <v>5.9855070579817824E+19</v>
      </c>
      <c r="U41" s="129">
        <f>courbes!G41</f>
        <v>3.0592683577456685E+19</v>
      </c>
      <c r="V41" s="129">
        <f>courbes!H41</f>
        <v>3.8372572207247589E+19</v>
      </c>
      <c r="W41" s="129">
        <f>courbes!I41</f>
        <v>1.5028493929091479E+22</v>
      </c>
      <c r="AB41" s="126">
        <f t="shared" si="29"/>
        <v>7.8</v>
      </c>
      <c r="AC41" s="154">
        <f t="shared" si="31"/>
        <v>3.1964204645261382E-2</v>
      </c>
      <c r="AD41" s="154">
        <f t="shared" si="32"/>
        <v>-7.2712393279134133E-4</v>
      </c>
      <c r="AE41" s="154">
        <f t="shared" si="33"/>
        <v>-2.1161235072996586E-3</v>
      </c>
      <c r="AF41" s="154">
        <f t="shared" si="34"/>
        <v>-4.2361814126303087E-3</v>
      </c>
      <c r="AG41" s="154">
        <f t="shared" si="35"/>
        <v>-1.7491889416046101E-3</v>
      </c>
      <c r="AH41" s="154">
        <f t="shared" si="36"/>
        <v>3.7121855696872863E-3</v>
      </c>
      <c r="AI41" s="154">
        <f t="shared" si="37"/>
        <v>-5.4544329610328041E-2</v>
      </c>
      <c r="AJ41" s="154">
        <f t="shared" si="38"/>
        <v>-2.6574723524894236E-3</v>
      </c>
      <c r="AM41" s="126">
        <f t="shared" si="39"/>
        <v>7.8</v>
      </c>
      <c r="AN41" s="127">
        <f t="shared" si="40"/>
        <v>6.9351202925772432E+23</v>
      </c>
      <c r="AO41" s="155">
        <f t="shared" si="41"/>
        <v>8.1748737313852866E-3</v>
      </c>
      <c r="AP41" s="155">
        <f t="shared" si="42"/>
        <v>0.60991328506979725</v>
      </c>
      <c r="AQ41" s="155">
        <f t="shared" si="43"/>
        <v>0.30738331933757723</v>
      </c>
      <c r="AR41" s="155">
        <f t="shared" si="44"/>
        <v>4.1737730393270195E-2</v>
      </c>
      <c r="AS41" s="155">
        <f t="shared" si="45"/>
        <v>2.3139732121488198E-2</v>
      </c>
      <c r="AT41" s="155">
        <f t="shared" si="46"/>
        <v>9.6510593464818901E-3</v>
      </c>
      <c r="AW41" s="126">
        <f t="shared" si="47"/>
        <v>3.25</v>
      </c>
      <c r="AX41" s="127">
        <f t="shared" si="48"/>
        <v>7.3753049754017138E+23</v>
      </c>
      <c r="AY41" s="155">
        <f t="shared" si="49"/>
        <v>7.7899303492652092E-3</v>
      </c>
      <c r="AZ41" s="155">
        <f t="shared" si="50"/>
        <v>0.65411504336678328</v>
      </c>
      <c r="BA41" s="155">
        <f t="shared" si="51"/>
        <v>0.26894584123025439</v>
      </c>
      <c r="BB41" s="155">
        <f t="shared" si="52"/>
        <v>3.951276473564462E-2</v>
      </c>
      <c r="BC41" s="155">
        <f t="shared" si="53"/>
        <v>1.9639766936589573E-2</v>
      </c>
      <c r="BD41" s="155">
        <f t="shared" si="54"/>
        <v>9.9966533814630238E-3</v>
      </c>
    </row>
    <row r="42" spans="2:56">
      <c r="B42" s="126">
        <f t="shared" si="55"/>
        <v>2920</v>
      </c>
      <c r="C42" s="126">
        <f t="shared" si="30"/>
        <v>8</v>
      </c>
      <c r="D42" s="129">
        <f>courbes!AF42</f>
        <v>2.4037586494378017E+19</v>
      </c>
      <c r="E42" s="129">
        <f>courbes!AG42</f>
        <v>1.7579000000000001E+21</v>
      </c>
      <c r="F42" s="129">
        <f>courbes!AH42</f>
        <v>8.8933529202755174E+20</v>
      </c>
      <c r="G42" s="129">
        <f>courbes!AI42</f>
        <v>1.2032647571074513E+20</v>
      </c>
      <c r="H42" s="129">
        <f>courbes!AJ42</f>
        <v>6.6572987311598182E+19</v>
      </c>
      <c r="I42" s="129">
        <f>courbes!AK42</f>
        <v>2.7623732363644506E+19</v>
      </c>
      <c r="J42" s="129">
        <f>courbes!AL42</f>
        <v>1.2098113930624088E+19</v>
      </c>
      <c r="K42" s="129">
        <f>courbes!AM42</f>
        <v>1.2818262439275641E+22</v>
      </c>
      <c r="N42" s="128">
        <f>[4]Eq_de_Bateman_avec_RK1!F42</f>
        <v>3.3333333333333335</v>
      </c>
      <c r="O42" s="128">
        <f>[4]Eq_de_Bateman_avec_RK1!G42</f>
        <v>105120000</v>
      </c>
      <c r="P42" s="129">
        <f>courbes!B42</f>
        <v>2.4252858652094788E+19</v>
      </c>
      <c r="Q42" s="129">
        <f>courbes!C42</f>
        <v>2.0140349744073626E+21</v>
      </c>
      <c r="R42" s="129">
        <f>courbes!D42</f>
        <v>8.2838856891511092E+20</v>
      </c>
      <c r="S42" s="129">
        <f>courbes!E42</f>
        <v>1.2068900248017048E+20</v>
      </c>
      <c r="T42" s="129">
        <f>courbes!F42</f>
        <v>6.0006138131295248E+19</v>
      </c>
      <c r="U42" s="129">
        <f>courbes!G42</f>
        <v>3.0521696296266809E+19</v>
      </c>
      <c r="V42" s="129">
        <f>courbes!H42</f>
        <v>3.7555836886685843E+19</v>
      </c>
      <c r="W42" s="129">
        <f>courbes!I42</f>
        <v>1.4985617434380178E+22</v>
      </c>
      <c r="AB42" s="126">
        <f t="shared" si="29"/>
        <v>8</v>
      </c>
      <c r="AC42" s="154">
        <f t="shared" si="31"/>
        <v>1.6598454298015243E-2</v>
      </c>
      <c r="AD42" s="154">
        <f t="shared" si="32"/>
        <v>-1.8332562392679237E-3</v>
      </c>
      <c r="AE42" s="154">
        <f t="shared" si="33"/>
        <v>-2.1311344680975276E-3</v>
      </c>
      <c r="AF42" s="154">
        <f t="shared" si="34"/>
        <v>-4.6430637782939529E-3</v>
      </c>
      <c r="AG42" s="154">
        <f t="shared" si="35"/>
        <v>-1.3085426669777551E-3</v>
      </c>
      <c r="AH42" s="154">
        <f t="shared" si="36"/>
        <v>6.2873258622260847E-3</v>
      </c>
      <c r="AI42" s="154">
        <f t="shared" si="37"/>
        <v>-6.4073718323870377E-2</v>
      </c>
      <c r="AJ42" s="154">
        <f t="shared" si="38"/>
        <v>-3.7699708063421021E-3</v>
      </c>
      <c r="AM42" s="126">
        <f t="shared" si="39"/>
        <v>8</v>
      </c>
      <c r="AN42" s="127">
        <f t="shared" si="40"/>
        <v>6.9106617874760906E+23</v>
      </c>
      <c r="AO42" s="155">
        <f t="shared" si="41"/>
        <v>8.2784337616258457E-3</v>
      </c>
      <c r="AP42" s="155">
        <f t="shared" si="42"/>
        <v>0.6079563910382636</v>
      </c>
      <c r="AQ42" s="155">
        <f t="shared" si="43"/>
        <v>0.30885677327375771</v>
      </c>
      <c r="AR42" s="155">
        <f t="shared" si="44"/>
        <v>4.1962233919250247E-2</v>
      </c>
      <c r="AS42" s="155">
        <f t="shared" si="45"/>
        <v>2.3312764283448882E-2</v>
      </c>
      <c r="AT42" s="155">
        <f t="shared" si="46"/>
        <v>9.6334037236536652E-3</v>
      </c>
      <c r="AW42" s="126">
        <f t="shared" si="47"/>
        <v>3.3333333333333335</v>
      </c>
      <c r="AX42" s="127">
        <f t="shared" si="48"/>
        <v>7.3690305961507973E+23</v>
      </c>
      <c r="AY42" s="155">
        <f t="shared" si="49"/>
        <v>7.8330253672900339E-3</v>
      </c>
      <c r="AZ42" s="155">
        <f t="shared" si="50"/>
        <v>0.65321259370912976</v>
      </c>
      <c r="BA42" s="155">
        <f t="shared" si="51"/>
        <v>0.26979567250470698</v>
      </c>
      <c r="BB42" s="155">
        <f t="shared" si="52"/>
        <v>3.9470659292572548E-2</v>
      </c>
      <c r="BC42" s="155">
        <f t="shared" si="53"/>
        <v>1.9706100060649399E-2</v>
      </c>
      <c r="BD42" s="155">
        <f t="shared" si="54"/>
        <v>9.9819490656512626E-3</v>
      </c>
    </row>
    <row r="43" spans="2:56">
      <c r="B43" s="126">
        <f t="shared" si="55"/>
        <v>2993</v>
      </c>
      <c r="C43" s="126">
        <f t="shared" si="30"/>
        <v>8.1999999999999993</v>
      </c>
      <c r="D43" s="129">
        <f>courbes!AF43</f>
        <v>2.4245248128046739E+19</v>
      </c>
      <c r="E43" s="129">
        <f>courbes!AG43</f>
        <v>1.7459000000000001E+21</v>
      </c>
      <c r="F43" s="129">
        <f>courbes!AH43</f>
        <v>8.9029543809181902E+20</v>
      </c>
      <c r="G43" s="129">
        <f>courbes!AI43</f>
        <v>1.2053664422026237E+20</v>
      </c>
      <c r="H43" s="129">
        <f>courbes!AJ43</f>
        <v>6.6831242440987886E+19</v>
      </c>
      <c r="I43" s="129">
        <f>courbes!AK43</f>
        <v>2.7477152980276072E+19</v>
      </c>
      <c r="J43" s="129">
        <f>courbes!AL43</f>
        <v>1.1463632402217556E+19</v>
      </c>
      <c r="K43" s="129">
        <f>courbes!AM43</f>
        <v>1.2723341951963209E+22</v>
      </c>
      <c r="N43" s="128">
        <f>[4]Eq_de_Bateman_avec_RK1!F43</f>
        <v>3.4166666666666665</v>
      </c>
      <c r="O43" s="128">
        <f>[4]Eq_de_Bateman_avec_RK1!G43</f>
        <v>107748000</v>
      </c>
      <c r="P43" s="129">
        <f>courbes!B43</f>
        <v>2.4359258006931526E+19</v>
      </c>
      <c r="Q43" s="129">
        <f>courbes!C43</f>
        <v>2.0095235156634058E+21</v>
      </c>
      <c r="R43" s="129">
        <f>courbes!D43</f>
        <v>8.3026090934063949E+20</v>
      </c>
      <c r="S43" s="129">
        <f>courbes!E43</f>
        <v>1.2047231223634256E+20</v>
      </c>
      <c r="T43" s="129">
        <f>courbes!F43</f>
        <v>6.0155083532602335E+19</v>
      </c>
      <c r="U43" s="129">
        <f>courbes!G43</f>
        <v>3.0451071187622023E+19</v>
      </c>
      <c r="V43" s="129">
        <f>courbes!H43</f>
        <v>3.6756577397933982E+19</v>
      </c>
      <c r="W43" s="129">
        <f>courbes!I43</f>
        <v>1.4942863266932834E+22</v>
      </c>
      <c r="AB43" s="126">
        <f t="shared" si="29"/>
        <v>8.1999999999999993</v>
      </c>
      <c r="AC43" s="154">
        <f t="shared" si="31"/>
        <v>3.7565515823896434E-3</v>
      </c>
      <c r="AD43" s="154">
        <f t="shared" si="32"/>
        <v>-2.4181257459753171E-4</v>
      </c>
      <c r="AE43" s="154">
        <f t="shared" si="33"/>
        <v>-2.5115393768758614E-3</v>
      </c>
      <c r="AF43" s="154">
        <f t="shared" si="34"/>
        <v>-5.4476253523125682E-3</v>
      </c>
      <c r="AG43" s="154">
        <f t="shared" si="35"/>
        <v>-2.3191501164538885E-3</v>
      </c>
      <c r="AH43" s="154">
        <f t="shared" si="36"/>
        <v>9.8895772256996153E-3</v>
      </c>
      <c r="AI43" s="154">
        <f t="shared" si="37"/>
        <v>-5.3390537459679602E-2</v>
      </c>
      <c r="AJ43" s="154">
        <f t="shared" si="38"/>
        <v>-2.0565075087422514E-3</v>
      </c>
      <c r="AM43" s="126">
        <f t="shared" si="39"/>
        <v>8.1999999999999993</v>
      </c>
      <c r="AN43" s="127">
        <f t="shared" si="40"/>
        <v>6.8855585999256047E+23</v>
      </c>
      <c r="AO43" s="155">
        <f t="shared" si="41"/>
        <v>8.3803935014618424E-3</v>
      </c>
      <c r="AP43" s="155">
        <f t="shared" si="42"/>
        <v>0.60600762297558319</v>
      </c>
      <c r="AQ43" s="155">
        <f t="shared" si="43"/>
        <v>0.31031745942056926</v>
      </c>
      <c r="AR43" s="155">
        <f t="shared" si="44"/>
        <v>4.2188779364098497E-2</v>
      </c>
      <c r="AS43" s="155">
        <f t="shared" si="45"/>
        <v>2.348852375011929E-2</v>
      </c>
      <c r="AT43" s="155">
        <f t="shared" si="46"/>
        <v>9.6172209881680206E-3</v>
      </c>
      <c r="AW43" s="126">
        <f t="shared" si="47"/>
        <v>3.4166666666666665</v>
      </c>
      <c r="AX43" s="127">
        <f t="shared" si="48"/>
        <v>7.3626630751102226E+23</v>
      </c>
      <c r="AY43" s="155">
        <f t="shared" si="49"/>
        <v>7.8741935445184163E-3</v>
      </c>
      <c r="AZ43" s="155">
        <f t="shared" si="50"/>
        <v>0.6523130494279259</v>
      </c>
      <c r="BA43" s="155">
        <f t="shared" si="51"/>
        <v>0.27063932738599533</v>
      </c>
      <c r="BB43" s="155">
        <f t="shared" si="52"/>
        <v>3.9433866459418154E-2</v>
      </c>
      <c r="BC43" s="155">
        <f t="shared" si="53"/>
        <v>1.9772098853880846E-2</v>
      </c>
      <c r="BD43" s="155">
        <f t="shared" si="54"/>
        <v>9.9674643282614741E-3</v>
      </c>
    </row>
    <row r="44" spans="2:56">
      <c r="B44" s="126">
        <f t="shared" si="55"/>
        <v>3066</v>
      </c>
      <c r="C44" s="126">
        <f t="shared" si="30"/>
        <v>8.4</v>
      </c>
      <c r="D44" s="129">
        <f>courbes!AF44</f>
        <v>2.4444884191332127E+19</v>
      </c>
      <c r="E44" s="129">
        <f>courbes!AG44</f>
        <v>1.7339000000000001E+21</v>
      </c>
      <c r="F44" s="129">
        <f>courbes!AH44</f>
        <v>8.9111556285504723E+20</v>
      </c>
      <c r="G44" s="129">
        <f>courbes!AI44</f>
        <v>1.2075682075404232E+20</v>
      </c>
      <c r="H44" s="129">
        <f>courbes!AJ44</f>
        <v>6.7088500446325899E+19</v>
      </c>
      <c r="I44" s="129">
        <f>courbes!AK44</f>
        <v>2.7333565012894749E+19</v>
      </c>
      <c r="J44" s="129">
        <f>courbes!AL44</f>
        <v>1.0860125562599373E+19</v>
      </c>
      <c r="K44" s="129">
        <f>courbes!AM44</f>
        <v>1.2628421464650777E+22</v>
      </c>
      <c r="N44" s="128">
        <f>[4]Eq_de_Bateman_avec_RK1!F44</f>
        <v>3.5</v>
      </c>
      <c r="O44" s="128">
        <f>[4]Eq_de_Bateman_avec_RK1!G44</f>
        <v>110376000</v>
      </c>
      <c r="P44" s="129">
        <f>courbes!B44</f>
        <v>2.4459355369485873E+19</v>
      </c>
      <c r="Q44" s="129">
        <f>courbes!C44</f>
        <v>2.0050008251028959E+21</v>
      </c>
      <c r="R44" s="129">
        <f>courbes!D44</f>
        <v>8.320995739804652E+20</v>
      </c>
      <c r="S44" s="129">
        <f>courbes!E44</f>
        <v>1.2026995499753826E+20</v>
      </c>
      <c r="T44" s="129">
        <f>courbes!F44</f>
        <v>6.0301982965180367E+19</v>
      </c>
      <c r="U44" s="129">
        <f>courbes!G44</f>
        <v>3.0380861823207465E+19</v>
      </c>
      <c r="V44" s="129">
        <f>courbes!H44</f>
        <v>3.5974419548713038E+19</v>
      </c>
      <c r="W44" s="129">
        <f>courbes!I44</f>
        <v>1.4900231077747719E+22</v>
      </c>
      <c r="AB44" s="126">
        <f t="shared" si="29"/>
        <v>8.4</v>
      </c>
      <c r="AC44" s="154">
        <f t="shared" si="31"/>
        <v>-8.6269544049033097E-3</v>
      </c>
      <c r="AD44" s="154">
        <f t="shared" si="32"/>
        <v>1.383700964368718E-3</v>
      </c>
      <c r="AE44" s="154">
        <f t="shared" si="33"/>
        <v>-2.8313643563604978E-3</v>
      </c>
      <c r="AF44" s="154">
        <f t="shared" si="34"/>
        <v>-6.3467309419577497E-3</v>
      </c>
      <c r="AG44" s="154">
        <f t="shared" si="35"/>
        <v>-3.3350237857694026E-3</v>
      </c>
      <c r="AH44" s="154">
        <f t="shared" si="36"/>
        <v>1.3516460334850688E-2</v>
      </c>
      <c r="AI44" s="154">
        <f t="shared" si="37"/>
        <v>-4.2354777801136549E-2</v>
      </c>
      <c r="AJ44" s="154">
        <f t="shared" si="38"/>
        <v>-2.8445625377013407E-4</v>
      </c>
      <c r="AM44" s="126">
        <f t="shared" si="39"/>
        <v>8.4</v>
      </c>
      <c r="AN44" s="127">
        <f t="shared" si="40"/>
        <v>6.8601291760059111E+23</v>
      </c>
      <c r="AO44" s="155">
        <f t="shared" si="41"/>
        <v>8.4807184941731971E-3</v>
      </c>
      <c r="AP44" s="155">
        <f t="shared" si="42"/>
        <v>0.604073318982708</v>
      </c>
      <c r="AQ44" s="155">
        <f t="shared" si="43"/>
        <v>0.31175467633064152</v>
      </c>
      <c r="AR44" s="155">
        <f t="shared" si="44"/>
        <v>4.2422515750159866E-2</v>
      </c>
      <c r="AS44" s="155">
        <f t="shared" si="45"/>
        <v>2.3666343142336302E-2</v>
      </c>
      <c r="AT44" s="155">
        <f t="shared" si="46"/>
        <v>9.6024272999811495E-3</v>
      </c>
      <c r="AW44" s="126">
        <f t="shared" si="47"/>
        <v>3.5</v>
      </c>
      <c r="AX44" s="127">
        <f t="shared" si="48"/>
        <v>7.3562034826421469E+23</v>
      </c>
      <c r="AY44" s="155">
        <f t="shared" si="49"/>
        <v>7.9134931376949567E-3</v>
      </c>
      <c r="AZ44" s="155">
        <f t="shared" si="50"/>
        <v>0.65141645188351738</v>
      </c>
      <c r="BA44" s="155">
        <f t="shared" si="51"/>
        <v>0.27147685382349357</v>
      </c>
      <c r="BB44" s="155">
        <f t="shared" si="52"/>
        <v>3.9402198733083552E-2</v>
      </c>
      <c r="BC44" s="155">
        <f t="shared" si="53"/>
        <v>1.9837787130287776E-2</v>
      </c>
      <c r="BD44" s="155">
        <f t="shared" si="54"/>
        <v>9.953215291922857E-3</v>
      </c>
    </row>
    <row r="45" spans="2:56">
      <c r="B45" s="126">
        <f t="shared" si="55"/>
        <v>3139</v>
      </c>
      <c r="C45" s="126">
        <f t="shared" si="30"/>
        <v>8.6</v>
      </c>
      <c r="D45" s="129">
        <f>courbes!AF45</f>
        <v>2.4635491487936266E+19</v>
      </c>
      <c r="E45" s="129">
        <f>courbes!AG45</f>
        <v>1.7218999999999999E+21</v>
      </c>
      <c r="F45" s="129">
        <f>courbes!AH45</f>
        <v>8.9179566631723663E+20</v>
      </c>
      <c r="G45" s="129">
        <f>courbes!AI45</f>
        <v>1.2097699728782226E+20</v>
      </c>
      <c r="H45" s="129">
        <f>courbes!AJ45</f>
        <v>6.7343764203560509E+19</v>
      </c>
      <c r="I45" s="129">
        <f>courbes!AK45</f>
        <v>2.7191971322838168E+19</v>
      </c>
      <c r="J45" s="129">
        <f>courbes!AL45</f>
        <v>1.0286594228260241E+19</v>
      </c>
      <c r="K45" s="129">
        <f>courbes!AM45</f>
        <v>1.2533500977338347E+22</v>
      </c>
      <c r="N45" s="128">
        <f>[4]Eq_de_Bateman_avec_RK1!F45</f>
        <v>3.5833333333333335</v>
      </c>
      <c r="O45" s="128">
        <f>[4]Eq_de_Bateman_avec_RK1!G45</f>
        <v>113004000</v>
      </c>
      <c r="P45" s="129">
        <f>courbes!B45</f>
        <v>2.45533405854976E+19</v>
      </c>
      <c r="Q45" s="129">
        <f>courbes!C45</f>
        <v>2.0004673936537627E+21</v>
      </c>
      <c r="R45" s="129">
        <f>courbes!D45</f>
        <v>8.3390478217742057E+20</v>
      </c>
      <c r="S45" s="129">
        <f>courbes!E45</f>
        <v>1.2008135694844915E+20</v>
      </c>
      <c r="T45" s="129">
        <f>courbes!F45</f>
        <v>6.0446909782461563E+19</v>
      </c>
      <c r="U45" s="129">
        <f>courbes!G45</f>
        <v>3.0311118406764069E+19</v>
      </c>
      <c r="V45" s="129">
        <f>courbes!H45</f>
        <v>3.5208997159542538E+19</v>
      </c>
      <c r="W45" s="129">
        <f>courbes!I45</f>
        <v>1.4857720518818828E+22</v>
      </c>
      <c r="AB45" s="126">
        <f t="shared" si="29"/>
        <v>8.6</v>
      </c>
      <c r="AC45" s="154">
        <f t="shared" si="31"/>
        <v>-2.2658917128798112E-2</v>
      </c>
      <c r="AD45" s="154">
        <f t="shared" si="32"/>
        <v>3.9075807417521041E-4</v>
      </c>
      <c r="AE45" s="154">
        <f t="shared" si="33"/>
        <v>-2.873027384639158E-3</v>
      </c>
      <c r="AF45" s="154">
        <f t="shared" si="34"/>
        <v>-6.8249561183204256E-3</v>
      </c>
      <c r="AG45" s="154">
        <f t="shared" si="35"/>
        <v>-2.9654609664124597E-3</v>
      </c>
      <c r="AH45" s="154">
        <f t="shared" si="36"/>
        <v>1.6437240145253971E-2</v>
      </c>
      <c r="AI45" s="154">
        <f t="shared" si="37"/>
        <v>-5.1336561653185502E-2</v>
      </c>
      <c r="AJ45" s="154">
        <f t="shared" si="38"/>
        <v>-1.3101021395308056E-3</v>
      </c>
      <c r="AM45" s="126">
        <f t="shared" si="39"/>
        <v>8.6</v>
      </c>
      <c r="AN45" s="127">
        <f t="shared" si="40"/>
        <v>6.8343421926269627E+23</v>
      </c>
      <c r="AO45" s="155">
        <f t="shared" si="41"/>
        <v>8.5790948256208623E-3</v>
      </c>
      <c r="AP45" s="155">
        <f t="shared" si="42"/>
        <v>0.60215612329738466</v>
      </c>
      <c r="AQ45" s="155">
        <f t="shared" si="43"/>
        <v>0.31316980315536158</v>
      </c>
      <c r="AR45" s="155">
        <f t="shared" si="44"/>
        <v>4.2660223214779483E-2</v>
      </c>
      <c r="AS45" s="155">
        <f t="shared" si="45"/>
        <v>2.3846027134613493E-2</v>
      </c>
      <c r="AT45" s="155">
        <f t="shared" si="46"/>
        <v>9.5887283722401306E-3</v>
      </c>
      <c r="AW45" s="126">
        <f t="shared" si="47"/>
        <v>3.5833333333333335</v>
      </c>
      <c r="AX45" s="127">
        <f t="shared" si="48"/>
        <v>7.3496528859314072E+23</v>
      </c>
      <c r="AY45" s="155">
        <f t="shared" si="49"/>
        <v>7.9509810191639666E-3</v>
      </c>
      <c r="AZ45" s="155">
        <f t="shared" si="50"/>
        <v>0.65052284033500873</v>
      </c>
      <c r="BA45" s="155">
        <f t="shared" si="51"/>
        <v>0.27230829922006305</v>
      </c>
      <c r="BB45" s="155">
        <f t="shared" si="52"/>
        <v>3.9375474561488467E-2</v>
      </c>
      <c r="BC45" s="155">
        <f t="shared" si="53"/>
        <v>1.9903187802728321E-2</v>
      </c>
      <c r="BD45" s="155">
        <f t="shared" si="54"/>
        <v>9.939217061547519E-3</v>
      </c>
    </row>
    <row r="46" spans="2:56">
      <c r="B46" s="126">
        <f t="shared" si="55"/>
        <v>3212</v>
      </c>
      <c r="C46" s="126">
        <f t="shared" si="30"/>
        <v>8.8000000000000007</v>
      </c>
      <c r="D46" s="129">
        <f>courbes!AF46</f>
        <v>2.4818073214157083E+19</v>
      </c>
      <c r="E46" s="129">
        <f>courbes!AG46</f>
        <v>1.7099000000000001E+21</v>
      </c>
      <c r="F46" s="129">
        <f>courbes!AH46</f>
        <v>8.9233574847838696E+20</v>
      </c>
      <c r="G46" s="129">
        <f>courbes!AI46</f>
        <v>1.211871657973395E+20</v>
      </c>
      <c r="H46" s="129">
        <f>courbes!AJ46</f>
        <v>6.7597033712691741E+19</v>
      </c>
      <c r="I46" s="129">
        <f>courbes!AK46</f>
        <v>2.7052371910106321E+19</v>
      </c>
      <c r="J46" s="129">
        <f>courbes!AL46</f>
        <v>9.7412398688834109E+18</v>
      </c>
      <c r="K46" s="129">
        <f>courbes!AM46</f>
        <v>1.2438580490025914E+22</v>
      </c>
      <c r="N46" s="128">
        <f>[4]Eq_de_Bateman_avec_RK1!F46</f>
        <v>3.6666666666666665</v>
      </c>
      <c r="O46" s="128">
        <f>[4]Eq_de_Bateman_avec_RK1!G46</f>
        <v>115632000</v>
      </c>
      <c r="P46" s="129">
        <f>courbes!B46</f>
        <v>2.4641399167409426E+19</v>
      </c>
      <c r="Q46" s="129">
        <f>courbes!C46</f>
        <v>1.9959237023688774E+21</v>
      </c>
      <c r="R46" s="129">
        <f>courbes!D46</f>
        <v>8.3567675359296265E+20</v>
      </c>
      <c r="S46" s="129">
        <f>courbes!E46</f>
        <v>1.1990596256101496E+20</v>
      </c>
      <c r="T46" s="129">
        <f>courbes!F46</f>
        <v>6.0589934599117898E+19</v>
      </c>
      <c r="U46" s="129">
        <f>courbes!G46</f>
        <v>3.024188791161729E+19</v>
      </c>
      <c r="V46" s="129">
        <f>courbes!H46</f>
        <v>3.4459951892159361E+19</v>
      </c>
      <c r="W46" s="129">
        <f>courbes!I46</f>
        <v>1.481533124313303E+22</v>
      </c>
      <c r="AB46" s="126">
        <f t="shared" si="29"/>
        <v>8.8000000000000007</v>
      </c>
      <c r="AC46" s="154">
        <f t="shared" si="31"/>
        <v>-3.4128980004292972E-2</v>
      </c>
      <c r="AD46" s="154">
        <f t="shared" si="32"/>
        <v>2.0768443140570707E-3</v>
      </c>
      <c r="AE46" s="154">
        <f t="shared" si="33"/>
        <v>-3.113613224514008E-3</v>
      </c>
      <c r="AF46" s="154">
        <f t="shared" si="34"/>
        <v>-7.6942933513558893E-3</v>
      </c>
      <c r="AG46" s="154">
        <f t="shared" si="35"/>
        <v>-3.9803933821448258E-3</v>
      </c>
      <c r="AH46" s="154">
        <f t="shared" si="36"/>
        <v>2.0213435070595483E-2</v>
      </c>
      <c r="AI46" s="154">
        <f t="shared" si="37"/>
        <v>-3.9826879396020427E-2</v>
      </c>
      <c r="AJ46" s="154">
        <f t="shared" si="38"/>
        <v>5.7718905421105273E-4</v>
      </c>
      <c r="AM46" s="126">
        <f t="shared" si="39"/>
        <v>8.8000000000000007</v>
      </c>
      <c r="AN46" s="127">
        <f t="shared" si="40"/>
        <v>6.8081759180574812E+23</v>
      </c>
      <c r="AO46" s="155">
        <f t="shared" si="41"/>
        <v>8.6758942425428608E-3</v>
      </c>
      <c r="AP46" s="155">
        <f t="shared" si="42"/>
        <v>0.60025784427233375</v>
      </c>
      <c r="AQ46" s="155">
        <f t="shared" si="43"/>
        <v>0.31456381593605687</v>
      </c>
      <c r="AR46" s="155">
        <f t="shared" si="44"/>
        <v>4.2898578574761551E-2</v>
      </c>
      <c r="AS46" s="155">
        <f t="shared" si="45"/>
        <v>2.4027701920985065E-2</v>
      </c>
      <c r="AT46" s="155">
        <f t="shared" si="46"/>
        <v>9.5761650533199086E-3</v>
      </c>
      <c r="AW46" s="126">
        <f t="shared" si="47"/>
        <v>3.6666666666666665</v>
      </c>
      <c r="AX46" s="127">
        <f t="shared" si="48"/>
        <v>7.3430123486720697E+23</v>
      </c>
      <c r="AY46" s="155">
        <f t="shared" si="49"/>
        <v>7.9867127050440318E-3</v>
      </c>
      <c r="AZ46" s="155">
        <f t="shared" si="50"/>
        <v>0.64963225201769992</v>
      </c>
      <c r="BA46" s="155">
        <f t="shared" si="51"/>
        <v>0.27313371044320972</v>
      </c>
      <c r="BB46" s="155">
        <f t="shared" si="52"/>
        <v>3.9353518154481217E-2</v>
      </c>
      <c r="BC46" s="155">
        <f t="shared" si="53"/>
        <v>1.996832291265067E-2</v>
      </c>
      <c r="BD46" s="155">
        <f t="shared" si="54"/>
        <v>9.9254837669145446E-3</v>
      </c>
    </row>
    <row r="47" spans="2:56">
      <c r="B47" s="126">
        <f t="shared" si="55"/>
        <v>3285</v>
      </c>
      <c r="C47" s="126">
        <f t="shared" si="30"/>
        <v>9</v>
      </c>
      <c r="D47" s="129">
        <f>courbes!AF47</f>
        <v>2.4991626173696639E+19</v>
      </c>
      <c r="E47" s="129">
        <f>courbes!AG47</f>
        <v>1.6979000000000001E+21</v>
      </c>
      <c r="F47" s="129">
        <f>courbes!AH47</f>
        <v>8.9273580933849835E+20</v>
      </c>
      <c r="G47" s="129">
        <f>courbes!AI47</f>
        <v>1.2139733430685673E+20</v>
      </c>
      <c r="H47" s="129">
        <f>courbes!AJ47</f>
        <v>6.7848308973719552E+19</v>
      </c>
      <c r="I47" s="129">
        <f>courbes!AK47</f>
        <v>2.691376963603685E+19</v>
      </c>
      <c r="J47" s="129">
        <f>courbes!AL47</f>
        <v>9.2237627294160998E+18</v>
      </c>
      <c r="K47" s="129">
        <f>courbes!AM47</f>
        <v>1.2344659165737824E+22</v>
      </c>
      <c r="N47" s="128">
        <f>[4]Eq_de_Bateman_avec_RK1!F47</f>
        <v>3.75</v>
      </c>
      <c r="O47" s="128">
        <f>[4]Eq_de_Bateman_avec_RK1!G47</f>
        <v>118260000</v>
      </c>
      <c r="P47" s="129">
        <f>courbes!B47</f>
        <v>2.4723712368096322E+19</v>
      </c>
      <c r="Q47" s="129">
        <f>courbes!C47</f>
        <v>1.9913702226079232E+21</v>
      </c>
      <c r="R47" s="129">
        <f>courbes!D47</f>
        <v>8.3741570816335138E+20</v>
      </c>
      <c r="S47" s="129">
        <f>courbes!E47</f>
        <v>1.1974323404195208E+20</v>
      </c>
      <c r="T47" s="129">
        <f>courbes!F47</f>
        <v>6.0731125377663148E+19</v>
      </c>
      <c r="U47" s="129">
        <f>courbes!G47</f>
        <v>3.017321421339827E+19</v>
      </c>
      <c r="V47" s="129">
        <f>courbes!H47</f>
        <v>3.3726933081610646E+19</v>
      </c>
      <c r="W47" s="129">
        <f>courbes!I47</f>
        <v>1.4773062904667236E+22</v>
      </c>
      <c r="AB47" s="126">
        <f t="shared" si="29"/>
        <v>9</v>
      </c>
      <c r="AC47" s="154">
        <f t="shared" si="31"/>
        <v>-4.729013021216983E-2</v>
      </c>
      <c r="AD47" s="154">
        <f t="shared" si="32"/>
        <v>1.1279045603110065E-3</v>
      </c>
      <c r="AE47" s="154">
        <f t="shared" si="33"/>
        <v>-3.1859182666027046E-3</v>
      </c>
      <c r="AF47" s="154">
        <f t="shared" si="34"/>
        <v>-8.1929292305628829E-3</v>
      </c>
      <c r="AG47" s="154">
        <f t="shared" si="35"/>
        <v>-3.6534964249523932E-3</v>
      </c>
      <c r="AH47" s="154">
        <f t="shared" si="36"/>
        <v>2.3408522629780552E-2</v>
      </c>
      <c r="AI47" s="154">
        <f t="shared" si="37"/>
        <v>-4.8403865642179765E-2</v>
      </c>
      <c r="AJ47" s="154">
        <f t="shared" si="38"/>
        <v>-4.147048411647481E-4</v>
      </c>
      <c r="AM47" s="126">
        <f t="shared" si="39"/>
        <v>9</v>
      </c>
      <c r="AN47" s="127">
        <f t="shared" si="40"/>
        <v>6.7816496809245685E+23</v>
      </c>
      <c r="AO47" s="155">
        <f t="shared" si="41"/>
        <v>8.7707376658961913E-3</v>
      </c>
      <c r="AP47" s="155">
        <f t="shared" si="42"/>
        <v>0.5983766769041895</v>
      </c>
      <c r="AQ47" s="155">
        <f t="shared" si="43"/>
        <v>0.3159358037085</v>
      </c>
      <c r="AR47" s="155">
        <f t="shared" si="44"/>
        <v>4.3141062933766565E-2</v>
      </c>
      <c r="AS47" s="155">
        <f t="shared" si="45"/>
        <v>2.4211352022243688E-2</v>
      </c>
      <c r="AT47" s="155">
        <f t="shared" si="46"/>
        <v>9.5643667654041805E-3</v>
      </c>
      <c r="AW47" s="126">
        <f t="shared" si="47"/>
        <v>3.75</v>
      </c>
      <c r="AX47" s="127">
        <f t="shared" si="48"/>
        <v>7.3362829307703868E+23</v>
      </c>
      <c r="AY47" s="155">
        <f t="shared" si="49"/>
        <v>8.0207423829399896E-3</v>
      </c>
      <c r="AZ47" s="155">
        <f t="shared" si="50"/>
        <v>0.6487447222176792</v>
      </c>
      <c r="BA47" s="155">
        <f t="shared" si="51"/>
        <v>0.27395313383599196</v>
      </c>
      <c r="BB47" s="155">
        <f t="shared" si="52"/>
        <v>3.933615930087915E-2</v>
      </c>
      <c r="BC47" s="155">
        <f t="shared" si="53"/>
        <v>2.003321365885646E-2</v>
      </c>
      <c r="BD47" s="155">
        <f t="shared" si="54"/>
        <v>9.9120286036533407E-3</v>
      </c>
    </row>
    <row r="48" spans="2:56">
      <c r="B48" s="126">
        <f t="shared" si="55"/>
        <v>3358</v>
      </c>
      <c r="C48" s="126">
        <f t="shared" si="30"/>
        <v>9.1999999999999993</v>
      </c>
      <c r="D48" s="129">
        <f>courbes!AF48</f>
        <v>2.5158156759150785E+19</v>
      </c>
      <c r="E48" s="129">
        <f>courbes!AG48</f>
        <v>1.6858000000000003E+21</v>
      </c>
      <c r="F48" s="129">
        <f>courbes!AH48</f>
        <v>8.9299584889757067E+20</v>
      </c>
      <c r="G48" s="129">
        <f>courbes!AI48</f>
        <v>1.2159749479211123E+20</v>
      </c>
      <c r="H48" s="129">
        <f>courbes!AJ48</f>
        <v>6.8098587110695674E+19</v>
      </c>
      <c r="I48" s="129">
        <f>courbes!AK48</f>
        <v>2.6777161639292121E+19</v>
      </c>
      <c r="J48" s="129">
        <f>courbes!AL48</f>
        <v>8.7324641978924913E+18</v>
      </c>
      <c r="K48" s="129">
        <f>courbes!AM48</f>
        <v>1.2250737841449734E+22</v>
      </c>
      <c r="N48" s="128">
        <f>[4]Eq_de_Bateman_avec_RK1!F48</f>
        <v>3.8333333333333335</v>
      </c>
      <c r="O48" s="128">
        <f>[4]Eq_de_Bateman_avec_RK1!G48</f>
        <v>120888000</v>
      </c>
      <c r="P48" s="129">
        <f>courbes!B48</f>
        <v>2.4800457254026486E+19</v>
      </c>
      <c r="Q48" s="129">
        <f>courbes!C48</f>
        <v>1.9868074162159231E+21</v>
      </c>
      <c r="R48" s="129">
        <f>courbes!D48</f>
        <v>8.3912186605693593E+20</v>
      </c>
      <c r="S48" s="129">
        <f>courbes!E48</f>
        <v>1.1959265079683062E+20</v>
      </c>
      <c r="T48" s="129">
        <f>courbes!F48</f>
        <v>6.0870547512485741E+19</v>
      </c>
      <c r="U48" s="129">
        <f>courbes!G48</f>
        <v>3.0105138218114015E+19</v>
      </c>
      <c r="V48" s="129">
        <f>courbes!H48</f>
        <v>3.3009597571942097E+19</v>
      </c>
      <c r="W48" s="129">
        <f>courbes!I48</f>
        <v>1.473091515838558E+22</v>
      </c>
      <c r="AB48" s="126">
        <f t="shared" si="29"/>
        <v>9.1999999999999993</v>
      </c>
      <c r="AC48" s="154">
        <f t="shared" si="31"/>
        <v>-5.7908553100532445E-2</v>
      </c>
      <c r="AD48" s="154">
        <f t="shared" si="32"/>
        <v>2.9401890114882198E-3</v>
      </c>
      <c r="AE48" s="154">
        <f t="shared" si="33"/>
        <v>-3.33733284816815E-3</v>
      </c>
      <c r="AF48" s="154">
        <f t="shared" si="34"/>
        <v>-9.0578422157258157E-3</v>
      </c>
      <c r="AG48" s="154">
        <f t="shared" si="35"/>
        <v>-4.6814209645064803E-3</v>
      </c>
      <c r="AH48" s="154">
        <f t="shared" si="36"/>
        <v>2.7348405841938036E-2</v>
      </c>
      <c r="AI48" s="154">
        <f t="shared" si="37"/>
        <v>-3.6524337432184396E-2</v>
      </c>
      <c r="AJ48" s="154">
        <f t="shared" si="38"/>
        <v>1.5095119484431659E-3</v>
      </c>
      <c r="AM48" s="126">
        <f t="shared" si="39"/>
        <v>9.1999999999999993</v>
      </c>
      <c r="AN48" s="127">
        <f t="shared" si="40"/>
        <v>6.7545099532485138E+23</v>
      </c>
      <c r="AO48" s="155">
        <f t="shared" si="41"/>
        <v>8.8646568738834867E-3</v>
      </c>
      <c r="AP48" s="155">
        <f t="shared" si="42"/>
        <v>0.59649952815041207</v>
      </c>
      <c r="AQ48" s="155">
        <f t="shared" si="43"/>
        <v>0.31729763553363688</v>
      </c>
      <c r="AR48" s="155">
        <f t="shared" si="44"/>
        <v>4.3385821395976867E-2</v>
      </c>
      <c r="AS48" s="155">
        <f t="shared" si="45"/>
        <v>2.4398303052114878E-2</v>
      </c>
      <c r="AT48" s="155">
        <f t="shared" si="46"/>
        <v>9.5540549939759183E-3</v>
      </c>
      <c r="AW48" s="126">
        <f t="shared" si="47"/>
        <v>3.8333333333333335</v>
      </c>
      <c r="AX48" s="127">
        <f t="shared" si="48"/>
        <v>7.3294656880635163E+23</v>
      </c>
      <c r="AY48" s="155">
        <f t="shared" si="49"/>
        <v>8.0531229391944646E-3</v>
      </c>
      <c r="AZ48" s="155">
        <f t="shared" si="50"/>
        <v>0.64786028434367726</v>
      </c>
      <c r="BA48" s="155">
        <f t="shared" si="51"/>
        <v>0.27476661522768203</v>
      </c>
      <c r="BB48" s="155">
        <f t="shared" si="52"/>
        <v>3.9323233191437532E-2</v>
      </c>
      <c r="BC48" s="155">
        <f t="shared" si="53"/>
        <v>2.0097880425323979E-2</v>
      </c>
      <c r="BD48" s="155">
        <f t="shared" si="54"/>
        <v>9.8988638726848002E-3</v>
      </c>
    </row>
    <row r="49" spans="2:56">
      <c r="B49" s="126">
        <f t="shared" si="55"/>
        <v>3431</v>
      </c>
      <c r="C49" s="126">
        <f t="shared" si="30"/>
        <v>9.4</v>
      </c>
      <c r="D49" s="129">
        <f>courbes!AF49</f>
        <v>2.5315658577923682E+19</v>
      </c>
      <c r="E49" s="129">
        <f>courbes!AG49</f>
        <v>1.6736999999999999E+21</v>
      </c>
      <c r="F49" s="129">
        <f>courbes!AH49</f>
        <v>8.9311586715560418E+20</v>
      </c>
      <c r="G49" s="129">
        <f>courbes!AI49</f>
        <v>1.2179765527736574E+20</v>
      </c>
      <c r="H49" s="129">
        <f>courbes!AJ49</f>
        <v>6.8345873875516719E+19</v>
      </c>
      <c r="I49" s="129">
        <f>courbes!AK49</f>
        <v>2.6642547919872127E+19</v>
      </c>
      <c r="J49" s="129">
        <f>courbes!AL49</f>
        <v>8.2660453357504911E+18</v>
      </c>
      <c r="K49" s="129">
        <f>courbes!AM49</f>
        <v>1.2156816517161644E+22</v>
      </c>
      <c r="N49" s="128">
        <f>[4]Eq_de_Bateman_avec_RK1!F49</f>
        <v>3.9166666666666665</v>
      </c>
      <c r="O49" s="128">
        <f>[4]Eq_de_Bateman_avec_RK1!G49</f>
        <v>123516000</v>
      </c>
      <c r="P49" s="129">
        <f>courbes!B49</f>
        <v>2.4871806777829687E+19</v>
      </c>
      <c r="Q49" s="129">
        <f>courbes!C49</f>
        <v>1.982235735698495E+21</v>
      </c>
      <c r="R49" s="129">
        <f>courbes!D49</f>
        <v>8.4079544763252487E+20</v>
      </c>
      <c r="S49" s="129">
        <f>courbes!E49</f>
        <v>1.1945370891020365E+20</v>
      </c>
      <c r="T49" s="129">
        <f>courbes!F49</f>
        <v>6.1008263911387881E+19</v>
      </c>
      <c r="U49" s="129">
        <f>courbes!G49</f>
        <v>3.0037697985718247E+19</v>
      </c>
      <c r="V49" s="129">
        <f>courbes!H49</f>
        <v>3.2307609555404685E+19</v>
      </c>
      <c r="W49" s="129">
        <f>courbes!I49</f>
        <v>1.4688887660236599E+22</v>
      </c>
      <c r="AB49" s="126">
        <f t="shared" si="29"/>
        <v>9.4</v>
      </c>
      <c r="AC49" s="154">
        <f t="shared" si="31"/>
        <v>-6.8075279808017905E-2</v>
      </c>
      <c r="AD49" s="154">
        <f t="shared" si="32"/>
        <v>4.7947046735703188E-3</v>
      </c>
      <c r="AE49" s="154">
        <f t="shared" si="33"/>
        <v>-3.4190579176650283E-3</v>
      </c>
      <c r="AF49" s="154">
        <f t="shared" si="34"/>
        <v>-9.9586308484549621E-3</v>
      </c>
      <c r="AG49" s="154">
        <f t="shared" si="35"/>
        <v>-5.6849430421495673E-3</v>
      </c>
      <c r="AH49" s="154">
        <f t="shared" si="36"/>
        <v>3.1325737615934074E-2</v>
      </c>
      <c r="AI49" s="154">
        <f t="shared" si="37"/>
        <v>-2.4309225141247781E-2</v>
      </c>
      <c r="AJ49" s="154">
        <f t="shared" si="38"/>
        <v>3.4964149330458665E-3</v>
      </c>
      <c r="AM49" s="126">
        <f t="shared" si="39"/>
        <v>9.4</v>
      </c>
      <c r="AN49" s="127">
        <f t="shared" si="40"/>
        <v>6.7270102530730007E+23</v>
      </c>
      <c r="AO49" s="155">
        <f t="shared" si="41"/>
        <v>8.9566189360176258E-3</v>
      </c>
      <c r="AP49" s="155">
        <f t="shared" si="42"/>
        <v>0.59463905204733014</v>
      </c>
      <c r="AQ49" s="155">
        <f t="shared" si="43"/>
        <v>0.31863755227580881</v>
      </c>
      <c r="AR49" s="155">
        <f t="shared" si="44"/>
        <v>4.3634889523820983E-2</v>
      </c>
      <c r="AS49" s="155">
        <f t="shared" si="45"/>
        <v>2.4587002034550876E-2</v>
      </c>
      <c r="AT49" s="155">
        <f t="shared" si="46"/>
        <v>9.5448851824717212E-3</v>
      </c>
      <c r="AW49" s="126">
        <f t="shared" si="47"/>
        <v>3.9166666666666665</v>
      </c>
      <c r="AX49" s="127">
        <f t="shared" si="48"/>
        <v>7.3225616720534274E+23</v>
      </c>
      <c r="AY49" s="155">
        <f t="shared" si="49"/>
        <v>8.0839059856815023E-3</v>
      </c>
      <c r="AZ49" s="155">
        <f t="shared" si="50"/>
        <v>0.64697896999628524</v>
      </c>
      <c r="BA49" s="155">
        <f t="shared" si="51"/>
        <v>0.27557419994418264</v>
      </c>
      <c r="BB49" s="155">
        <f t="shared" si="52"/>
        <v>3.9314580247551696E-2</v>
      </c>
      <c r="BC49" s="155">
        <f t="shared" si="53"/>
        <v>2.0162342808122333E-2</v>
      </c>
      <c r="BD49" s="155">
        <f t="shared" si="54"/>
        <v>9.8860010181765785E-3</v>
      </c>
    </row>
    <row r="50" spans="2:56">
      <c r="B50" s="126">
        <f t="shared" si="55"/>
        <v>3504</v>
      </c>
      <c r="C50" s="126">
        <f t="shared" si="30"/>
        <v>9.6</v>
      </c>
      <c r="D50" s="129">
        <f>courbes!AF50</f>
        <v>2.5465134826313241E+19</v>
      </c>
      <c r="E50" s="129">
        <f>courbes!AG50</f>
        <v>1.6616000000000003E+21</v>
      </c>
      <c r="F50" s="129">
        <f>courbes!AH50</f>
        <v>8.9310586563410133E+20</v>
      </c>
      <c r="G50" s="129">
        <f>courbes!AI50</f>
        <v>1.2197779971409479E+20</v>
      </c>
      <c r="H50" s="129">
        <f>courbes!AJ50</f>
        <v>6.8592163516286042E+19</v>
      </c>
      <c r="I50" s="129">
        <f>courbes!AK50</f>
        <v>2.6508931339114508E+19</v>
      </c>
      <c r="J50" s="129">
        <f>courbes!AL50</f>
        <v>7.8235069594808013E+18</v>
      </c>
      <c r="K50" s="129">
        <f>courbes!AM50</f>
        <v>1.2062895192873554E+22</v>
      </c>
      <c r="N50" s="128">
        <f>[4]Eq_de_Bateman_avec_RK1!F50</f>
        <v>4</v>
      </c>
      <c r="O50" s="128">
        <f>[4]Eq_de_Bateman_avec_RK1!G50</f>
        <v>126144000</v>
      </c>
      <c r="P50" s="129">
        <f>courbes!B50</f>
        <v>2.4937929850250248E+19</v>
      </c>
      <c r="Q50" s="129">
        <f>courbes!C50</f>
        <v>1.9776556243938936E+21</v>
      </c>
      <c r="R50" s="129">
        <f>courbes!D50</f>
        <v>8.42436673398819E+20</v>
      </c>
      <c r="S50" s="129">
        <f>courbes!E50</f>
        <v>1.1932592064130685E+20</v>
      </c>
      <c r="T50" s="129">
        <f>courbes!F50</f>
        <v>6.1144335074704015E+19</v>
      </c>
      <c r="U50" s="129">
        <f>courbes!G50</f>
        <v>2.9970928849329795E+19</v>
      </c>
      <c r="V50" s="129">
        <f>courbes!H50</f>
        <v>3.1620640415104422E+19</v>
      </c>
      <c r="W50" s="129">
        <f>courbes!I50</f>
        <v>1.4646980067150419E+22</v>
      </c>
      <c r="AB50" s="126">
        <f t="shared" si="29"/>
        <v>9.6</v>
      </c>
      <c r="AC50" s="154">
        <f t="shared" si="31"/>
        <v>-7.9986421489702059E-2</v>
      </c>
      <c r="AD50" s="154">
        <f t="shared" si="32"/>
        <v>3.9898184354556958E-3</v>
      </c>
      <c r="AE50" s="154">
        <f t="shared" si="33"/>
        <v>-3.4884857842912348E-3</v>
      </c>
      <c r="AF50" s="154">
        <f t="shared" si="34"/>
        <v>-1.040949222428564E-2</v>
      </c>
      <c r="AG50" s="154">
        <f t="shared" si="35"/>
        <v>-5.422593137357744E-3</v>
      </c>
      <c r="AH50" s="154">
        <f t="shared" si="36"/>
        <v>3.4825586918163454E-2</v>
      </c>
      <c r="AI50" s="154">
        <f t="shared" si="37"/>
        <v>-3.2418127058604952E-2</v>
      </c>
      <c r="AJ50" s="154">
        <f t="shared" si="38"/>
        <v>2.6784394827070795E-3</v>
      </c>
      <c r="AM50" s="126">
        <f t="shared" si="39"/>
        <v>9.6</v>
      </c>
      <c r="AN50" s="127">
        <f t="shared" si="40"/>
        <v>6.6991311559561155E+23</v>
      </c>
      <c r="AO50" s="155">
        <f t="shared" si="41"/>
        <v>9.0469972113832332E-3</v>
      </c>
      <c r="AP50" s="155">
        <f t="shared" si="42"/>
        <v>0.5927968728406271</v>
      </c>
      <c r="AQ50" s="155">
        <f t="shared" si="43"/>
        <v>0.31996001087635439</v>
      </c>
      <c r="AR50" s="155">
        <f t="shared" si="44"/>
        <v>4.3881287060577465E-2</v>
      </c>
      <c r="AS50" s="155">
        <f t="shared" si="45"/>
        <v>2.4778293161469133E-2</v>
      </c>
      <c r="AT50" s="155">
        <f t="shared" si="46"/>
        <v>9.5365388495887611E-3</v>
      </c>
      <c r="AW50" s="126">
        <f t="shared" si="47"/>
        <v>4</v>
      </c>
      <c r="AX50" s="127">
        <f t="shared" si="48"/>
        <v>7.3155719296553864E+23</v>
      </c>
      <c r="AY50" s="155">
        <f t="shared" si="49"/>
        <v>8.1131418861452552E-3</v>
      </c>
      <c r="AZ50" s="155">
        <f t="shared" si="50"/>
        <v>0.64610080903463429</v>
      </c>
      <c r="BA50" s="155">
        <f t="shared" si="51"/>
        <v>0.27637593281820255</v>
      </c>
      <c r="BB50" s="155">
        <f t="shared" si="52"/>
        <v>3.9310045955504164E-2</v>
      </c>
      <c r="BC50" s="155">
        <f t="shared" si="53"/>
        <v>2.0226619641446692E-2</v>
      </c>
      <c r="BD50" s="155">
        <f t="shared" si="54"/>
        <v>9.8734506640668542E-3</v>
      </c>
    </row>
    <row r="51" spans="2:56">
      <c r="B51" s="126">
        <f t="shared" si="55"/>
        <v>3577</v>
      </c>
      <c r="C51" s="126">
        <f t="shared" si="30"/>
        <v>9.8000000000000007</v>
      </c>
      <c r="D51" s="129">
        <f>courbes!AF51</f>
        <v>2.5605582308021555E+19</v>
      </c>
      <c r="E51" s="129">
        <f>courbes!AG51</f>
        <v>1.6494999999999999E+21</v>
      </c>
      <c r="F51" s="129">
        <f>courbes!AH51</f>
        <v>8.9295584281155967E+20</v>
      </c>
      <c r="G51" s="129">
        <f>courbes!AI51</f>
        <v>1.2216795217508657E+20</v>
      </c>
      <c r="H51" s="129">
        <f>courbes!AJ51</f>
        <v>6.8836458908951994E+19</v>
      </c>
      <c r="I51" s="129">
        <f>courbes!AK51</f>
        <v>2.6376311897019257E+19</v>
      </c>
      <c r="J51" s="129">
        <f>courbes!AL51</f>
        <v>7.4035501305213286E+18</v>
      </c>
      <c r="K51" s="129">
        <f>courbes!AM51</f>
        <v>1.1968973868585464E+22</v>
      </c>
      <c r="N51" s="128">
        <f>[4]Eq_de_Bateman_avec_RK1!F51</f>
        <v>4.083333333333333</v>
      </c>
      <c r="O51" s="128">
        <f>[4]Eq_de_Bateman_avec_RK1!G51</f>
        <v>128772000</v>
      </c>
      <c r="P51" s="129">
        <f>courbes!B51</f>
        <v>2.4998991411463606E+19</v>
      </c>
      <c r="Q51" s="129">
        <f>courbes!C51</f>
        <v>1.9730675166419029E+21</v>
      </c>
      <c r="R51" s="129">
        <f>courbes!D51</f>
        <v>8.4404576397488436E+20</v>
      </c>
      <c r="S51" s="129">
        <f>courbes!E51</f>
        <v>1.192088139348617E+20</v>
      </c>
      <c r="T51" s="129">
        <f>courbes!F51</f>
        <v>6.1278819172069655E+19</v>
      </c>
      <c r="U51" s="129">
        <f>courbes!G51</f>
        <v>2.9904863530240774E+19</v>
      </c>
      <c r="V51" s="129">
        <f>courbes!H51</f>
        <v>3.0948368571021464E+19</v>
      </c>
      <c r="W51" s="129">
        <f>courbes!I51</f>
        <v>1.4605192037035963E+22</v>
      </c>
      <c r="AB51" s="126">
        <f t="shared" si="29"/>
        <v>9.8000000000000007</v>
      </c>
      <c r="AC51" s="154">
        <f t="shared" si="31"/>
        <v>-8.9306354296443666E-2</v>
      </c>
      <c r="AD51" s="154">
        <f t="shared" si="32"/>
        <v>5.9220366458379399E-3</v>
      </c>
      <c r="AE51" s="154">
        <f t="shared" si="33"/>
        <v>-3.4784252005268103E-3</v>
      </c>
      <c r="AF51" s="154">
        <f t="shared" si="34"/>
        <v>-1.1332663175770004E-2</v>
      </c>
      <c r="AG51" s="154">
        <f t="shared" si="35"/>
        <v>-6.4397168824034262E-3</v>
      </c>
      <c r="AH51" s="154">
        <f t="shared" si="36"/>
        <v>3.8972324775217539E-2</v>
      </c>
      <c r="AI51" s="154">
        <f t="shared" si="37"/>
        <v>-1.9780723367125573E-2</v>
      </c>
      <c r="AJ51" s="154">
        <f t="shared" si="38"/>
        <v>4.7885435572150217E-3</v>
      </c>
      <c r="AM51" s="126">
        <f t="shared" si="39"/>
        <v>9.8000000000000007</v>
      </c>
      <c r="AN51" s="127">
        <f t="shared" si="40"/>
        <v>6.6709162156142737E+23</v>
      </c>
      <c r="AO51" s="155">
        <f t="shared" si="41"/>
        <v>9.1353697038570412E-3</v>
      </c>
      <c r="AP51" s="155">
        <f t="shared" si="42"/>
        <v>0.59096904721610011</v>
      </c>
      <c r="AQ51" s="155">
        <f t="shared" si="43"/>
        <v>0.32125932232989413</v>
      </c>
      <c r="AR51" s="155">
        <f t="shared" si="44"/>
        <v>4.4135581264356696E-2</v>
      </c>
      <c r="AS51" s="155">
        <f t="shared" si="45"/>
        <v>2.4971716804019904E-2</v>
      </c>
      <c r="AT51" s="155">
        <f t="shared" si="46"/>
        <v>9.5289626817720453E-3</v>
      </c>
      <c r="AW51" s="126">
        <f t="shared" si="47"/>
        <v>4.083333333333333</v>
      </c>
      <c r="AX51" s="127">
        <f t="shared" si="48"/>
        <v>7.3084975029604585E+23</v>
      </c>
      <c r="AY51" s="155">
        <f t="shared" si="49"/>
        <v>8.1408797820868989E-3</v>
      </c>
      <c r="AZ51" s="155">
        <f t="shared" si="50"/>
        <v>0.6452258296406318</v>
      </c>
      <c r="BA51" s="155">
        <f t="shared" si="51"/>
        <v>0.27717185819919443</v>
      </c>
      <c r="BB51" s="155">
        <f t="shared" si="52"/>
        <v>3.9309480706074346E-2</v>
      </c>
      <c r="BC51" s="155">
        <f t="shared" si="53"/>
        <v>2.0290729022803759E-2</v>
      </c>
      <c r="BD51" s="155">
        <f t="shared" si="54"/>
        <v>9.8612226492088874E-3</v>
      </c>
    </row>
    <row r="52" spans="2:56">
      <c r="N52" s="128">
        <f>[4]Eq_de_Bateman_avec_RK1!F52</f>
        <v>4.166666666666667</v>
      </c>
      <c r="O52" s="128">
        <f>[4]Eq_de_Bateman_avec_RK1!G52</f>
        <v>131400000</v>
      </c>
      <c r="P52" s="129">
        <f>courbes!B52</f>
        <v>2.5055152501736993E+19</v>
      </c>
      <c r="Q52" s="129">
        <f>courbes!C52</f>
        <v>1.9684718379496393E+21</v>
      </c>
      <c r="R52" s="129">
        <f>courbes!D52</f>
        <v>8.4562294005164409E+20</v>
      </c>
      <c r="S52" s="129">
        <f>courbes!E52</f>
        <v>1.1910193194652882E+20</v>
      </c>
      <c r="T52" s="129">
        <f>courbes!F52</f>
        <v>6.1411772116909507E+19</v>
      </c>
      <c r="U52" s="129">
        <f>courbes!G52</f>
        <v>2.9839532248852333E+19</v>
      </c>
      <c r="V52" s="129">
        <f>courbes!H52</f>
        <v>3.0290479329326428E+19</v>
      </c>
      <c r="W52" s="129">
        <f>courbes!I52</f>
        <v>1.4563523228778151E+22</v>
      </c>
      <c r="AN52" s="127"/>
      <c r="AW52" s="126">
        <f t="shared" si="47"/>
        <v>4.166666666666667</v>
      </c>
      <c r="AX52" s="127">
        <f t="shared" si="48"/>
        <v>7.3013394290115075E+23</v>
      </c>
      <c r="AY52" s="155">
        <f t="shared" si="49"/>
        <v>8.1671676182033387E-3</v>
      </c>
      <c r="AZ52" s="155">
        <f t="shared" si="50"/>
        <v>0.64435405838084381</v>
      </c>
      <c r="BA52" s="155">
        <f t="shared" si="51"/>
        <v>0.27796201996305614</v>
      </c>
      <c r="BB52" s="155">
        <f t="shared" si="52"/>
        <v>3.9312739639334203E-2</v>
      </c>
      <c r="BC52" s="155">
        <f t="shared" si="53"/>
        <v>2.0354688337375578E-2</v>
      </c>
      <c r="BD52" s="155">
        <f t="shared" si="54"/>
        <v>9.849326061186844E-3</v>
      </c>
    </row>
    <row r="53" spans="2:56">
      <c r="N53" s="128">
        <f>[4]Eq_de_Bateman_avec_RK1!F53</f>
        <v>4.25</v>
      </c>
      <c r="O53" s="128">
        <f>[4]Eq_de_Bateman_avec_RK1!G53</f>
        <v>134028000</v>
      </c>
      <c r="P53" s="129">
        <f>courbes!B53</f>
        <v>2.5106570331416183E+19</v>
      </c>
      <c r="Q53" s="129">
        <f>courbes!C53</f>
        <v>1.9638690051543254E+21</v>
      </c>
      <c r="R53" s="129">
        <f>courbes!D53</f>
        <v>8.4716842235436859E+20</v>
      </c>
      <c r="S53" s="129">
        <f>courbes!E53</f>
        <v>1.1900483258257238E+20</v>
      </c>
      <c r="T53" s="129">
        <f>courbes!F53</f>
        <v>6.1543247638711714E+19</v>
      </c>
      <c r="U53" s="129">
        <f>courbes!G53</f>
        <v>2.9774962831671407E+19</v>
      </c>
      <c r="V53" s="129">
        <f>courbes!H53</f>
        <v>2.9646664734923276E+19</v>
      </c>
      <c r="W53" s="129">
        <f>courbes!I53</f>
        <v>1.4521973302235117E+22</v>
      </c>
      <c r="AN53" s="127"/>
      <c r="AW53" s="126">
        <f t="shared" si="47"/>
        <v>4.25</v>
      </c>
      <c r="AX53" s="127">
        <f t="shared" si="48"/>
        <v>7.2940987395921039E+23</v>
      </c>
      <c r="AY53" s="155">
        <f t="shared" si="49"/>
        <v>8.1920521673815479E-3</v>
      </c>
      <c r="AZ53" s="155">
        <f t="shared" si="50"/>
        <v>0.64348552026611483</v>
      </c>
      <c r="BA53" s="155">
        <f t="shared" si="51"/>
        <v>0.27874646152160315</v>
      </c>
      <c r="BB53" s="155">
        <f t="shared" si="52"/>
        <v>3.9319682494459593E-2</v>
      </c>
      <c r="BC53" s="155">
        <f t="shared" si="53"/>
        <v>2.0418514281589088E-2</v>
      </c>
      <c r="BD53" s="155">
        <f t="shared" si="54"/>
        <v>9.8377692688515588E-3</v>
      </c>
    </row>
    <row r="54" spans="2:56">
      <c r="N54" s="128">
        <f>[4]Eq_de_Bateman_avec_RK1!F54</f>
        <v>4.333333333333333</v>
      </c>
      <c r="O54" s="128">
        <f>[4]Eq_de_Bateman_avec_RK1!G54</f>
        <v>136656000</v>
      </c>
      <c r="P54" s="129">
        <f>courbes!B54</f>
        <v>2.5153398350221738E+19</v>
      </c>
      <c r="Q54" s="129">
        <f>courbes!C54</f>
        <v>1.9592594265830919E+21</v>
      </c>
      <c r="R54" s="129">
        <f>courbes!D54</f>
        <v>8.4868243160614293E+20</v>
      </c>
      <c r="S54" s="129">
        <f>courbes!E54</f>
        <v>1.1891708805330905E+20</v>
      </c>
      <c r="T54" s="129">
        <f>courbes!F54</f>
        <v>6.167329735315311E+19</v>
      </c>
      <c r="U54" s="129">
        <f>courbes!G54</f>
        <v>2.9711180814497681E+19</v>
      </c>
      <c r="V54" s="129">
        <f>courbes!H54</f>
        <v>2.9016623427149722E+19</v>
      </c>
      <c r="W54" s="129">
        <f>courbes!I54</f>
        <v>1.4480541918235434E+22</v>
      </c>
      <c r="AN54" s="127"/>
      <c r="AW54" s="126">
        <f t="shared" si="47"/>
        <v>4.333333333333333</v>
      </c>
      <c r="AX54" s="127">
        <f t="shared" si="48"/>
        <v>7.2867764610279039E+23</v>
      </c>
      <c r="AY54" s="155">
        <f t="shared" si="49"/>
        <v>8.2155790552524924E-3</v>
      </c>
      <c r="AZ54" s="155">
        <f t="shared" si="50"/>
        <v>0.64262023880900521</v>
      </c>
      <c r="BA54" s="155">
        <f t="shared" si="51"/>
        <v>0.27952522583181011</v>
      </c>
      <c r="BB54" s="155">
        <f t="shared" si="52"/>
        <v>3.9330173464391847E-2</v>
      </c>
      <c r="BC54" s="155">
        <f t="shared" si="53"/>
        <v>2.048222288591748E-2</v>
      </c>
      <c r="BD54" s="155">
        <f t="shared" si="54"/>
        <v>9.8265599536229847E-3</v>
      </c>
    </row>
    <row r="55" spans="2:56">
      <c r="N55" s="128">
        <f>[4]Eq_de_Bateman_avec_RK1!F55</f>
        <v>4.416666666666667</v>
      </c>
      <c r="O55" s="128">
        <f>[4]Eq_de_Bateman_avec_RK1!G55</f>
        <v>139284000</v>
      </c>
      <c r="P55" s="129">
        <f>courbes!B55</f>
        <v>2.5195786315839513E+19</v>
      </c>
      <c r="Q55" s="129">
        <f>courbes!C55</f>
        <v>1.9546435022098643E+21</v>
      </c>
      <c r="R55" s="129">
        <f>courbes!D55</f>
        <v>8.5016518849229134E+20</v>
      </c>
      <c r="S55" s="129">
        <f>courbes!E55</f>
        <v>1.1883828443992839E+20</v>
      </c>
      <c r="T55" s="129">
        <f>courbes!F55</f>
        <v>6.1801970830138483E+19</v>
      </c>
      <c r="U55" s="129">
        <f>courbes!G55</f>
        <v>2.9648209541925917E+19</v>
      </c>
      <c r="V55" s="129">
        <f>courbes!H55</f>
        <v>2.8400060498567516E+19</v>
      </c>
      <c r="W55" s="129">
        <f>courbes!I55</f>
        <v>1.4439228738575345E+22</v>
      </c>
      <c r="AN55" s="127"/>
      <c r="AW55" s="126">
        <f t="shared" si="47"/>
        <v>4.416666666666667</v>
      </c>
      <c r="AX55" s="127">
        <f t="shared" si="48"/>
        <v>7.279373613999978E+23</v>
      </c>
      <c r="AY55" s="155">
        <f t="shared" si="49"/>
        <v>8.237792784308957E-3</v>
      </c>
      <c r="AZ55" s="155">
        <f t="shared" si="50"/>
        <v>0.6417582360791283</v>
      </c>
      <c r="BA55" s="155">
        <f t="shared" si="51"/>
        <v>0.28029835540482884</v>
      </c>
      <c r="BB55" s="155">
        <f t="shared" si="52"/>
        <v>3.9344081055190126E-2</v>
      </c>
      <c r="BC55" s="155">
        <f t="shared" si="53"/>
        <v>2.0545829536938998E-2</v>
      </c>
      <c r="BD55" s="155">
        <f t="shared" si="54"/>
        <v>9.8157051396045667E-3</v>
      </c>
    </row>
    <row r="56" spans="2:56">
      <c r="N56" s="128">
        <f>[4]Eq_de_Bateman_avec_RK1!F56</f>
        <v>4.5</v>
      </c>
      <c r="O56" s="128">
        <f>[4]Eq_de_Bateman_avec_RK1!G56</f>
        <v>141912000</v>
      </c>
      <c r="P56" s="129">
        <f>courbes!B56</f>
        <v>2.5233880361791492E+19</v>
      </c>
      <c r="Q56" s="129">
        <f>courbes!C56</f>
        <v>1.9500216238093907E+21</v>
      </c>
      <c r="R56" s="129">
        <f>courbes!D56</f>
        <v>8.5161691362573943E+20</v>
      </c>
      <c r="S56" s="129">
        <f>courbes!E56</f>
        <v>1.1876802127428352E+20</v>
      </c>
      <c r="T56" s="129">
        <f>courbes!F56</f>
        <v>6.1929315659814978E+19</v>
      </c>
      <c r="U56" s="129">
        <f>courbes!G56</f>
        <v>2.958607026328483E+19</v>
      </c>
      <c r="V56" s="129">
        <f>courbes!H56</f>
        <v>2.7796687356776468E+19</v>
      </c>
      <c r="W56" s="129">
        <f>courbes!I56</f>
        <v>1.4398033426015999E+22</v>
      </c>
      <c r="AN56" s="127"/>
      <c r="AW56" s="126">
        <f t="shared" si="47"/>
        <v>4.5</v>
      </c>
      <c r="AX56" s="127">
        <f t="shared" si="48"/>
        <v>7.2718912133695738E+23</v>
      </c>
      <c r="AY56" s="155">
        <f t="shared" si="49"/>
        <v>8.2587367575917472E-3</v>
      </c>
      <c r="AZ56" s="155">
        <f t="shared" si="50"/>
        <v>0.6408995327564706</v>
      </c>
      <c r="BA56" s="155">
        <f t="shared" si="51"/>
        <v>0.28106589231478646</v>
      </c>
      <c r="BB56" s="155">
        <f t="shared" si="52"/>
        <v>3.9361277949920344E-2</v>
      </c>
      <c r="BC56" s="155">
        <f t="shared" si="53"/>
        <v>2.0609348998677821E-2</v>
      </c>
      <c r="BD56" s="155">
        <f t="shared" si="54"/>
        <v>9.8052112225530744E-3</v>
      </c>
    </row>
    <row r="57" spans="2:56">
      <c r="N57" s="128">
        <f>[4]Eq_de_Bateman_avec_RK1!F57</f>
        <v>4.583333333333333</v>
      </c>
      <c r="O57" s="128">
        <f>[4]Eq_de_Bateman_avec_RK1!G57</f>
        <v>144540000</v>
      </c>
      <c r="P57" s="129">
        <f>courbes!B57</f>
        <v>2.5267823064574296E+19</v>
      </c>
      <c r="Q57" s="129">
        <f>courbes!C57</f>
        <v>1.945394175108464E+21</v>
      </c>
      <c r="R57" s="129">
        <f>courbes!D57</f>
        <v>8.5303782751329478E+20</v>
      </c>
      <c r="S57" s="129">
        <f>courbes!E57</f>
        <v>1.1870591113126332E+20</v>
      </c>
      <c r="T57" s="129">
        <f>courbes!F57</f>
        <v>6.2055377516620939E+19</v>
      </c>
      <c r="U57" s="129">
        <f>courbes!G57</f>
        <v>2.9524782225129898E+19</v>
      </c>
      <c r="V57" s="129">
        <f>courbes!H57</f>
        <v>2.7206221589187453E+19</v>
      </c>
      <c r="W57" s="129">
        <f>courbes!I57</f>
        <v>1.4356955644280701E+22</v>
      </c>
      <c r="AN57" s="127"/>
      <c r="AW57" s="126">
        <f t="shared" si="47"/>
        <v>4.583333333333333</v>
      </c>
      <c r="AX57" s="127">
        <f t="shared" si="48"/>
        <v>7.2643302680139543E+23</v>
      </c>
      <c r="AY57" s="155">
        <f t="shared" si="49"/>
        <v>8.278453301948813E-3</v>
      </c>
      <c r="AZ57" s="155">
        <f t="shared" si="50"/>
        <v>0.64004414818275956</v>
      </c>
      <c r="BA57" s="155">
        <f t="shared" si="51"/>
        <v>0.28182787820736438</v>
      </c>
      <c r="BB57" s="155">
        <f t="shared" si="52"/>
        <v>3.9381640876930885E-2</v>
      </c>
      <c r="BC57" s="155">
        <f t="shared" si="53"/>
        <v>2.0672795433250558E-2</v>
      </c>
      <c r="BD57" s="155">
        <f t="shared" si="54"/>
        <v>9.795083997745679E-3</v>
      </c>
    </row>
    <row r="58" spans="2:56">
      <c r="N58" s="128">
        <f>[4]Eq_de_Bateman_avec_RK1!F58</f>
        <v>4.666666666666667</v>
      </c>
      <c r="O58" s="128">
        <f>[4]Eq_de_Bateman_avec_RK1!G58</f>
        <v>147168000</v>
      </c>
      <c r="P58" s="129">
        <f>courbes!B58</f>
        <v>2.5297753510053831E+19</v>
      </c>
      <c r="Q58" s="129">
        <f>courbes!C58</f>
        <v>1.9407615319343938E+21</v>
      </c>
      <c r="R58" s="129">
        <f>courbes!D58</f>
        <v>8.5442815052282593E+20</v>
      </c>
      <c r="S58" s="129">
        <f>courbes!E58</f>
        <v>1.1865157923336878E+20</v>
      </c>
      <c r="T58" s="129">
        <f>courbes!F58</f>
        <v>6.2180200221426803E+19</v>
      </c>
      <c r="U58" s="129">
        <f>courbes!G58</f>
        <v>2.9464362760403726E+19</v>
      </c>
      <c r="V58" s="129">
        <f>courbes!H58</f>
        <v>2.6628386830691033E+19</v>
      </c>
      <c r="W58" s="129">
        <f>courbes!I58</f>
        <v>1.4315995058052163E+22</v>
      </c>
      <c r="AN58" s="127"/>
      <c r="AW58" s="126">
        <f t="shared" si="47"/>
        <v>4.666666666666667</v>
      </c>
      <c r="AX58" s="127">
        <f t="shared" si="48"/>
        <v>7.2566917806727574E+23</v>
      </c>
      <c r="AY58" s="155">
        <f t="shared" si="49"/>
        <v>8.2969836908721867E-3</v>
      </c>
      <c r="AZ58" s="155">
        <f t="shared" si="50"/>
        <v>0.63919210041096441</v>
      </c>
      <c r="BA58" s="155">
        <f t="shared" si="51"/>
        <v>0.28258435430816542</v>
      </c>
      <c r="BB58" s="155">
        <f t="shared" si="52"/>
        <v>3.9405050482371286E-2</v>
      </c>
      <c r="BC58" s="155">
        <f t="shared" si="53"/>
        <v>2.0736182420841697E-2</v>
      </c>
      <c r="BD58" s="155">
        <f t="shared" si="54"/>
        <v>9.7853286867848523E-3</v>
      </c>
    </row>
    <row r="59" spans="2:56">
      <c r="N59" s="128">
        <f>[4]Eq_de_Bateman_avec_RK1!F59</f>
        <v>4.75</v>
      </c>
      <c r="O59" s="128">
        <f>[4]Eq_de_Bateman_avec_RK1!G59</f>
        <v>149796000</v>
      </c>
      <c r="P59" s="129">
        <f>courbes!B59</f>
        <v>2.532380735910572E+19</v>
      </c>
      <c r="Q59" s="129">
        <f>courbes!C59</f>
        <v>1.9361240623607775E+21</v>
      </c>
      <c r="R59" s="129">
        <f>courbes!D59</f>
        <v>8.5578810285132284E+20</v>
      </c>
      <c r="S59" s="129">
        <f>courbes!E59</f>
        <v>1.1860466306712794E+20</v>
      </c>
      <c r="T59" s="129">
        <f>courbes!F59</f>
        <v>6.2303825801823863E+19</v>
      </c>
      <c r="U59" s="129">
        <f>courbes!G59</f>
        <v>2.9404827374374035E+19</v>
      </c>
      <c r="V59" s="129">
        <f>courbes!H59</f>
        <v>2.6062912634159702E+19</v>
      </c>
      <c r="W59" s="129">
        <f>courbes!I59</f>
        <v>1.427515133296977E+22</v>
      </c>
      <c r="AN59" s="127"/>
      <c r="AW59" s="126">
        <f t="shared" si="47"/>
        <v>4.75</v>
      </c>
      <c r="AX59" s="127">
        <f t="shared" si="48"/>
        <v>7.2489767478045373E+23</v>
      </c>
      <c r="AY59" s="155">
        <f t="shared" si="49"/>
        <v>8.3143681669175587E-3</v>
      </c>
      <c r="AZ59" s="155">
        <f t="shared" si="50"/>
        <v>0.63834340625298835</v>
      </c>
      <c r="BA59" s="155">
        <f t="shared" si="51"/>
        <v>0.28333536143087051</v>
      </c>
      <c r="BB59" s="155">
        <f t="shared" si="52"/>
        <v>3.9431391206813909E-2</v>
      </c>
      <c r="BC59" s="155">
        <f t="shared" si="53"/>
        <v>2.0799522979029879E-2</v>
      </c>
      <c r="BD59" s="155">
        <f t="shared" si="54"/>
        <v>9.7759499633798888E-3</v>
      </c>
    </row>
    <row r="60" spans="2:56">
      <c r="N60" s="128">
        <f>[4]Eq_de_Bateman_avec_RK1!F60</f>
        <v>4.833333333333333</v>
      </c>
      <c r="O60" s="128">
        <f>[4]Eq_de_Bateman_avec_RK1!G60</f>
        <v>152424000</v>
      </c>
      <c r="P60" s="129">
        <f>courbes!B60</f>
        <v>2.5346116912492249E+19</v>
      </c>
      <c r="Q60" s="129">
        <f>courbes!C60</f>
        <v>1.9314821268506238E+21</v>
      </c>
      <c r="R60" s="129">
        <f>courbes!D60</f>
        <v>8.5711790449381868E+20</v>
      </c>
      <c r="S60" s="129">
        <f>courbes!E60</f>
        <v>1.1856481201099424E+20</v>
      </c>
      <c r="T60" s="129">
        <f>courbes!F60</f>
        <v>6.2426294550615237E+19</v>
      </c>
      <c r="U60" s="129">
        <f>courbes!G60</f>
        <v>2.9346189827455857E+19</v>
      </c>
      <c r="V60" s="129">
        <f>courbes!H60</f>
        <v>2.5509534343723086E+19</v>
      </c>
      <c r="W60" s="129">
        <f>courbes!I60</f>
        <v>1.423442413562685E+22</v>
      </c>
      <c r="AN60" s="127"/>
      <c r="AW60" s="126">
        <f t="shared" si="47"/>
        <v>4.833333333333333</v>
      </c>
      <c r="AX60" s="127">
        <f t="shared" si="48"/>
        <v>7.2411861594530409E+23</v>
      </c>
      <c r="AY60" s="155">
        <f t="shared" si="49"/>
        <v>8.3306459637115682E-3</v>
      </c>
      <c r="AZ60" s="155">
        <f t="shared" si="50"/>
        <v>0.63749808132562591</v>
      </c>
      <c r="BA60" s="155">
        <f t="shared" si="51"/>
        <v>0.28408093998518957</v>
      </c>
      <c r="BB60" s="155">
        <f t="shared" si="52"/>
        <v>3.9460551165843717E-2</v>
      </c>
      <c r="BC60" s="155">
        <f t="shared" si="53"/>
        <v>2.0862829581486688E-2</v>
      </c>
      <c r="BD60" s="155">
        <f t="shared" si="54"/>
        <v>9.7669519781425889E-3</v>
      </c>
    </row>
    <row r="61" spans="2:56">
      <c r="N61" s="128">
        <f>[4]Eq_de_Bateman_avec_RK1!F61</f>
        <v>4.916666666666667</v>
      </c>
      <c r="O61" s="128">
        <f>[4]Eq_de_Bateman_avec_RK1!G61</f>
        <v>155052000</v>
      </c>
      <c r="P61" s="129">
        <f>courbes!B61</f>
        <v>2.5364811174967579E+19</v>
      </c>
      <c r="Q61" s="129">
        <f>courbes!C61</f>
        <v>1.926836078396877E+21</v>
      </c>
      <c r="R61" s="129">
        <f>courbes!D61</f>
        <v>8.5841777521315689E+20</v>
      </c>
      <c r="S61" s="129">
        <f>courbes!E61</f>
        <v>1.1853168697438436E+20</v>
      </c>
      <c r="T61" s="129">
        <f>courbes!F61</f>
        <v>6.2547645082561569E+19</v>
      </c>
      <c r="U61" s="129">
        <f>courbes!G61</f>
        <v>2.9288462215021109E+19</v>
      </c>
      <c r="V61" s="129">
        <f>courbes!H61</f>
        <v>2.4967992970756694E+19</v>
      </c>
      <c r="W61" s="129">
        <f>courbes!I61</f>
        <v>1.4193813133567948E+22</v>
      </c>
      <c r="AN61" s="127"/>
      <c r="AW61" s="126">
        <f t="shared" si="47"/>
        <v>4.916666666666667</v>
      </c>
      <c r="AX61" s="127">
        <f t="shared" si="48"/>
        <v>7.2333209991228024E+23</v>
      </c>
      <c r="AY61" s="155">
        <f t="shared" si="49"/>
        <v>8.3458553275520056E-3</v>
      </c>
      <c r="AZ61" s="155">
        <f t="shared" si="50"/>
        <v>0.6366561400948485</v>
      </c>
      <c r="BA61" s="155">
        <f t="shared" si="51"/>
        <v>0.28482112998461162</v>
      </c>
      <c r="BB61" s="155">
        <f t="shared" si="52"/>
        <v>3.9492422034485809E-2</v>
      </c>
      <c r="BC61" s="155">
        <f t="shared" si="53"/>
        <v>2.0926114176068687E-2</v>
      </c>
      <c r="BD61" s="155">
        <f t="shared" si="54"/>
        <v>9.7583383824333056E-3</v>
      </c>
    </row>
    <row r="62" spans="2:56">
      <c r="N62" s="128">
        <f>[4]Eq_de_Bateman_avec_RK1!F62</f>
        <v>5</v>
      </c>
      <c r="O62" s="128">
        <f>[4]Eq_de_Bateman_avec_RK1!G62</f>
        <v>157680000</v>
      </c>
      <c r="P62" s="129">
        <f>courbes!B62</f>
        <v>2.5380015918603923E+19</v>
      </c>
      <c r="Q62" s="129">
        <f>courbes!C62</f>
        <v>1.9221862626603927E+21</v>
      </c>
      <c r="R62" s="129">
        <f>courbes!D62</f>
        <v>8.5968793451058417E+20</v>
      </c>
      <c r="S62" s="129">
        <f>courbes!E62</f>
        <v>1.1850496004752163E+20</v>
      </c>
      <c r="T62" s="129">
        <f>courbes!F62</f>
        <v>6.2667914389432656E+19</v>
      </c>
      <c r="U62" s="129">
        <f>courbes!G62</f>
        <v>2.9231655044295487E+19</v>
      </c>
      <c r="V62" s="129">
        <f>courbes!H62</f>
        <v>2.4438035072526156E+19</v>
      </c>
      <c r="W62" s="129">
        <f>courbes!I62</f>
        <v>1.4153317995286119E+22</v>
      </c>
      <c r="AN62" s="127"/>
      <c r="AW62" s="126">
        <f t="shared" si="47"/>
        <v>5</v>
      </c>
      <c r="AX62" s="127">
        <f t="shared" si="48"/>
        <v>7.2253822436637257E+23</v>
      </c>
      <c r="AY62" s="155">
        <f t="shared" si="49"/>
        <v>8.3600335386060445E-3</v>
      </c>
      <c r="AZ62" s="155">
        <f t="shared" si="50"/>
        <v>0.63581759591847931</v>
      </c>
      <c r="BA62" s="155">
        <f t="shared" si="51"/>
        <v>0.28555597105395536</v>
      </c>
      <c r="BB62" s="155">
        <f t="shared" si="52"/>
        <v>3.9526898935344272E-2</v>
      </c>
      <c r="BC62" s="155">
        <f t="shared" si="53"/>
        <v>2.098938820232266E-2</v>
      </c>
      <c r="BD62" s="155">
        <f t="shared" si="54"/>
        <v>9.7501123512920736E-3</v>
      </c>
    </row>
    <row r="63" spans="2:56">
      <c r="N63" s="128">
        <f>[4]Eq_de_Bateman_avec_RK1!F63</f>
        <v>5.083333333333333</v>
      </c>
      <c r="O63" s="128">
        <f>[4]Eq_de_Bateman_avec_RK1!G63</f>
        <v>160308000</v>
      </c>
      <c r="P63" s="129">
        <f>courbes!B63</f>
        <v>2.5391853745332408E+19</v>
      </c>
      <c r="Q63" s="129">
        <f>courbes!C63</f>
        <v>1.917533018105411E+21</v>
      </c>
      <c r="R63" s="129">
        <f>courbes!D63</f>
        <v>8.609286015971539E+20</v>
      </c>
      <c r="S63" s="129">
        <f>courbes!E63</f>
        <v>1.1848431416176112E+20</v>
      </c>
      <c r="T63" s="129">
        <f>courbes!F63</f>
        <v>6.2787137893414511E+19</v>
      </c>
      <c r="U63" s="129">
        <f>courbes!G63</f>
        <v>2.9175777308439417E+19</v>
      </c>
      <c r="V63" s="129">
        <f>courbes!H63</f>
        <v>2.3919412633430032E+19</v>
      </c>
      <c r="W63" s="129">
        <f>courbes!I63</f>
        <v>1.4112938390220215E+22</v>
      </c>
      <c r="AN63" s="127"/>
      <c r="AW63" s="126">
        <f t="shared" si="47"/>
        <v>5.083333333333333</v>
      </c>
      <c r="AX63" s="127">
        <f t="shared" si="48"/>
        <v>7.2173708631642376E+23</v>
      </c>
      <c r="AY63" s="155">
        <f t="shared" si="49"/>
        <v>8.3732169317119274E-3</v>
      </c>
      <c r="AZ63" s="155">
        <f t="shared" si="50"/>
        <v>0.63498246108731859</v>
      </c>
      <c r="BA63" s="155">
        <f t="shared" si="51"/>
        <v>0.28628550243672723</v>
      </c>
      <c r="BB63" s="155">
        <f t="shared" si="52"/>
        <v>3.9563880330330536E-2</v>
      </c>
      <c r="BC63" s="155">
        <f t="shared" si="53"/>
        <v>2.105266260842352E-2</v>
      </c>
      <c r="BD63" s="155">
        <f t="shared" si="54"/>
        <v>9.7422766054884591E-3</v>
      </c>
    </row>
    <row r="64" spans="2:56">
      <c r="N64" s="128">
        <f>[4]Eq_de_Bateman_avec_RK1!F64</f>
        <v>5.166666666666667</v>
      </c>
      <c r="O64" s="128">
        <f>[4]Eq_de_Bateman_avec_RK1!G64</f>
        <v>162936000</v>
      </c>
      <c r="P64" s="129">
        <f>courbes!B64</f>
        <v>2.5400444148693131E+19</v>
      </c>
      <c r="Q64" s="129">
        <f>courbes!C64</f>
        <v>1.9128766761325751E+21</v>
      </c>
      <c r="R64" s="129">
        <f>courbes!D64</f>
        <v>8.6213999536592165E+20</v>
      </c>
      <c r="S64" s="129">
        <f>courbes!E64</f>
        <v>1.1846944276008254E+20</v>
      </c>
      <c r="T64" s="129">
        <f>courbes!F64</f>
        <v>6.2905349498920018E+19</v>
      </c>
      <c r="U64" s="129">
        <f>courbes!G64</f>
        <v>2.9120836557906751E+19</v>
      </c>
      <c r="V64" s="129">
        <f>courbes!H64</f>
        <v>2.3411882948785627E+19</v>
      </c>
      <c r="W64" s="129">
        <f>courbes!I64</f>
        <v>1.407267398875219E+22</v>
      </c>
      <c r="AN64" s="127"/>
      <c r="AW64" s="126">
        <f t="shared" si="47"/>
        <v>5.166666666666667</v>
      </c>
      <c r="AX64" s="127">
        <f t="shared" si="48"/>
        <v>7.2092878208526955E+23</v>
      </c>
      <c r="AY64" s="155">
        <f t="shared" si="49"/>
        <v>8.3854409167893953E-3</v>
      </c>
      <c r="AZ64" s="155">
        <f t="shared" si="50"/>
        <v>0.6341507468647738</v>
      </c>
      <c r="BA64" s="155">
        <f t="shared" si="51"/>
        <v>0.28700976300228781</v>
      </c>
      <c r="BB64" s="155">
        <f t="shared" si="52"/>
        <v>3.9603267915863202E-2</v>
      </c>
      <c r="BC64" s="155">
        <f t="shared" si="53"/>
        <v>2.1115947867563562E-2</v>
      </c>
      <c r="BD64" s="155">
        <f t="shared" si="54"/>
        <v>9.7348334327224048E-3</v>
      </c>
    </row>
    <row r="65" spans="14:56">
      <c r="N65" s="128">
        <f>[4]Eq_de_Bateman_avec_RK1!F65</f>
        <v>5.25</v>
      </c>
      <c r="O65" s="128">
        <f>[4]Eq_de_Bateman_avec_RK1!G65</f>
        <v>165564000</v>
      </c>
      <c r="P65" s="129">
        <f>courbes!B65</f>
        <v>2.5405903574789882E+19</v>
      </c>
      <c r="Q65" s="129">
        <f>courbes!C65</f>
        <v>1.9082175612095418E+21</v>
      </c>
      <c r="R65" s="129">
        <f>courbes!D65</f>
        <v>8.6332233436491743E+20</v>
      </c>
      <c r="S65" s="129">
        <f>courbes!E65</f>
        <v>1.1846004947744614E+20</v>
      </c>
      <c r="T65" s="129">
        <f>courbes!F65</f>
        <v>6.3022581642849952E+19</v>
      </c>
      <c r="U65" s="129">
        <f>courbes!G65</f>
        <v>2.9066838969171923E+19</v>
      </c>
      <c r="V65" s="129">
        <f>courbes!H65</f>
        <v>2.2915208511103263E+19</v>
      </c>
      <c r="W65" s="129">
        <f>courbes!I65</f>
        <v>1.4032524462204406E+22</v>
      </c>
      <c r="AN65" s="127"/>
      <c r="AW65" s="126">
        <f t="shared" si="47"/>
        <v>5.25</v>
      </c>
      <c r="AX65" s="127">
        <f t="shared" si="48"/>
        <v>7.2011340730066535E+23</v>
      </c>
      <c r="AY65" s="155">
        <f t="shared" si="49"/>
        <v>8.3967399988643509E-3</v>
      </c>
      <c r="AZ65" s="155">
        <f t="shared" si="50"/>
        <v>0.6333224635250575</v>
      </c>
      <c r="BA65" s="155">
        <f t="shared" si="51"/>
        <v>0.28772879125283402</v>
      </c>
      <c r="BB65" s="155">
        <f t="shared" si="52"/>
        <v>3.9644966521425497E-2</v>
      </c>
      <c r="BC65" s="155">
        <f t="shared" si="53"/>
        <v>2.1179253993811313E-2</v>
      </c>
      <c r="BD65" s="155">
        <f t="shared" si="54"/>
        <v>9.7277847080072845E-3</v>
      </c>
    </row>
    <row r="66" spans="14:56">
      <c r="N66" s="128">
        <f>[4]Eq_de_Bateman_avec_RK1!F66</f>
        <v>5.333333333333333</v>
      </c>
      <c r="O66" s="128">
        <f>[4]Eq_de_Bateman_avec_RK1!G66</f>
        <v>168192000</v>
      </c>
      <c r="P66" s="129">
        <f>courbes!B66</f>
        <v>2.5408345482445705E+19</v>
      </c>
      <c r="Q66" s="129">
        <f>courbes!C66</f>
        <v>1.9035559909992272E+21</v>
      </c>
      <c r="R66" s="129">
        <f>courbes!D66</f>
        <v>8.6447583677087783E+20</v>
      </c>
      <c r="S66" s="129">
        <f>courbes!E66</f>
        <v>1.184558478307163E+20</v>
      </c>
      <c r="T66" s="129">
        <f>courbes!F66</f>
        <v>6.3138865343349588E+19</v>
      </c>
      <c r="U66" s="129">
        <f>courbes!G66</f>
        <v>2.9013789410913337E+19</v>
      </c>
      <c r="V66" s="129">
        <f>courbes!H66</f>
        <v>2.2429156898795819E+19</v>
      </c>
      <c r="W66" s="129">
        <f>courbes!I66</f>
        <v>1.3992489482836955E+22</v>
      </c>
      <c r="AN66" s="127"/>
      <c r="AW66" s="126">
        <f t="shared" ref="AW66:AW97" si="56">N66</f>
        <v>5.333333333333333</v>
      </c>
      <c r="AX66" s="127">
        <f t="shared" ref="AX66:AX97" si="57">P66*238+Q66*239+R66*240+S66*241+T66*242+U66*241</f>
        <v>7.1929105688697146E+23</v>
      </c>
      <c r="AY66" s="155">
        <f t="shared" ref="AY66:AY97" si="58">P66*238/$AX66</f>
        <v>8.4071477977131666E-3</v>
      </c>
      <c r="AZ66" s="155">
        <f t="shared" ref="AZ66:AZ97" si="59">Q66*239/$AX66</f>
        <v>0.63249762038999691</v>
      </c>
      <c r="BA66" s="155">
        <f t="shared" ref="BA66:BA97" si="60">R66*240/$AX66</f>
        <v>0.28844262533019777</v>
      </c>
      <c r="BB66" s="155">
        <f t="shared" ref="BB66:BB97" si="61">S66*241/$AX66</f>
        <v>3.9688884011369829E-2</v>
      </c>
      <c r="BC66" s="155">
        <f t="shared" ref="BC66:BC97" si="62">T66*242/$AX66</f>
        <v>2.1242590557457215E-2</v>
      </c>
      <c r="BD66" s="155">
        <f t="shared" ref="BD66:BD97" si="63">U66*241/$AX66</f>
        <v>9.7211319132650912E-3</v>
      </c>
    </row>
    <row r="67" spans="14:56">
      <c r="N67" s="128">
        <f>[4]Eq_de_Bateman_avec_RK1!F67</f>
        <v>5.416666666666667</v>
      </c>
      <c r="O67" s="128">
        <f>[4]Eq_de_Bateman_avec_RK1!G67</f>
        <v>170820000</v>
      </c>
      <c r="P67" s="129">
        <f>courbes!B67</f>
        <v>2.5407880402556346E+19</v>
      </c>
      <c r="Q67" s="129">
        <f>courbes!C67</f>
        <v>1.8988922764857327E+21</v>
      </c>
      <c r="R67" s="129">
        <f>courbes!D67</f>
        <v>8.6560072036372185E+20</v>
      </c>
      <c r="S67" s="129">
        <f>courbes!E67</f>
        <v>1.1845656091786614E+20</v>
      </c>
      <c r="T67" s="129">
        <f>courbes!F67</f>
        <v>6.3254230247105036E+19</v>
      </c>
      <c r="U67" s="129">
        <f>courbes!G67</f>
        <v>2.8961691507738087E+19</v>
      </c>
      <c r="V67" s="129">
        <f>courbes!H67</f>
        <v>2.1953500667271324E+19</v>
      </c>
      <c r="W67" s="129">
        <f>courbes!I67</f>
        <v>1.3952568723844981E+22</v>
      </c>
      <c r="AN67" s="127"/>
      <c r="AW67" s="126">
        <f t="shared" si="56"/>
        <v>5.416666666666667</v>
      </c>
      <c r="AX67" s="127">
        <f t="shared" si="57"/>
        <v>7.1846182505756183E+23</v>
      </c>
      <c r="AY67" s="155">
        <f t="shared" si="58"/>
        <v>8.4166970671321756E-3</v>
      </c>
      <c r="AZ67" s="155">
        <f t="shared" si="59"/>
        <v>0.63167622586451222</v>
      </c>
      <c r="BA67" s="155">
        <f t="shared" si="60"/>
        <v>0.28915130302246633</v>
      </c>
      <c r="BB67" s="155">
        <f t="shared" si="61"/>
        <v>3.9734931189863182E-2</v>
      </c>
      <c r="BC67" s="155">
        <f t="shared" si="62"/>
        <v>2.1305966699863291E-2</v>
      </c>
      <c r="BD67" s="155">
        <f t="shared" si="63"/>
        <v>9.7148761561627484E-3</v>
      </c>
    </row>
    <row r="68" spans="14:56">
      <c r="N68" s="128">
        <f>[4]Eq_de_Bateman_avec_RK1!F68</f>
        <v>5.5</v>
      </c>
      <c r="O68" s="128">
        <f>[4]Eq_de_Bateman_avec_RK1!G68</f>
        <v>173448000</v>
      </c>
      <c r="P68" s="129">
        <f>courbes!B68</f>
        <v>2.5404615996639252E+19</v>
      </c>
      <c r="Q68" s="129">
        <f>courbes!C68</f>
        <v>1.894226722097996E+21</v>
      </c>
      <c r="R68" s="129">
        <f>courbes!D68</f>
        <v>8.6669720250175599E+20</v>
      </c>
      <c r="S68" s="129">
        <f>courbes!E68</f>
        <v>1.1846192112618517E+20</v>
      </c>
      <c r="T68" s="129">
        <f>courbes!F68</f>
        <v>6.3368704675221922E+19</v>
      </c>
      <c r="U68" s="129">
        <f>courbes!G68</f>
        <v>2.8910547701530247E+19</v>
      </c>
      <c r="V68" s="129">
        <f>courbes!H68</f>
        <v>2.1488017242357608E+19</v>
      </c>
      <c r="W68" s="129">
        <f>courbes!I68</f>
        <v>1.3912761859356007E+22</v>
      </c>
      <c r="AN68" s="127"/>
      <c r="AW68" s="126">
        <f t="shared" si="56"/>
        <v>5.5</v>
      </c>
      <c r="AX68" s="127">
        <f t="shared" si="57"/>
        <v>7.1762580530792571E+23</v>
      </c>
      <c r="AY68" s="155">
        <f t="shared" si="58"/>
        <v>8.4254197138378256E-3</v>
      </c>
      <c r="AZ68" s="155">
        <f t="shared" si="59"/>
        <v>0.63085828747081296</v>
      </c>
      <c r="BA68" s="155">
        <f t="shared" si="60"/>
        <v>0.28985486177042874</v>
      </c>
      <c r="BB68" s="155">
        <f t="shared" si="61"/>
        <v>3.9783021708870138E-2</v>
      </c>
      <c r="BC68" s="155">
        <f t="shared" si="62"/>
        <v>2.1369391147832983E-2</v>
      </c>
      <c r="BD68" s="155">
        <f t="shared" si="63"/>
        <v>9.7090181882173721E-3</v>
      </c>
    </row>
    <row r="69" spans="14:56">
      <c r="N69" s="128">
        <f>[4]Eq_de_Bateman_avec_RK1!F69</f>
        <v>5.583333333333333</v>
      </c>
      <c r="O69" s="128">
        <f>[4]Eq_de_Bateman_avec_RK1!G69</f>
        <v>176076000</v>
      </c>
      <c r="P69" s="129">
        <f>courbes!B69</f>
        <v>2.5398657114576597E+19</v>
      </c>
      <c r="Q69" s="129">
        <f>courbes!C69</f>
        <v>1.889559625831205E+21</v>
      </c>
      <c r="R69" s="129">
        <f>courbes!D69</f>
        <v>8.6776550009759164E+20</v>
      </c>
      <c r="S69" s="129">
        <f>courbes!E69</f>
        <v>1.184716698492205E+20</v>
      </c>
      <c r="T69" s="129">
        <f>courbes!F69</f>
        <v>6.3482315667727933E+19</v>
      </c>
      <c r="U69" s="129">
        <f>courbes!G69</f>
        <v>2.8860359310502466E+19</v>
      </c>
      <c r="V69" s="129">
        <f>courbes!H69</f>
        <v>2.1032488816009064E+19</v>
      </c>
      <c r="W69" s="129">
        <f>courbes!I69</f>
        <v>1.3873068564427282E+22</v>
      </c>
      <c r="AN69" s="127"/>
      <c r="AW69" s="126">
        <f t="shared" si="56"/>
        <v>5.583333333333333</v>
      </c>
      <c r="AX69" s="127">
        <f t="shared" si="57"/>
        <v>7.1678309040943265E+23</v>
      </c>
      <c r="AY69" s="155">
        <f t="shared" si="58"/>
        <v>8.433346816003072E-3</v>
      </c>
      <c r="AZ69" s="155">
        <f t="shared" si="59"/>
        <v>0.63004381188135661</v>
      </c>
      <c r="BA69" s="155">
        <f t="shared" si="60"/>
        <v>0.29055333867385175</v>
      </c>
      <c r="BB69" s="155">
        <f t="shared" si="61"/>
        <v>3.9833071979074139E-2</v>
      </c>
      <c r="BC69" s="155">
        <f t="shared" si="62"/>
        <v>2.1432872227517035E-2</v>
      </c>
      <c r="BD69" s="155">
        <f t="shared" si="63"/>
        <v>9.7035584221973493E-3</v>
      </c>
    </row>
    <row r="70" spans="14:56">
      <c r="N70" s="128">
        <f>[4]Eq_de_Bateman_avec_RK1!F70</f>
        <v>5.666666666666667</v>
      </c>
      <c r="O70" s="128">
        <f>[4]Eq_de_Bateman_avec_RK1!G70</f>
        <v>178704000</v>
      </c>
      <c r="P70" s="129">
        <f>courbes!B70</f>
        <v>2.5390105851551404E+19</v>
      </c>
      <c r="Q70" s="129">
        <f>courbes!C70</f>
        <v>1.884891279366022E+21</v>
      </c>
      <c r="R70" s="129">
        <f>courbes!D70</f>
        <v>8.6880582959476192E+20</v>
      </c>
      <c r="S70" s="129">
        <f>courbes!E70</f>
        <v>1.1848555721218985E+20</v>
      </c>
      <c r="T70" s="129">
        <f>courbes!F70</f>
        <v>6.359508902673947E+19</v>
      </c>
      <c r="U70" s="129">
        <f>courbes!G70</f>
        <v>2.8811126586028016E+19</v>
      </c>
      <c r="V70" s="129">
        <f>courbes!H70</f>
        <v>2.0586702244246667E+19</v>
      </c>
      <c r="W70" s="129">
        <f>courbes!I70</f>
        <v>1.3833488515043124E+22</v>
      </c>
      <c r="AN70" s="127"/>
      <c r="AW70" s="126">
        <f t="shared" si="56"/>
        <v>5.666666666666667</v>
      </c>
      <c r="AX70" s="127">
        <f t="shared" si="57"/>
        <v>7.1593377240373285E+23</v>
      </c>
      <c r="AY70" s="155">
        <f t="shared" si="58"/>
        <v>8.4405086414355152E-3</v>
      </c>
      <c r="AZ70" s="155">
        <f t="shared" si="59"/>
        <v>0.62923280495061951</v>
      </c>
      <c r="BA70" s="155">
        <f t="shared" si="60"/>
        <v>0.29124677049758868</v>
      </c>
      <c r="BB70" s="155">
        <f t="shared" si="61"/>
        <v>3.9885001083640556E-2</v>
      </c>
      <c r="BC70" s="155">
        <f t="shared" si="62"/>
        <v>2.149641787787061E-2</v>
      </c>
      <c r="BD70" s="155">
        <f t="shared" si="63"/>
        <v>9.6984969488450815E-3</v>
      </c>
    </row>
    <row r="71" spans="14:56">
      <c r="N71" s="128">
        <f>[4]Eq_de_Bateman_avec_RK1!F71</f>
        <v>5.75</v>
      </c>
      <c r="O71" s="128">
        <f>[4]Eq_de_Bateman_avec_RK1!G71</f>
        <v>181332000</v>
      </c>
      <c r="P71" s="129">
        <f>courbes!B71</f>
        <v>2.5379061604176458E+19</v>
      </c>
      <c r="Q71" s="129">
        <f>courbes!C71</f>
        <v>1.8802219681856524E+21</v>
      </c>
      <c r="R71" s="129">
        <f>courbes!D71</f>
        <v>8.6981840694502084E+20</v>
      </c>
      <c r="S71" s="129">
        <f>courbes!E71</f>
        <v>1.1850334180561296E+20</v>
      </c>
      <c r="T71" s="129">
        <f>courbes!F71</f>
        <v>6.3707049358331421E+19</v>
      </c>
      <c r="U71" s="129">
        <f>courbes!G71</f>
        <v>2.8762848767327965E+19</v>
      </c>
      <c r="V71" s="129">
        <f>courbes!H71</f>
        <v>2.0150448947283411E+19</v>
      </c>
      <c r="W71" s="129">
        <f>courbes!I71</f>
        <v>1.379402138811228E+22</v>
      </c>
      <c r="AN71" s="127"/>
      <c r="AW71" s="126">
        <f t="shared" si="56"/>
        <v>5.75</v>
      </c>
      <c r="AX71" s="127">
        <f t="shared" si="57"/>
        <v>7.1507794259776502E+23</v>
      </c>
      <c r="AY71" s="155">
        <f t="shared" si="58"/>
        <v>8.4469346654028298E-3</v>
      </c>
      <c r="AZ71" s="155">
        <f t="shared" si="59"/>
        <v>0.62842527174572016</v>
      </c>
      <c r="BA71" s="155">
        <f t="shared" si="60"/>
        <v>0.29193519367752552</v>
      </c>
      <c r="BB71" s="155">
        <f t="shared" si="61"/>
        <v>3.9938730694728586E-2</v>
      </c>
      <c r="BC71" s="155">
        <f t="shared" si="62"/>
        <v>2.1560035663676459E-2</v>
      </c>
      <c r="BD71" s="155">
        <f t="shared" si="63"/>
        <v>9.6938335529463231E-3</v>
      </c>
    </row>
    <row r="72" spans="14:56">
      <c r="N72" s="128">
        <f>[4]Eq_de_Bateman_avec_RK1!F72</f>
        <v>5.833333333333333</v>
      </c>
      <c r="O72" s="128">
        <f>[4]Eq_de_Bateman_avec_RK1!G72</f>
        <v>183960000</v>
      </c>
      <c r="P72" s="129">
        <f>courbes!B72</f>
        <v>2.5365621125816345E+19</v>
      </c>
      <c r="Q72" s="129">
        <f>courbes!C72</f>
        <v>1.8755519716908034E+21</v>
      </c>
      <c r="R72" s="129">
        <f>courbes!D72</f>
        <v>8.7080344758631268E+20</v>
      </c>
      <c r="S72" s="129">
        <f>courbes!E72</f>
        <v>1.1852479042691514E+20</v>
      </c>
      <c r="T72" s="129">
        <f>courbes!F72</f>
        <v>6.3818220113148076E+19</v>
      </c>
      <c r="U72" s="129">
        <f>courbes!G72</f>
        <v>2.8715524134085796E+19</v>
      </c>
      <c r="V72" s="129">
        <f>courbes!H72</f>
        <v>1.9723524811788386E+19</v>
      </c>
      <c r="W72" s="129">
        <f>courbes!I72</f>
        <v>1.3754666861465279E+22</v>
      </c>
      <c r="AN72" s="127"/>
      <c r="AW72" s="126">
        <f t="shared" si="56"/>
        <v>5.833333333333333</v>
      </c>
      <c r="AX72" s="127">
        <f t="shared" si="57"/>
        <v>7.1421569155934441E+23</v>
      </c>
      <c r="AY72" s="155">
        <f t="shared" si="58"/>
        <v>8.4526535881110261E-3</v>
      </c>
      <c r="AZ72" s="155">
        <f t="shared" si="59"/>
        <v>0.62762121657593994</v>
      </c>
      <c r="BA72" s="155">
        <f t="shared" si="60"/>
        <v>0.29261864432636842</v>
      </c>
      <c r="BB72" s="155">
        <f t="shared" si="61"/>
        <v>3.9994184992662149E-2</v>
      </c>
      <c r="BC72" s="155">
        <f t="shared" si="62"/>
        <v>2.1623732788148334E-2</v>
      </c>
      <c r="BD72" s="155">
        <f t="shared" si="63"/>
        <v>9.6895677287701463E-3</v>
      </c>
    </row>
    <row r="73" spans="14:56">
      <c r="N73" s="128">
        <f>[4]Eq_de_Bateman_avec_RK1!F73</f>
        <v>5.916666666666667</v>
      </c>
      <c r="O73" s="128">
        <f>[4]Eq_de_Bateman_avec_RK1!G73</f>
        <v>186588000</v>
      </c>
      <c r="P73" s="129">
        <f>courbes!B73</f>
        <v>2.5349878581103456E+19</v>
      </c>
      <c r="Q73" s="129">
        <f>courbes!C73</f>
        <v>1.8708815633125679E+21</v>
      </c>
      <c r="R73" s="129">
        <f>courbes!D73</f>
        <v>8.7176116642139551E+20</v>
      </c>
      <c r="S73" s="129">
        <f>courbes!E73</f>
        <v>1.1854967782976455E+20</v>
      </c>
      <c r="T73" s="129">
        <f>courbes!F73</f>
        <v>6.3928623625791873E+19</v>
      </c>
      <c r="U73" s="129">
        <f>courbes!G73</f>
        <v>2.8669150057059422E+19</v>
      </c>
      <c r="V73" s="129">
        <f>courbes!H73</f>
        <v>1.9305730095243694E+19</v>
      </c>
      <c r="W73" s="129">
        <f>courbes!I73</f>
        <v>1.3715424613851812E+22</v>
      </c>
      <c r="AN73" s="127"/>
      <c r="AW73" s="126">
        <f t="shared" si="56"/>
        <v>5.916666666666667</v>
      </c>
      <c r="AX73" s="127">
        <f t="shared" si="57"/>
        <v>7.133471091133074E+23</v>
      </c>
      <c r="AY73" s="155">
        <f t="shared" si="58"/>
        <v>8.4576933518410082E-3</v>
      </c>
      <c r="AZ73" s="155">
        <f t="shared" si="59"/>
        <v>0.62682064302118068</v>
      </c>
      <c r="BA73" s="155">
        <f t="shared" si="60"/>
        <v>0.29329715823927477</v>
      </c>
      <c r="BB73" s="155">
        <f t="shared" si="61"/>
        <v>4.0051290587672581E-2</v>
      </c>
      <c r="BC73" s="155">
        <f t="shared" si="62"/>
        <v>2.1687516105128389E-2</v>
      </c>
      <c r="BD73" s="155">
        <f t="shared" si="63"/>
        <v>9.6856986949026228E-3</v>
      </c>
    </row>
    <row r="74" spans="14:56">
      <c r="N74" s="128">
        <f>[4]Eq_de_Bateman_avec_RK1!F74</f>
        <v>6</v>
      </c>
      <c r="O74" s="128">
        <f>[4]Eq_de_Bateman_avec_RK1!G74</f>
        <v>189216000</v>
      </c>
      <c r="P74" s="129">
        <f>courbes!B74</f>
        <v>2.5331925599649374E+19</v>
      </c>
      <c r="Q74" s="129">
        <f>courbes!C74</f>
        <v>1.8662110106232726E+21</v>
      </c>
      <c r="R74" s="129">
        <f>courbes!D74</f>
        <v>8.7269177779710657E+20</v>
      </c>
      <c r="S74" s="129">
        <f>courbes!E74</f>
        <v>1.1857778648091145E+20</v>
      </c>
      <c r="T74" s="129">
        <f>courbes!F74</f>
        <v>6.4038281153025778E+19</v>
      </c>
      <c r="U74" s="129">
        <f>courbes!G74</f>
        <v>2.8623723046758384E+19</v>
      </c>
      <c r="V74" s="129">
        <f>courbes!H74</f>
        <v>1.8896869332349383E+19</v>
      </c>
      <c r="W74" s="129">
        <f>courbes!I74</f>
        <v>1.3676294324938103E+22</v>
      </c>
      <c r="AN74" s="127"/>
      <c r="AW74" s="126">
        <f t="shared" si="56"/>
        <v>6</v>
      </c>
      <c r="AX74" s="127">
        <f t="shared" si="57"/>
        <v>7.1247228433818503E+23</v>
      </c>
      <c r="AY74" s="155">
        <f t="shared" si="58"/>
        <v>8.4620811577490098E-3</v>
      </c>
      <c r="AZ74" s="155">
        <f t="shared" si="59"/>
        <v>0.62602355395939924</v>
      </c>
      <c r="BA74" s="155">
        <f t="shared" si="60"/>
        <v>0.29397077089933377</v>
      </c>
      <c r="BB74" s="155">
        <f t="shared" si="61"/>
        <v>4.0109976444129392E-2</v>
      </c>
      <c r="BC74" s="155">
        <f t="shared" si="62"/>
        <v>2.175139213089199E-2</v>
      </c>
      <c r="BD74" s="155">
        <f t="shared" si="63"/>
        <v>9.6822254084965725E-3</v>
      </c>
    </row>
    <row r="75" spans="14:56">
      <c r="N75" s="128">
        <f>[4]Eq_de_Bateman_avec_RK1!F75</f>
        <v>6.083333333333333</v>
      </c>
      <c r="O75" s="128">
        <f>[4]Eq_de_Bateman_avec_RK1!G75</f>
        <v>191844000</v>
      </c>
      <c r="P75" s="129">
        <f>courbes!B75</f>
        <v>2.5311851328953573E+19</v>
      </c>
      <c r="Q75" s="129">
        <f>courbes!C75</f>
        <v>1.8615405754453299E+21</v>
      </c>
      <c r="R75" s="129">
        <f>courbes!D75</f>
        <v>8.7359549548425485E+20</v>
      </c>
      <c r="S75" s="129">
        <f>courbes!E75</f>
        <v>1.1860890632430518E+20</v>
      </c>
      <c r="T75" s="129">
        <f>courbes!F75</f>
        <v>6.4147212910823973E+19</v>
      </c>
      <c r="U75" s="129">
        <f>courbes!G75</f>
        <v>2.8579238800251798E+19</v>
      </c>
      <c r="V75" s="129">
        <f>courbes!H75</f>
        <v>1.849675124343255E+19</v>
      </c>
      <c r="W75" s="129">
        <f>courbes!I75</f>
        <v>1.3637275675304298E+22</v>
      </c>
      <c r="AN75" s="127"/>
      <c r="AW75" s="126">
        <f t="shared" si="56"/>
        <v>6.083333333333333</v>
      </c>
      <c r="AX75" s="127">
        <f t="shared" si="57"/>
        <v>7.1159130556338363E+23</v>
      </c>
      <c r="AY75" s="155">
        <f t="shared" si="58"/>
        <v>8.4658434823363E-3</v>
      </c>
      <c r="AZ75" s="155">
        <f t="shared" si="59"/>
        <v>0.62522995159305605</v>
      </c>
      <c r="BA75" s="155">
        <f t="shared" si="60"/>
        <v>0.29463951748289852</v>
      </c>
      <c r="BB75" s="155">
        <f t="shared" si="61"/>
        <v>4.0170173807177606E-2</v>
      </c>
      <c r="BC75" s="155">
        <f t="shared" si="62"/>
        <v>2.1815367055572691E-2</v>
      </c>
      <c r="BD75" s="155">
        <f t="shared" si="63"/>
        <v>9.6791465789588457E-3</v>
      </c>
    </row>
    <row r="76" spans="14:56">
      <c r="N76" s="128">
        <f>[4]Eq_de_Bateman_avec_RK1!F76</f>
        <v>6.166666666666667</v>
      </c>
      <c r="O76" s="128">
        <f>[4]Eq_de_Bateman_avec_RK1!G76</f>
        <v>194472000</v>
      </c>
      <c r="P76" s="129">
        <f>courbes!B76</f>
        <v>2.5289742486511772E+19</v>
      </c>
      <c r="Q76" s="129">
        <f>courbes!C76</f>
        <v>1.8568705139581261E+21</v>
      </c>
      <c r="R76" s="129">
        <f>courbes!D76</f>
        <v>8.7447253265812803E+20</v>
      </c>
      <c r="S76" s="129">
        <f>courbes!E76</f>
        <v>1.1864283455227083E+20</v>
      </c>
      <c r="T76" s="129">
        <f>courbes!F76</f>
        <v>6.4255438110304477E+19</v>
      </c>
      <c r="U76" s="129">
        <f>courbes!G76</f>
        <v>2.8535692246170518E+19</v>
      </c>
      <c r="V76" s="129">
        <f>courbes!H76</f>
        <v>1.8105188644817725E+19</v>
      </c>
      <c r="W76" s="129">
        <f>courbes!I76</f>
        <v>1.3598368346441853E+22</v>
      </c>
      <c r="AN76" s="127"/>
      <c r="AW76" s="126">
        <f t="shared" si="56"/>
        <v>6.166666666666667</v>
      </c>
      <c r="AX76" s="127">
        <f t="shared" si="57"/>
        <v>7.1070426036685067E+23</v>
      </c>
      <c r="AY76" s="155">
        <f t="shared" si="58"/>
        <v>8.4690060935936149E-3</v>
      </c>
      <c r="AZ76" s="155">
        <f t="shared" si="59"/>
        <v>0.62443983747461429</v>
      </c>
      <c r="BA76" s="155">
        <f t="shared" si="60"/>
        <v>0.2953034328647734</v>
      </c>
      <c r="BB76" s="155">
        <f t="shared" si="61"/>
        <v>4.0231816131703221E-2</v>
      </c>
      <c r="BC76" s="155">
        <f t="shared" si="62"/>
        <v>2.1879446754219812E-2</v>
      </c>
      <c r="BD76" s="155">
        <f t="shared" si="63"/>
        <v>9.6764606810957887E-3</v>
      </c>
    </row>
    <row r="77" spans="14:56">
      <c r="N77" s="128">
        <f>[4]Eq_de_Bateman_avec_RK1!F77</f>
        <v>6.25</v>
      </c>
      <c r="O77" s="128">
        <f>[4]Eq_de_Bateman_avec_RK1!G77</f>
        <v>197100000</v>
      </c>
      <c r="P77" s="129">
        <f>courbes!B77</f>
        <v>2.5265683411126804E+19</v>
      </c>
      <c r="Q77" s="129">
        <f>courbes!C77</f>
        <v>1.8522010768029857E+21</v>
      </c>
      <c r="R77" s="129">
        <f>courbes!D77</f>
        <v>8.7532310187960094E+20</v>
      </c>
      <c r="S77" s="129">
        <f>courbes!E77</f>
        <v>1.1867937538353457E+20</v>
      </c>
      <c r="T77" s="129">
        <f>courbes!F77</f>
        <v>6.4362974992576455E+19</v>
      </c>
      <c r="U77" s="129">
        <f>courbes!G77</f>
        <v>2.8493077587964944E+19</v>
      </c>
      <c r="V77" s="129">
        <f>courbes!H77</f>
        <v>1.7721998361116479E+19</v>
      </c>
      <c r="W77" s="129">
        <f>courbes!I77</f>
        <v>1.3559572020750937E+22</v>
      </c>
      <c r="AN77" s="127"/>
      <c r="AW77" s="126">
        <f t="shared" si="56"/>
        <v>6.25</v>
      </c>
      <c r="AX77" s="127">
        <f t="shared" si="57"/>
        <v>7.0981123557320088E+23</v>
      </c>
      <c r="AY77" s="155">
        <f t="shared" si="58"/>
        <v>8.4715940668257435E-3</v>
      </c>
      <c r="AZ77" s="155">
        <f t="shared" si="59"/>
        <v>0.6236532125311246</v>
      </c>
      <c r="BA77" s="155">
        <f t="shared" si="60"/>
        <v>0.29596255162326113</v>
      </c>
      <c r="BB77" s="155">
        <f t="shared" si="61"/>
        <v>4.0294839013550965E-2</v>
      </c>
      <c r="BC77" s="155">
        <f t="shared" si="62"/>
        <v>2.1943636797500665E-2</v>
      </c>
      <c r="BD77" s="155">
        <f t="shared" si="63"/>
        <v>9.6741659677369168E-3</v>
      </c>
    </row>
    <row r="78" spans="14:56">
      <c r="N78" s="128">
        <f>[4]Eq_de_Bateman_avec_RK1!F78</f>
        <v>6.333333333333333</v>
      </c>
      <c r="O78" s="128">
        <f>[4]Eq_de_Bateman_avec_RK1!G78</f>
        <v>199728000</v>
      </c>
      <c r="P78" s="129">
        <f>courbes!B78</f>
        <v>2.5239756113425281E+19</v>
      </c>
      <c r="Q78" s="129">
        <f>courbes!C78</f>
        <v>1.8475325091862455E+21</v>
      </c>
      <c r="R78" s="129">
        <f>courbes!D78</f>
        <v>8.7614741507683163E+20</v>
      </c>
      <c r="S78" s="129">
        <f>courbes!E78</f>
        <v>1.187183398478926E+20</v>
      </c>
      <c r="T78" s="129">
        <f>courbes!F78</f>
        <v>6.4469840862533804E+19</v>
      </c>
      <c r="U78" s="129">
        <f>courbes!G78</f>
        <v>2.8451388345477984E+19</v>
      </c>
      <c r="V78" s="129">
        <f>courbes!H78</f>
        <v>1.7347001139395228E+19</v>
      </c>
      <c r="W78" s="129">
        <f>courbes!I78</f>
        <v>1.3520886381537839E+22</v>
      </c>
      <c r="AN78" s="127"/>
      <c r="AW78" s="126">
        <f t="shared" si="56"/>
        <v>6.333333333333333</v>
      </c>
      <c r="AX78" s="127">
        <f t="shared" si="57"/>
        <v>7.0891231725228288E+23</v>
      </c>
      <c r="AY78" s="155">
        <f t="shared" si="58"/>
        <v>8.4736318001616337E-3</v>
      </c>
      <c r="AZ78" s="155">
        <f t="shared" si="59"/>
        <v>0.62287007708793019</v>
      </c>
      <c r="BA78" s="155">
        <f t="shared" si="60"/>
        <v>0.2966169080450724</v>
      </c>
      <c r="BB78" s="155">
        <f t="shared" si="61"/>
        <v>4.0359180122920883E-2</v>
      </c>
      <c r="BC78" s="155">
        <f t="shared" si="62"/>
        <v>2.2007942462059032E-2</v>
      </c>
      <c r="BD78" s="155">
        <f t="shared" si="63"/>
        <v>9.6722604818559651E-3</v>
      </c>
    </row>
    <row r="79" spans="14:56">
      <c r="N79" s="128">
        <f>[4]Eq_de_Bateman_avec_RK1!F79</f>
        <v>6.416666666666667</v>
      </c>
      <c r="O79" s="128">
        <f>[4]Eq_de_Bateman_avec_RK1!G79</f>
        <v>202356000</v>
      </c>
      <c r="P79" s="129">
        <f>courbes!B79</f>
        <v>2.5212040325583688E+19</v>
      </c>
      <c r="Q79" s="129">
        <f>courbes!C79</f>
        <v>1.8428650509804726E+21</v>
      </c>
      <c r="R79" s="129">
        <f>courbes!D79</f>
        <v>8.7694568352753438E+20</v>
      </c>
      <c r="S79" s="129">
        <f>courbes!E79</f>
        <v>1.1875954557732504E+20</v>
      </c>
      <c r="T79" s="129">
        <f>courbes!F79</f>
        <v>6.4576052121625969E+19</v>
      </c>
      <c r="U79" s="129">
        <f>courbes!G79</f>
        <v>2.8410617394890641E+19</v>
      </c>
      <c r="V79" s="129">
        <f>courbes!H79</f>
        <v>1.6980021565180957E+19</v>
      </c>
      <c r="W79" s="129">
        <f>courbes!I79</f>
        <v>1.3482311113012383E+22</v>
      </c>
      <c r="AN79" s="127"/>
      <c r="AW79" s="126">
        <f t="shared" si="56"/>
        <v>6.416666666666667</v>
      </c>
      <c r="AX79" s="127">
        <f t="shared" si="57"/>
        <v>7.0800759071816753E+23</v>
      </c>
      <c r="AY79" s="155">
        <f t="shared" si="58"/>
        <v>8.4751430297552964E-3</v>
      </c>
      <c r="AZ79" s="155">
        <f t="shared" si="59"/>
        <v>0.62209043089152172</v>
      </c>
      <c r="BA79" s="155">
        <f t="shared" si="60"/>
        <v>0.29726653613010151</v>
      </c>
      <c r="BB79" s="155">
        <f t="shared" si="61"/>
        <v>4.0424779139872739E-2</v>
      </c>
      <c r="BC79" s="155">
        <f t="shared" si="62"/>
        <v>2.2072368740541082E-2</v>
      </c>
      <c r="BD79" s="155">
        <f t="shared" si="63"/>
        <v>9.6707420682078157E-3</v>
      </c>
    </row>
    <row r="80" spans="14:56">
      <c r="N80" s="128">
        <f>[4]Eq_de_Bateman_avec_RK1!F80</f>
        <v>6.5</v>
      </c>
      <c r="O80" s="128">
        <f>[4]Eq_de_Bateman_avec_RK1!G80</f>
        <v>204984000</v>
      </c>
      <c r="P80" s="129">
        <f>courbes!B80</f>
        <v>2.5182613550267953E+19</v>
      </c>
      <c r="Q80" s="129">
        <f>courbes!C80</f>
        <v>1.8381989368238608E+21</v>
      </c>
      <c r="R80" s="129">
        <f>courbes!D80</f>
        <v>8.7771811784181521E+20</v>
      </c>
      <c r="S80" s="129">
        <f>courbes!E80</f>
        <v>1.1880281660336189E+20</v>
      </c>
      <c r="T80" s="129">
        <f>courbes!F80</f>
        <v>6.4681624299635761E+19</v>
      </c>
      <c r="U80" s="129">
        <f>courbes!G80</f>
        <v>2.8370757007096029E+19</v>
      </c>
      <c r="V80" s="129">
        <f>courbes!H80</f>
        <v>1.662088798026556E+19</v>
      </c>
      <c r="W80" s="129">
        <f>courbes!I80</f>
        <v>1.3443845900285348E+22</v>
      </c>
      <c r="AN80" s="127"/>
      <c r="AW80" s="126">
        <f t="shared" si="56"/>
        <v>6.5</v>
      </c>
      <c r="AX80" s="127">
        <f t="shared" si="57"/>
        <v>7.0709714052853456E+23</v>
      </c>
      <c r="AY80" s="155">
        <f t="shared" si="58"/>
        <v>8.4761508446828601E-3</v>
      </c>
      <c r="AZ80" s="155">
        <f t="shared" si="59"/>
        <v>0.62131427313157661</v>
      </c>
      <c r="BA80" s="155">
        <f t="shared" si="60"/>
        <v>0.29791146959607151</v>
      </c>
      <c r="BB80" s="155">
        <f t="shared" si="61"/>
        <v>4.0491577691869909E-2</v>
      </c>
      <c r="BC80" s="155">
        <f t="shared" si="62"/>
        <v>2.2136920351299577E-2</v>
      </c>
      <c r="BD80" s="155">
        <f t="shared" si="63"/>
        <v>9.6696083844992221E-3</v>
      </c>
    </row>
    <row r="81" spans="14:56">
      <c r="N81" s="128">
        <f>[4]Eq_de_Bateman_avec_RK1!F81</f>
        <v>6.583333333333333</v>
      </c>
      <c r="O81" s="128">
        <f>[4]Eq_de_Bateman_avec_RK1!G81</f>
        <v>207612000</v>
      </c>
      <c r="P81" s="129">
        <f>courbes!B81</f>
        <v>2.5151551108790915E+19</v>
      </c>
      <c r="Q81" s="129">
        <f>courbes!C81</f>
        <v>1.8335343962178383E+21</v>
      </c>
      <c r="R81" s="129">
        <f>courbes!D81</f>
        <v>8.7846492794555951E+20</v>
      </c>
      <c r="S81" s="129">
        <f>courbes!E81</f>
        <v>1.1884798316051428E+20</v>
      </c>
      <c r="T81" s="129">
        <f>courbes!F81</f>
        <v>6.4786572085493244E+19</v>
      </c>
      <c r="U81" s="129">
        <f>courbes!G81</f>
        <v>2.8331798884555629E+19</v>
      </c>
      <c r="V81" s="129">
        <f>courbes!H81</f>
        <v>1.6269432402270241E+19</v>
      </c>
      <c r="W81" s="129">
        <f>courbes!I81</f>
        <v>1.3405490429365901E+22</v>
      </c>
      <c r="AN81" s="127"/>
      <c r="AW81" s="126">
        <f t="shared" si="56"/>
        <v>6.583333333333333</v>
      </c>
      <c r="AX81" s="127">
        <f t="shared" si="57"/>
        <v>7.0618105048444121E+23</v>
      </c>
      <c r="AY81" s="155">
        <f t="shared" si="58"/>
        <v>8.4766777015409644E-3</v>
      </c>
      <c r="AZ81" s="155">
        <f t="shared" si="59"/>
        <v>0.62054160246221202</v>
      </c>
      <c r="BA81" s="155">
        <f t="shared" si="60"/>
        <v>0.29855174188305322</v>
      </c>
      <c r="BB81" s="155">
        <f t="shared" si="61"/>
        <v>4.0559519293296299E-2</v>
      </c>
      <c r="BC81" s="155">
        <f t="shared" si="62"/>
        <v>2.220160174778691E-2</v>
      </c>
      <c r="BD81" s="155">
        <f t="shared" si="63"/>
        <v>9.6688569121104479E-3</v>
      </c>
    </row>
    <row r="82" spans="14:56">
      <c r="N82" s="128">
        <f>[4]Eq_de_Bateman_avec_RK1!F82</f>
        <v>6.666666666666667</v>
      </c>
      <c r="O82" s="128">
        <f>[4]Eq_de_Bateman_avec_RK1!G82</f>
        <v>210240000</v>
      </c>
      <c r="P82" s="129">
        <f>courbes!B82</f>
        <v>2.5118926188492378E+19</v>
      </c>
      <c r="Q82" s="129">
        <f>courbes!C82</f>
        <v>1.8288716536229195E+21</v>
      </c>
      <c r="R82" s="129">
        <f>courbes!D82</f>
        <v>8.7918632306435896E+20</v>
      </c>
      <c r="S82" s="129">
        <f>courbes!E82</f>
        <v>1.1889488149558931E+20</v>
      </c>
      <c r="T82" s="129">
        <f>courbes!F82</f>
        <v>6.4890909357153829E+19</v>
      </c>
      <c r="U82" s="129">
        <f>courbes!G82</f>
        <v>2.8293734196689998E+19</v>
      </c>
      <c r="V82" s="129">
        <f>courbes!H82</f>
        <v>1.5925490445932313E+19</v>
      </c>
      <c r="W82" s="129">
        <f>courbes!I82</f>
        <v>1.3367244387159028E+22</v>
      </c>
      <c r="AN82" s="127"/>
      <c r="AW82" s="126">
        <f t="shared" si="56"/>
        <v>6.666666666666667</v>
      </c>
      <c r="AX82" s="127">
        <f t="shared" si="57"/>
        <v>7.0525940363045574E+23</v>
      </c>
      <c r="AY82" s="155">
        <f t="shared" si="58"/>
        <v>8.476745438751666E-3</v>
      </c>
      <c r="AZ82" s="155">
        <f t="shared" si="59"/>
        <v>0.61977241702247632</v>
      </c>
      <c r="BA82" s="155">
        <f t="shared" si="60"/>
        <v>0.29918738615785845</v>
      </c>
      <c r="BB82" s="155">
        <f t="shared" si="61"/>
        <v>4.0628549286882067E-2</v>
      </c>
      <c r="BC82" s="155">
        <f t="shared" si="62"/>
        <v>2.2266417127646914E-2</v>
      </c>
      <c r="BD82" s="155">
        <f t="shared" si="63"/>
        <v>9.6684849663844011E-3</v>
      </c>
    </row>
    <row r="83" spans="14:56">
      <c r="N83" s="128">
        <f>[4]Eq_de_Bateman_avec_RK1!F83</f>
        <v>6.75</v>
      </c>
      <c r="O83" s="128">
        <f>[4]Eq_de_Bateman_avec_RK1!G83</f>
        <v>212868000</v>
      </c>
      <c r="P83" s="129">
        <f>courbes!B83</f>
        <v>2.5084809889346843E+19</v>
      </c>
      <c r="Q83" s="129">
        <f>courbes!C83</f>
        <v>1.8242109285528327E+21</v>
      </c>
      <c r="R83" s="129">
        <f>courbes!D83</f>
        <v>8.7988251170796667E+20</v>
      </c>
      <c r="S83" s="129">
        <f>courbes!E83</f>
        <v>1.1894335368271279E+20</v>
      </c>
      <c r="T83" s="129">
        <f>courbes!F83</f>
        <v>6.4994649210567967E+19</v>
      </c>
      <c r="U83" s="129">
        <f>courbes!G83</f>
        <v>2.8256553613854433E+19</v>
      </c>
      <c r="V83" s="129">
        <f>courbes!H83</f>
        <v>1.5588901246077503E+19</v>
      </c>
      <c r="W83" s="129">
        <f>courbes!I83</f>
        <v>1.3329107461462984E+22</v>
      </c>
      <c r="AW83" s="126">
        <f t="shared" si="56"/>
        <v>6.75</v>
      </c>
      <c r="AX83" s="127">
        <f t="shared" si="57"/>
        <v>7.0433228225513367E+23</v>
      </c>
      <c r="AY83" s="155">
        <f t="shared" si="58"/>
        <v>8.4763752905790274E-3</v>
      </c>
      <c r="AZ83" s="155">
        <f t="shared" si="59"/>
        <v>0.61900671445611455</v>
      </c>
      <c r="BA83" s="155">
        <f t="shared" si="60"/>
        <v>0.29981843531831504</v>
      </c>
      <c r="BB83" s="155">
        <f t="shared" si="61"/>
        <v>4.0698614786976631E-2</v>
      </c>
      <c r="BC83" s="155">
        <f t="shared" si="62"/>
        <v>2.2331370441515504E-2</v>
      </c>
      <c r="BD83" s="155">
        <f t="shared" si="63"/>
        <v>9.6684897064992989E-3</v>
      </c>
    </row>
    <row r="84" spans="14:56">
      <c r="N84" s="128">
        <f>[4]Eq_de_Bateman_avec_RK1!F84</f>
        <v>6.833333333333333</v>
      </c>
      <c r="O84" s="128">
        <f>[4]Eq_de_Bateman_avec_RK1!G84</f>
        <v>215496000</v>
      </c>
      <c r="P84" s="129">
        <f>courbes!B84</f>
        <v>2.504927126980422E+19</v>
      </c>
      <c r="Q84" s="129">
        <f>courbes!C84</f>
        <v>1.819552435666955E+21</v>
      </c>
      <c r="R84" s="129">
        <f>courbes!D84</f>
        <v>8.8055370165526882E+20</v>
      </c>
      <c r="S84" s="129">
        <f>courbes!E84</f>
        <v>1.1899324744388916E+20</v>
      </c>
      <c r="T84" s="129">
        <f>courbes!F84</f>
        <v>6.5097803987768943E+19</v>
      </c>
      <c r="U84" s="129">
        <f>courbes!G84</f>
        <v>2.8220247339948384E+19</v>
      </c>
      <c r="V84" s="129">
        <f>courbes!H84</f>
        <v>1.5259507382241681E+19</v>
      </c>
      <c r="W84" s="129">
        <f>courbes!I84</f>
        <v>1.329107934096674E+22</v>
      </c>
      <c r="AW84" s="126">
        <f t="shared" si="56"/>
        <v>6.833333333333333</v>
      </c>
      <c r="AX84" s="127">
        <f t="shared" si="57"/>
        <v>7.0339976789182505E+23</v>
      </c>
      <c r="AY84" s="155">
        <f t="shared" si="58"/>
        <v>8.4755879008624451E-3</v>
      </c>
      <c r="AZ84" s="155">
        <f t="shared" si="59"/>
        <v>0.61824449193062692</v>
      </c>
      <c r="BA84" s="155">
        <f t="shared" si="60"/>
        <v>0.30044492199742256</v>
      </c>
      <c r="BB84" s="155">
        <f t="shared" si="61"/>
        <v>4.0769664624608667E-2</v>
      </c>
      <c r="BC84" s="155">
        <f t="shared" si="62"/>
        <v>2.2396465401539372E-2</v>
      </c>
      <c r="BD84" s="155">
        <f t="shared" si="63"/>
        <v>9.6688681449401473E-3</v>
      </c>
    </row>
    <row r="85" spans="14:56">
      <c r="N85" s="128">
        <f>[4]Eq_de_Bateman_avec_RK1!F85</f>
        <v>6.916666666666667</v>
      </c>
      <c r="O85" s="128">
        <f>[4]Eq_de_Bateman_avec_RK1!G85</f>
        <v>218124000</v>
      </c>
      <c r="P85" s="129">
        <f>courbes!B85</f>
        <v>2.5012377391869145E+19</v>
      </c>
      <c r="Q85" s="129">
        <f>courbes!C85</f>
        <v>1.8148963848610846E+21</v>
      </c>
      <c r="R85" s="129">
        <f>courbes!D85</f>
        <v>8.8120009993976152E+20</v>
      </c>
      <c r="S85" s="129">
        <f>courbes!E85</f>
        <v>1.1904441597493302E+20</v>
      </c>
      <c r="T85" s="129">
        <f>courbes!F85</f>
        <v>6.5200385304104559E+19</v>
      </c>
      <c r="U85" s="129">
        <f>courbes!G85</f>
        <v>2.818480514370594E+19</v>
      </c>
      <c r="V85" s="129">
        <f>courbes!H85</f>
        <v>1.4937154804906676E+19</v>
      </c>
      <c r="W85" s="129">
        <f>courbes!I85</f>
        <v>1.3253159715247447E+22</v>
      </c>
      <c r="AW85" s="126">
        <f t="shared" si="56"/>
        <v>6.916666666666667</v>
      </c>
      <c r="AX85" s="127">
        <f t="shared" si="57"/>
        <v>7.0246194131979227E+23</v>
      </c>
      <c r="AY85" s="155">
        <f t="shared" si="58"/>
        <v>8.4744033364717308E-3</v>
      </c>
      <c r="AZ85" s="155">
        <f t="shared" si="59"/>
        <v>0.61748574615565122</v>
      </c>
      <c r="BA85" s="155">
        <f t="shared" si="60"/>
        <v>0.30106687856739545</v>
      </c>
      <c r="BB85" s="155">
        <f t="shared" si="61"/>
        <v>4.0841649294275452E-2</v>
      </c>
      <c r="BC85" s="155">
        <f t="shared" si="62"/>
        <v>2.2461705489621998E-2</v>
      </c>
      <c r="BD85" s="155">
        <f t="shared" si="63"/>
        <v>9.6696171565839508E-3</v>
      </c>
    </row>
    <row r="86" spans="14:56">
      <c r="N86" s="128">
        <f>[4]Eq_de_Bateman_avec_RK1!F86</f>
        <v>7</v>
      </c>
      <c r="O86" s="128">
        <f>[4]Eq_de_Bateman_avec_RK1!G86</f>
        <v>220752000</v>
      </c>
      <c r="P86" s="129">
        <f>courbes!B86</f>
        <v>2.4974193365424767E+19</v>
      </c>
      <c r="Q86" s="129">
        <f>courbes!C86</f>
        <v>1.8102429813565812E+21</v>
      </c>
      <c r="R86" s="129">
        <f>courbes!D86</f>
        <v>8.8182191283552269E+20</v>
      </c>
      <c r="S86" s="129">
        <f>courbes!E86</f>
        <v>1.1909671777661166E+20</v>
      </c>
      <c r="T86" s="129">
        <f>courbes!F86</f>
        <v>6.5302404074637689E+19</v>
      </c>
      <c r="U86" s="129">
        <f>courbes!G86</f>
        <v>2.8150216388713116E+19</v>
      </c>
      <c r="V86" s="129">
        <f>courbes!H86</f>
        <v>1.462169276331564E+19</v>
      </c>
      <c r="W86" s="129">
        <f>courbes!I86</f>
        <v>1.3215348274767895E+22</v>
      </c>
      <c r="AW86" s="126">
        <f t="shared" si="56"/>
        <v>7</v>
      </c>
      <c r="AX86" s="127">
        <f t="shared" si="57"/>
        <v>7.0151888256562511E+23</v>
      </c>
      <c r="AY86" s="155">
        <f t="shared" si="58"/>
        <v>8.4728411004889297E-3</v>
      </c>
      <c r="AZ86" s="155">
        <f t="shared" si="59"/>
        <v>0.61673047340069265</v>
      </c>
      <c r="BA86" s="155">
        <f t="shared" si="60"/>
        <v>0.30168433714359411</v>
      </c>
      <c r="BB86" s="155">
        <f t="shared" si="61"/>
        <v>4.0914520902405487E-2</v>
      </c>
      <c r="BC86" s="155">
        <f t="shared" si="62"/>
        <v>2.2527093965405809E-2</v>
      </c>
      <c r="BD86" s="155">
        <f t="shared" si="63"/>
        <v>9.6707334874128886E-3</v>
      </c>
    </row>
    <row r="87" spans="14:56">
      <c r="N87" s="128">
        <f>[4]Eq_de_Bateman_avec_RK1!F87</f>
        <v>7.083333333333333</v>
      </c>
      <c r="O87" s="128">
        <f>[4]Eq_de_Bateman_avec_RK1!G87</f>
        <v>223380000</v>
      </c>
      <c r="P87" s="129">
        <f>courbes!B87</f>
        <v>2.4934782391807123E+19</v>
      </c>
      <c r="Q87" s="129">
        <f>courbes!C87</f>
        <v>1.8055924257879037E+21</v>
      </c>
      <c r="R87" s="129">
        <f>courbes!D87</f>
        <v>8.8241934584366734E+20</v>
      </c>
      <c r="S87" s="129">
        <f>courbes!E87</f>
        <v>1.1915001649084295E+20</v>
      </c>
      <c r="T87" s="129">
        <f>courbes!F87</f>
        <v>6.5403870539740054E+19</v>
      </c>
      <c r="U87" s="129">
        <f>courbes!G87</f>
        <v>2.8116470062196179E+19</v>
      </c>
      <c r="V87" s="129">
        <f>courbes!H87</f>
        <v>1.4312973734834119E+19</v>
      </c>
      <c r="W87" s="129">
        <f>courbes!I87</f>
        <v>1.3177644710873994E+22</v>
      </c>
      <c r="AW87" s="126">
        <f t="shared" si="56"/>
        <v>7.083333333333333</v>
      </c>
      <c r="AX87" s="127">
        <f t="shared" si="57"/>
        <v>7.0057067090493884E+23</v>
      </c>
      <c r="AY87" s="155">
        <f t="shared" si="58"/>
        <v>8.4709201451217339E-3</v>
      </c>
      <c r="AZ87" s="155">
        <f t="shared" si="59"/>
        <v>0.61597866951222202</v>
      </c>
      <c r="BA87" s="155">
        <f t="shared" si="60"/>
        <v>0.30229732958834771</v>
      </c>
      <c r="BB87" s="155">
        <f t="shared" si="61"/>
        <v>4.0988233117440251E-2</v>
      </c>
      <c r="BC87" s="155">
        <f t="shared" si="62"/>
        <v>2.2592633873998954E-2</v>
      </c>
      <c r="BD87" s="155">
        <f t="shared" si="63"/>
        <v>9.6722137628692303E-3</v>
      </c>
    </row>
    <row r="88" spans="14:56">
      <c r="N88" s="128">
        <f>[4]Eq_de_Bateman_avec_RK1!F88</f>
        <v>7.166666666666667</v>
      </c>
      <c r="O88" s="128">
        <f>[4]Eq_de_Bateman_avec_RK1!G88</f>
        <v>226008000</v>
      </c>
      <c r="P88" s="129">
        <f>courbes!B88</f>
        <v>2.4894205806636413E+19</v>
      </c>
      <c r="Q88" s="129">
        <f>courbes!C88</f>
        <v>1.8009449142885753E+21</v>
      </c>
      <c r="R88" s="129">
        <f>courbes!D88</f>
        <v>8.8299260367927601E+20</v>
      </c>
      <c r="S88" s="129">
        <f>courbes!E88</f>
        <v>1.1920418074179743E+20</v>
      </c>
      <c r="T88" s="129">
        <f>courbes!F88</f>
        <v>6.5504794289902739E+19</v>
      </c>
      <c r="U88" s="129">
        <f>courbes!G88</f>
        <v>2.8083554802623865E+19</v>
      </c>
      <c r="V88" s="129">
        <f>courbes!H88</f>
        <v>1.4010853355823743E+19</v>
      </c>
      <c r="W88" s="129">
        <f>courbes!I88</f>
        <v>1.3140048715792245E+22</v>
      </c>
      <c r="AW88" s="126">
        <f t="shared" si="56"/>
        <v>7.166666666666667</v>
      </c>
      <c r="AX88" s="127">
        <f t="shared" si="57"/>
        <v>6.9961738486433706E+23</v>
      </c>
      <c r="AY88" s="155">
        <f t="shared" si="58"/>
        <v>8.4686588843534086E-3</v>
      </c>
      <c r="AZ88" s="155">
        <f t="shared" si="59"/>
        <v>0.6152303299301709</v>
      </c>
      <c r="BA88" s="155">
        <f t="shared" si="60"/>
        <v>0.30290588751467257</v>
      </c>
      <c r="BB88" s="155">
        <f t="shared" si="61"/>
        <v>4.1062741121482955E-2</v>
      </c>
      <c r="BC88" s="155">
        <f t="shared" si="62"/>
        <v>2.2658328053455044E-2</v>
      </c>
      <c r="BD88" s="155">
        <f t="shared" si="63"/>
        <v>9.6740544958652825E-3</v>
      </c>
    </row>
    <row r="89" spans="14:56">
      <c r="N89" s="128">
        <f>[4]Eq_de_Bateman_avec_RK1!F89</f>
        <v>7.25</v>
      </c>
      <c r="O89" s="128">
        <f>[4]Eq_de_Bateman_avec_RK1!G89</f>
        <v>228636000</v>
      </c>
      <c r="P89" s="129">
        <f>courbes!B89</f>
        <v>2.4852523121911722E+19</v>
      </c>
      <c r="Q89" s="129">
        <f>courbes!C89</f>
        <v>1.7963006385756014E+21</v>
      </c>
      <c r="R89" s="129">
        <f>courbes!D89</f>
        <v>8.8354189025878645E+20</v>
      </c>
      <c r="S89" s="129">
        <f>courbes!E89</f>
        <v>1.1925908398175804E+20</v>
      </c>
      <c r="T89" s="129">
        <f>courbes!F89</f>
        <v>6.5605184289786356E+19</v>
      </c>
      <c r="U89" s="129">
        <f>courbes!G89</f>
        <v>2.8051458926164906E+19</v>
      </c>
      <c r="V89" s="129">
        <f>courbes!H89</f>
        <v>1.3715190353996143E+19</v>
      </c>
      <c r="W89" s="129">
        <f>courbes!I89</f>
        <v>1.3102559982627234E+22</v>
      </c>
      <c r="AW89" s="126">
        <f t="shared" si="56"/>
        <v>7.25</v>
      </c>
      <c r="AX89" s="127">
        <f t="shared" si="57"/>
        <v>6.9865910222363013E+23</v>
      </c>
      <c r="AY89" s="155">
        <f t="shared" si="58"/>
        <v>8.4660752063339187E-3</v>
      </c>
      <c r="AZ89" s="155">
        <f t="shared" si="59"/>
        <v>0.61448544970384034</v>
      </c>
      <c r="BA89" s="155">
        <f t="shared" si="60"/>
        <v>0.30351004228988743</v>
      </c>
      <c r="BB89" s="155">
        <f t="shared" si="61"/>
        <v>4.1138001563463478E-2</v>
      </c>
      <c r="BC89" s="155">
        <f t="shared" si="62"/>
        <v>2.2724179142013794E-2</v>
      </c>
      <c r="BD89" s="155">
        <f t="shared" si="63"/>
        <v>9.6762520944611418E-3</v>
      </c>
    </row>
    <row r="90" spans="14:56">
      <c r="N90" s="128">
        <f>[4]Eq_de_Bateman_avec_RK1!F90</f>
        <v>7.333333333333333</v>
      </c>
      <c r="O90" s="128">
        <f>[4]Eq_de_Bateman_avec_RK1!G90</f>
        <v>231264000</v>
      </c>
      <c r="P90" s="129">
        <f>courbes!B90</f>
        <v>2.4809792067375911E+19</v>
      </c>
      <c r="Q90" s="129">
        <f>courbes!C90</f>
        <v>1.7916597860323717E+21</v>
      </c>
      <c r="R90" s="129">
        <f>courbes!D90</f>
        <v>8.8406740868783761E+20</v>
      </c>
      <c r="S90" s="129">
        <f>courbes!E90</f>
        <v>1.1931460434159541E+20</v>
      </c>
      <c r="T90" s="129">
        <f>courbes!F90</f>
        <v>6.5705048901533073E+19</v>
      </c>
      <c r="U90" s="129">
        <f>courbes!G90</f>
        <v>2.8020170452040942E+19</v>
      </c>
      <c r="V90" s="129">
        <f>courbes!H90</f>
        <v>1.3425846482215395E+19</v>
      </c>
      <c r="W90" s="129">
        <f>courbes!I90</f>
        <v>1.3065178205359127E+22</v>
      </c>
      <c r="AW90" s="126">
        <f t="shared" si="56"/>
        <v>7.333333333333333</v>
      </c>
      <c r="AX90" s="127">
        <f t="shared" si="57"/>
        <v>6.9769590001829059E+23</v>
      </c>
      <c r="AY90" s="155">
        <f t="shared" si="58"/>
        <v>8.4631864855170703E-3</v>
      </c>
      <c r="AZ90" s="155">
        <f t="shared" si="59"/>
        <v>0.61374402350724877</v>
      </c>
      <c r="BA90" s="155">
        <f t="shared" si="60"/>
        <v>0.30410982503913048</v>
      </c>
      <c r="BB90" s="155">
        <f t="shared" si="61"/>
        <v>4.1213972513770923E-2</v>
      </c>
      <c r="BC90" s="155">
        <f t="shared" si="62"/>
        <v>2.2790189585110303E-2</v>
      </c>
      <c r="BD90" s="155">
        <f t="shared" si="63"/>
        <v>9.6788028692225882E-3</v>
      </c>
    </row>
    <row r="91" spans="14:56">
      <c r="N91" s="128">
        <f>[4]Eq_de_Bateman_avec_RK1!F91</f>
        <v>7.416666666666667</v>
      </c>
      <c r="O91" s="128">
        <f>[4]Eq_de_Bateman_avec_RK1!G91</f>
        <v>233892000</v>
      </c>
      <c r="P91" s="129">
        <f>courbes!B91</f>
        <v>2.4766068631157588E+19</v>
      </c>
      <c r="Q91" s="129">
        <f>courbes!C91</f>
        <v>1.7870225397900708E+21</v>
      </c>
      <c r="R91" s="129">
        <f>courbes!D91</f>
        <v>8.8456936124955715E+20</v>
      </c>
      <c r="S91" s="129">
        <f>courbes!E91</f>
        <v>1.1937062448572067E+20</v>
      </c>
      <c r="T91" s="129">
        <f>courbes!F91</f>
        <v>6.5804395907362111E+19</v>
      </c>
      <c r="U91" s="129">
        <f>courbes!G91</f>
        <v>2.7989677126813606E+19</v>
      </c>
      <c r="V91" s="129">
        <f>courbes!H91</f>
        <v>1.3142686453717981E+19</v>
      </c>
      <c r="W91" s="129">
        <f>courbes!I91</f>
        <v>1.3027903078841172E+22</v>
      </c>
      <c r="AW91" s="126">
        <f t="shared" si="56"/>
        <v>7.416666666666667</v>
      </c>
      <c r="AX91" s="127">
        <f t="shared" si="57"/>
        <v>6.9672785454213859E+23</v>
      </c>
      <c r="AY91" s="155">
        <f t="shared" si="58"/>
        <v>8.4600095945482432E-3</v>
      </c>
      <c r="AZ91" s="155">
        <f t="shared" si="59"/>
        <v>0.61300604565393579</v>
      </c>
      <c r="BA91" s="155">
        <f t="shared" si="60"/>
        <v>0.30470526664877856</v>
      </c>
      <c r="BB91" s="155">
        <f t="shared" si="61"/>
        <v>4.1290613420306065E-2</v>
      </c>
      <c r="BC91" s="155">
        <f t="shared" si="62"/>
        <v>2.2856361642160376E-2</v>
      </c>
      <c r="BD91" s="155">
        <f t="shared" si="63"/>
        <v>9.6817030402709496E-3</v>
      </c>
    </row>
    <row r="92" spans="14:56">
      <c r="N92" s="128">
        <f>[4]Eq_de_Bateman_avec_RK1!F92</f>
        <v>7.5</v>
      </c>
      <c r="O92" s="128">
        <f>[4]Eq_de_Bateman_avec_RK1!G92</f>
        <v>236520000</v>
      </c>
      <c r="P92" s="129">
        <f>courbes!B92</f>
        <v>2.4721407099697209E+19</v>
      </c>
      <c r="Q92" s="129">
        <f>courbes!C92</f>
        <v>1.7823890788076272E+21</v>
      </c>
      <c r="R92" s="129">
        <f>courbes!D92</f>
        <v>8.8504794939328155E+20</v>
      </c>
      <c r="S92" s="129">
        <f>courbes!E92</f>
        <v>1.1942703147138227E+20</v>
      </c>
      <c r="T92" s="129">
        <f>courbes!F92</f>
        <v>6.5903232531469574E+19</v>
      </c>
      <c r="U92" s="129">
        <f>courbes!G92</f>
        <v>2.7959966447643324E+19</v>
      </c>
      <c r="V92" s="129">
        <f>courbes!H92</f>
        <v>1.2865577878719906E+19</v>
      </c>
      <c r="W92" s="129">
        <f>courbes!I92</f>
        <v>1.2990734298797199E+22</v>
      </c>
      <c r="AW92" s="126">
        <f t="shared" si="56"/>
        <v>7.5</v>
      </c>
      <c r="AX92" s="127">
        <f t="shared" si="57"/>
        <v>6.9575504135023921E+23</v>
      </c>
      <c r="AY92" s="155">
        <f t="shared" si="58"/>
        <v>8.4565609159073518E-3</v>
      </c>
      <c r="AZ92" s="155">
        <f t="shared" si="59"/>
        <v>0.61227151011124537</v>
      </c>
      <c r="BA92" s="155">
        <f t="shared" si="60"/>
        <v>0.30529639776977308</v>
      </c>
      <c r="BB92" s="155">
        <f t="shared" si="61"/>
        <v>4.1367885065908522E-2</v>
      </c>
      <c r="BC92" s="155">
        <f t="shared" si="62"/>
        <v>2.2922697393129212E-2</v>
      </c>
      <c r="BD92" s="155">
        <f t="shared" si="63"/>
        <v>9.6849487440364701E-3</v>
      </c>
    </row>
    <row r="93" spans="14:56">
      <c r="N93" s="128">
        <f>[4]Eq_de_Bateman_avec_RK1!F93</f>
        <v>7.583333333333333</v>
      </c>
      <c r="O93" s="128">
        <f>[4]Eq_de_Bateman_avec_RK1!G93</f>
        <v>239148000</v>
      </c>
      <c r="P93" s="129">
        <f>courbes!B93</f>
        <v>2.4675860096964538E+19</v>
      </c>
      <c r="Q93" s="129">
        <f>courbes!C93</f>
        <v>1.7777595779502231E+21</v>
      </c>
      <c r="R93" s="129">
        <f>courbes!D93</f>
        <v>8.8550337372369977E+20</v>
      </c>
      <c r="S93" s="129">
        <f>courbes!E93</f>
        <v>1.1948371661217674E+20</v>
      </c>
      <c r="T93" s="129">
        <f>courbes!F93</f>
        <v>6.6001565461253022E+19</v>
      </c>
      <c r="U93" s="129">
        <f>courbes!G93</f>
        <v>2.793102568455605E+19</v>
      </c>
      <c r="V93" s="129">
        <f>courbes!H93</f>
        <v>1.2594391202381277E+19</v>
      </c>
      <c r="W93" s="129">
        <f>courbes!I93</f>
        <v>1.2953671561819149E+22</v>
      </c>
      <c r="AW93" s="126">
        <f t="shared" si="56"/>
        <v>7.583333333333333</v>
      </c>
      <c r="AX93" s="127">
        <f t="shared" si="57"/>
        <v>6.947775352620047E+23</v>
      </c>
      <c r="AY93" s="155">
        <f t="shared" si="58"/>
        <v>8.4528563533115258E-3</v>
      </c>
      <c r="AZ93" s="155">
        <f t="shared" si="59"/>
        <v>0.61154041051410346</v>
      </c>
      <c r="BA93" s="155">
        <f t="shared" si="60"/>
        <v>0.30588324882085471</v>
      </c>
      <c r="BB93" s="155">
        <f t="shared" si="61"/>
        <v>4.1445749527113905E-2</v>
      </c>
      <c r="BC93" s="155">
        <f t="shared" si="62"/>
        <v>2.2989198744890266E-2</v>
      </c>
      <c r="BD93" s="155">
        <f t="shared" si="63"/>
        <v>9.6885360397261071E-3</v>
      </c>
    </row>
    <row r="94" spans="14:56">
      <c r="N94" s="128">
        <f>[4]Eq_de_Bateman_avec_RK1!F94</f>
        <v>7.666666666666667</v>
      </c>
      <c r="O94" s="128">
        <f>[4]Eq_de_Bateman_avec_RK1!G94</f>
        <v>241776000</v>
      </c>
      <c r="P94" s="129">
        <f>courbes!B94</f>
        <v>2.4629478622974808E+19</v>
      </c>
      <c r="Q94" s="129">
        <f>courbes!C94</f>
        <v>1.7731342080663948E+21</v>
      </c>
      <c r="R94" s="129">
        <f>courbes!D94</f>
        <v>8.8593583399041158E+20</v>
      </c>
      <c r="S94" s="129">
        <f>courbes!E94</f>
        <v>1.1954057534564788E+20</v>
      </c>
      <c r="T94" s="129">
        <f>courbes!F94</f>
        <v>6.6099400867880509E+19</v>
      </c>
      <c r="U94" s="129">
        <f>courbes!G94</f>
        <v>2.7902841901753127E+19</v>
      </c>
      <c r="V94" s="129">
        <f>courbes!H94</f>
        <v>1.2328999644099273E+19</v>
      </c>
      <c r="W94" s="129">
        <f>courbes!I94</f>
        <v>1.2916714565364592E+22</v>
      </c>
      <c r="AW94" s="126">
        <f t="shared" si="56"/>
        <v>7.666666666666667</v>
      </c>
      <c r="AX94" s="127">
        <f t="shared" si="57"/>
        <v>6.9379541036448595E+23</v>
      </c>
      <c r="AY94" s="155">
        <f t="shared" si="58"/>
        <v>8.4489113428820387E-3</v>
      </c>
      <c r="AZ94" s="155">
        <f t="shared" si="59"/>
        <v>0.61081274017831233</v>
      </c>
      <c r="BA94" s="155">
        <f t="shared" si="60"/>
        <v>0.30646584999170906</v>
      </c>
      <c r="BB94" s="155">
        <f t="shared" si="61"/>
        <v>4.1524170134198728E-2</v>
      </c>
      <c r="BC94" s="155">
        <f t="shared" si="62"/>
        <v>2.3055867437381208E-2</v>
      </c>
      <c r="BD94" s="155">
        <f t="shared" si="63"/>
        <v>9.692460915516489E-3</v>
      </c>
    </row>
    <row r="95" spans="14:56">
      <c r="N95" s="128">
        <f>[4]Eq_de_Bateman_avec_RK1!F95</f>
        <v>7.75</v>
      </c>
      <c r="O95" s="128">
        <f>[4]Eq_de_Bateman_avec_RK1!G95</f>
        <v>244404000</v>
      </c>
      <c r="P95" s="129">
        <f>courbes!B95</f>
        <v>2.4582312091611066E+19</v>
      </c>
      <c r="Q95" s="129">
        <f>courbes!C95</f>
        <v>1.7685131360637459E+21</v>
      </c>
      <c r="R95" s="129">
        <f>courbes!D95</f>
        <v>8.8634552907789055E+20</v>
      </c>
      <c r="S95" s="129">
        <f>courbes!E95</f>
        <v>1.195975071048519E+20</v>
      </c>
      <c r="T95" s="129">
        <f>courbes!F95</f>
        <v>6.6196744426223206E+19</v>
      </c>
      <c r="U95" s="129">
        <f>courbes!G95</f>
        <v>2.7875401977998168E+19</v>
      </c>
      <c r="V95" s="129">
        <f>courbes!H95</f>
        <v>1.2069279138101045E+19</v>
      </c>
      <c r="W95" s="129">
        <f>courbes!I95</f>
        <v>1.2879863007754255E+22</v>
      </c>
      <c r="AW95" s="126">
        <f t="shared" si="56"/>
        <v>7.75</v>
      </c>
      <c r="AX95" s="127">
        <f t="shared" si="57"/>
        <v>6.9280874001584544E+23</v>
      </c>
      <c r="AY95" s="155">
        <f t="shared" si="58"/>
        <v>8.4447408640797791E-3</v>
      </c>
      <c r="AZ95" s="155">
        <f t="shared" si="59"/>
        <v>0.61008849211337635</v>
      </c>
      <c r="BA95" s="155">
        <f t="shared" si="60"/>
        <v>0.30704423124602681</v>
      </c>
      <c r="BB95" s="155">
        <f t="shared" si="61"/>
        <v>4.1603111432471376E-2</v>
      </c>
      <c r="BC95" s="155">
        <f t="shared" si="62"/>
        <v>2.3122705049563354E-2</v>
      </c>
      <c r="BD95" s="155">
        <f t="shared" si="63"/>
        <v>9.6967192944822124E-3</v>
      </c>
    </row>
    <row r="96" spans="14:56">
      <c r="N96" s="128">
        <f>[4]Eq_de_Bateman_avec_RK1!F96</f>
        <v>7.833333333333333</v>
      </c>
      <c r="O96" s="128">
        <f>[4]Eq_de_Bateman_avec_RK1!G96</f>
        <v>247032000</v>
      </c>
      <c r="P96" s="129">
        <f>courbes!B96</f>
        <v>2.4534408367760273E+19</v>
      </c>
      <c r="Q96" s="129">
        <f>courbes!C96</f>
        <v>1.7638965249833E+21</v>
      </c>
      <c r="R96" s="129">
        <f>courbes!D96</f>
        <v>8.8673265699584318E+20</v>
      </c>
      <c r="S96" s="129">
        <f>courbes!E96</f>
        <v>1.1965441519377056E+20</v>
      </c>
      <c r="T96" s="129">
        <f>courbes!F96</f>
        <v>6.6293601334170272E+19</v>
      </c>
      <c r="U96" s="129">
        <f>courbes!G96</f>
        <v>2.7848692626113819E+19</v>
      </c>
      <c r="V96" s="129">
        <f>courbes!H96</f>
        <v>1.1815108275308755E+19</v>
      </c>
      <c r="W96" s="129">
        <f>courbes!I96</f>
        <v>1.2843116588169559E+22</v>
      </c>
      <c r="AW96" s="126">
        <f t="shared" si="56"/>
        <v>7.833333333333333</v>
      </c>
      <c r="AX96" s="127">
        <f t="shared" si="57"/>
        <v>6.9181759684899937E+23</v>
      </c>
      <c r="AY96" s="155">
        <f t="shared" si="58"/>
        <v>8.4403594504136974E-3</v>
      </c>
      <c r="AZ96" s="155">
        <f t="shared" si="59"/>
        <v>0.60936765903487655</v>
      </c>
      <c r="BA96" s="155">
        <f t="shared" si="60"/>
        <v>0.30761842232448006</v>
      </c>
      <c r="BB96" s="155">
        <f t="shared" si="61"/>
        <v>4.1682539144769389E-2</v>
      </c>
      <c r="BC96" s="155">
        <f t="shared" si="62"/>
        <v>2.3189713005190973E-2</v>
      </c>
      <c r="BD96" s="155">
        <f t="shared" si="63"/>
        <v>9.7013070402693635E-3</v>
      </c>
    </row>
    <row r="97" spans="14:56">
      <c r="N97" s="128">
        <f>[4]Eq_de_Bateman_avec_RK1!F97</f>
        <v>7.916666666666667</v>
      </c>
      <c r="O97" s="128">
        <f>[4]Eq_de_Bateman_avec_RK1!G97</f>
        <v>249660000</v>
      </c>
      <c r="P97" s="129">
        <f>courbes!B97</f>
        <v>2.4485813803770864E+19</v>
      </c>
      <c r="Q97" s="129">
        <f>courbes!C97</f>
        <v>1.759284534072516E+21</v>
      </c>
      <c r="R97" s="129">
        <f>courbes!D97</f>
        <v>8.8709741486995512E+20</v>
      </c>
      <c r="S97" s="129">
        <f>courbes!E97</f>
        <v>1.1971120666645694E+20</v>
      </c>
      <c r="T97" s="129">
        <f>courbes!F97</f>
        <v>6.6389976331343995E+19</v>
      </c>
      <c r="U97" s="129">
        <f>courbes!G97</f>
        <v>2.7822700411620192E+19</v>
      </c>
      <c r="V97" s="129">
        <f>courbes!H97</f>
        <v>1.1566368246449453E+19</v>
      </c>
      <c r="W97" s="129">
        <f>courbes!I97</f>
        <v>1.2806475006650169E+22</v>
      </c>
      <c r="AW97" s="126">
        <f t="shared" si="56"/>
        <v>7.916666666666667</v>
      </c>
      <c r="AX97" s="127">
        <f t="shared" si="57"/>
        <v>6.9082205277541999E+23</v>
      </c>
      <c r="AY97" s="155">
        <f t="shared" si="58"/>
        <v>8.4357811999264207E-3</v>
      </c>
      <c r="AZ97" s="155">
        <f t="shared" si="59"/>
        <v>0.608650233376412</v>
      </c>
      <c r="BA97" s="155">
        <f t="shared" si="60"/>
        <v>0.30818845274761691</v>
      </c>
      <c r="BB97" s="155">
        <f t="shared" si="61"/>
        <v>4.176242013512433E-2</v>
      </c>
      <c r="BC97" s="155">
        <f t="shared" si="62"/>
        <v>2.3256892578396422E-2</v>
      </c>
      <c r="BD97" s="155">
        <f t="shared" si="63"/>
        <v>9.7062199625238214E-3</v>
      </c>
    </row>
    <row r="98" spans="14:56">
      <c r="N98" s="128">
        <f>[4]Eq_de_Bateman_avec_RK1!F98</f>
        <v>8</v>
      </c>
      <c r="O98" s="128">
        <f>[4]Eq_de_Bateman_avec_RK1!G98</f>
        <v>252288000</v>
      </c>
      <c r="P98" s="129">
        <f>courbes!B98</f>
        <v>2.4436573275239539E+19</v>
      </c>
      <c r="Q98" s="129">
        <f>courbes!C98</f>
        <v>1.754677318856991E+21</v>
      </c>
      <c r="R98" s="129">
        <f>courbes!D98</f>
        <v>8.8743999893301625E+20</v>
      </c>
      <c r="S98" s="129">
        <f>courbes!E98</f>
        <v>1.1976779220980281E+20</v>
      </c>
      <c r="T98" s="129">
        <f>courbes!F98</f>
        <v>6.6485873717232787E+19</v>
      </c>
      <c r="U98" s="129">
        <f>courbes!G98</f>
        <v>2.779741177054566E+19</v>
      </c>
      <c r="V98" s="129">
        <f>courbes!H98</f>
        <v>1.1322942786383188E+19</v>
      </c>
      <c r="W98" s="129">
        <f>courbes!I98</f>
        <v>1.2769937964091541E+22</v>
      </c>
      <c r="AW98" s="126">
        <f t="shared" ref="AW98:AW129" si="64">N98</f>
        <v>8</v>
      </c>
      <c r="AX98" s="127">
        <f t="shared" ref="AX98:AX129" si="65">P98*238+Q98*239+R98*240+S98*241+T98*242+U98*241</f>
        <v>6.8982217898908598E+23</v>
      </c>
      <c r="AY98" s="155">
        <f t="shared" ref="AY98:AY129" si="66">P98*238/$AX98</f>
        <v>8.4310197854613016E-3</v>
      </c>
      <c r="AZ98" s="155">
        <f t="shared" ref="AZ98:AZ129" si="67">Q98*239/$AX98</f>
        <v>0.6079362073011223</v>
      </c>
      <c r="BA98" s="155">
        <f t="shared" ref="BA98:BA129" si="68">R98*240/$AX98</f>
        <v>0.30875435181867883</v>
      </c>
      <c r="BB98" s="155">
        <f t="shared" ref="BB98:BB129" si="69">S98*241/$AX98</f>
        <v>4.1842722373557011E-2</v>
      </c>
      <c r="BC98" s="155">
        <f t="shared" ref="BC98:BC129" si="70">T98*242/$AX98</f>
        <v>2.3324244899097242E-2</v>
      </c>
      <c r="BD98" s="155">
        <f t="shared" ref="BD98:BD129" si="71">U98*241/$AX98</f>
        <v>9.7114538220834656E-3</v>
      </c>
    </row>
    <row r="99" spans="14:56">
      <c r="N99" s="128">
        <f>[4]Eq_de_Bateman_avec_RK1!F99</f>
        <v>8.0833333333333339</v>
      </c>
      <c r="O99" s="128">
        <f>[4]Eq_de_Bateman_avec_RK1!G99</f>
        <v>254916000</v>
      </c>
      <c r="P99" s="129">
        <f>courbes!B99</f>
        <v>2.4386730216135143E+19</v>
      </c>
      <c r="Q99" s="129">
        <f>courbes!C99</f>
        <v>1.7500750312108736E+21</v>
      </c>
      <c r="R99" s="129">
        <f>courbes!D99</f>
        <v>8.877606045164157E+20</v>
      </c>
      <c r="S99" s="129">
        <f>courbes!E99</f>
        <v>1.1982408602981915E+20</v>
      </c>
      <c r="T99" s="129">
        <f>courbes!F99</f>
        <v>6.6581297368758993E+19</v>
      </c>
      <c r="U99" s="129">
        <f>courbes!G99</f>
        <v>2.7772813026439754E+19</v>
      </c>
      <c r="V99" s="129">
        <f>courbes!H99</f>
        <v>1.1084718119623242E+19</v>
      </c>
      <c r="W99" s="129">
        <f>courbes!I99</f>
        <v>1.2733505162242477E+22</v>
      </c>
      <c r="AW99" s="126">
        <f t="shared" si="64"/>
        <v>8.0833333333333339</v>
      </c>
      <c r="AX99" s="127">
        <f t="shared" si="65"/>
        <v>6.8881804597057667E+23</v>
      </c>
      <c r="AY99" s="155">
        <f t="shared" si="66"/>
        <v>8.4260884647149436E-3</v>
      </c>
      <c r="AZ99" s="155">
        <f t="shared" si="67"/>
        <v>0.60722557271280519</v>
      </c>
      <c r="BA99" s="155">
        <f t="shared" si="68"/>
        <v>0.30931614862633966</v>
      </c>
      <c r="BB99" s="155">
        <f t="shared" si="69"/>
        <v>4.1923414901966639E-2</v>
      </c>
      <c r="BC99" s="155">
        <f t="shared" si="70"/>
        <v>2.3391770958230588E-2</v>
      </c>
      <c r="BD99" s="155">
        <f t="shared" si="71"/>
        <v>9.7170043359431479E-3</v>
      </c>
    </row>
    <row r="100" spans="14:56">
      <c r="N100" s="128">
        <f>[4]Eq_de_Bateman_avec_RK1!F100</f>
        <v>8.1666666666666661</v>
      </c>
      <c r="O100" s="128">
        <f>[4]Eq_de_Bateman_avec_RK1!G100</f>
        <v>257544000</v>
      </c>
      <c r="P100" s="129">
        <f>courbes!B100</f>
        <v>2.4336326653267583E+19</v>
      </c>
      <c r="Q100" s="129">
        <f>courbes!C100</f>
        <v>1.7454778194260103E+21</v>
      </c>
      <c r="R100" s="129">
        <f>courbes!D100</f>
        <v>8.8805942604199848E+20</v>
      </c>
      <c r="S100" s="129">
        <f>courbes!E100</f>
        <v>1.1988000574132539E+20</v>
      </c>
      <c r="T100" s="129">
        <f>courbes!F100</f>
        <v>6.667625075729811E+19</v>
      </c>
      <c r="U100" s="129">
        <f>courbes!G100</f>
        <v>2.7748890406616875E+19</v>
      </c>
      <c r="V100" s="129">
        <f>courbes!H100</f>
        <v>1.0851582907022963E+19</v>
      </c>
      <c r="W100" s="129">
        <f>courbes!I100</f>
        <v>1.2697176303702702E+22</v>
      </c>
      <c r="AW100" s="126">
        <f t="shared" si="64"/>
        <v>8.1666666666666661</v>
      </c>
      <c r="AX100" s="127">
        <f t="shared" si="65"/>
        <v>6.8780972349129394E+23</v>
      </c>
      <c r="AY100" s="155">
        <f t="shared" si="66"/>
        <v>8.4210000900794158E-3</v>
      </c>
      <c r="AZ100" s="155">
        <f t="shared" si="67"/>
        <v>0.60651832126664729</v>
      </c>
      <c r="BA100" s="155">
        <f t="shared" si="68"/>
        <v>0.30987387204737216</v>
      </c>
      <c r="BB100" s="155">
        <f t="shared" si="69"/>
        <v>4.2004467801079456E-2</v>
      </c>
      <c r="BC100" s="155">
        <f t="shared" si="70"/>
        <v>2.3459471612820814E-2</v>
      </c>
      <c r="BD100" s="155">
        <f t="shared" si="71"/>
        <v>9.7228671820009764E-3</v>
      </c>
    </row>
    <row r="101" spans="14:56">
      <c r="N101" s="128">
        <f>[4]Eq_de_Bateman_avec_RK1!F101</f>
        <v>8.25</v>
      </c>
      <c r="O101" s="128">
        <f>[4]Eq_de_Bateman_avec_RK1!G101</f>
        <v>260172000</v>
      </c>
      <c r="P101" s="129">
        <f>courbes!B101</f>
        <v>2.428540324010972E+19</v>
      </c>
      <c r="Q101" s="129">
        <f>courbes!C101</f>
        <v>1.7408858282798489E+21</v>
      </c>
      <c r="R101" s="129">
        <f>courbes!D101</f>
        <v>8.8833665701427583E+20</v>
      </c>
      <c r="S101" s="129">
        <f>courbes!E101</f>
        <v>1.1993547226094513E+20</v>
      </c>
      <c r="T101" s="129">
        <f>courbes!F101</f>
        <v>6.6770736965165449E+19</v>
      </c>
      <c r="U101" s="129">
        <f>courbes!G101</f>
        <v>2.7725630057658622E+19</v>
      </c>
      <c r="V101" s="129">
        <f>courbes!H101</f>
        <v>1.0623428193604219E+19</v>
      </c>
      <c r="W101" s="129">
        <f>courbes!I101</f>
        <v>1.2660951091920421E+22</v>
      </c>
      <c r="AW101" s="126">
        <f t="shared" si="64"/>
        <v>8.25</v>
      </c>
      <c r="AX101" s="127">
        <f t="shared" si="65"/>
        <v>6.8679728061780977E+23</v>
      </c>
      <c r="AY101" s="155">
        <f t="shared" si="66"/>
        <v>8.4157671182780013E-3</v>
      </c>
      <c r="AZ101" s="155">
        <f t="shared" si="67"/>
        <v>0.60581444437957854</v>
      </c>
      <c r="BA101" s="155">
        <f t="shared" si="68"/>
        <v>0.3104275507492415</v>
      </c>
      <c r="BB101" s="155">
        <f t="shared" si="69"/>
        <v>4.2085852158422539E-2</v>
      </c>
      <c r="BC101" s="155">
        <f t="shared" si="70"/>
        <v>2.3527347590885352E-2</v>
      </c>
      <c r="BD101" s="155">
        <f t="shared" si="71"/>
        <v>9.7290380035940649E-3</v>
      </c>
    </row>
    <row r="102" spans="14:56">
      <c r="N102" s="128">
        <f>[4]Eq_de_Bateman_avec_RK1!F102</f>
        <v>8.3333333333333339</v>
      </c>
      <c r="O102" s="128">
        <f>[4]Eq_de_Bateman_avec_RK1!G102</f>
        <v>262800000</v>
      </c>
      <c r="P102" s="129">
        <f>courbes!B102</f>
        <v>2.4233999289980363E+19</v>
      </c>
      <c r="Q102" s="129">
        <f>courbes!C102</f>
        <v>1.7362991991021191E+21</v>
      </c>
      <c r="R102" s="129">
        <f>courbes!D102</f>
        <v>8.8859249001298133E+20</v>
      </c>
      <c r="S102" s="129">
        <f>courbes!E102</f>
        <v>1.199904097033102E+20</v>
      </c>
      <c r="T102" s="129">
        <f>courbes!F102</f>
        <v>6.6864758701585801E+19</v>
      </c>
      <c r="U102" s="129">
        <f>courbes!G102</f>
        <v>2.7703018060201603E+19</v>
      </c>
      <c r="V102" s="129">
        <f>courbes!H102</f>
        <v>1.0400147357503033E+19</v>
      </c>
      <c r="W102" s="129">
        <f>courbes!I102</f>
        <v>1.2624829231189912E+22</v>
      </c>
      <c r="AW102" s="126">
        <f t="shared" si="64"/>
        <v>8.3333333333333339</v>
      </c>
      <c r="AX102" s="127">
        <f t="shared" si="65"/>
        <v>6.8578078571632747E+23</v>
      </c>
      <c r="AY102" s="155">
        <f t="shared" si="66"/>
        <v>8.4104016197985559E-3</v>
      </c>
      <c r="AZ102" s="155">
        <f t="shared" si="67"/>
        <v>0.6051139332402653</v>
      </c>
      <c r="BA102" s="155">
        <f t="shared" si="68"/>
        <v>0.31097721319262978</v>
      </c>
      <c r="BB102" s="155">
        <f t="shared" si="69"/>
        <v>4.2167540037290473E-2</v>
      </c>
      <c r="BC102" s="155">
        <f t="shared" si="70"/>
        <v>2.359539949618409E-2</v>
      </c>
      <c r="BD102" s="155">
        <f t="shared" si="71"/>
        <v>9.7355124138317345E-3</v>
      </c>
    </row>
    <row r="103" spans="14:56">
      <c r="N103" s="128">
        <f>[4]Eq_de_Bateman_avec_RK1!F103</f>
        <v>8.4166666666666661</v>
      </c>
      <c r="O103" s="128">
        <f>[4]Eq_de_Bateman_avec_RK1!G103</f>
        <v>265428000</v>
      </c>
      <c r="P103" s="129">
        <f>courbes!B103</f>
        <v>2.4182152808596365E+19</v>
      </c>
      <c r="Q103" s="129">
        <f>courbes!C103</f>
        <v>1.7317180698403136E+21</v>
      </c>
      <c r="R103" s="129">
        <f>courbes!D103</f>
        <v>8.8882711668596421E+20</v>
      </c>
      <c r="S103" s="129">
        <f>courbes!E103</f>
        <v>1.2004474528037685E+20</v>
      </c>
      <c r="T103" s="129">
        <f>courbes!F103</f>
        <v>6.6958318318161256E+19</v>
      </c>
      <c r="U103" s="129">
        <f>courbes!G103</f>
        <v>2.7681040443036725E+19</v>
      </c>
      <c r="V103" s="129">
        <f>courbes!H103</f>
        <v>1.0181636060008462E+19</v>
      </c>
      <c r="W103" s="129">
        <f>courbes!I103</f>
        <v>1.2588810426649101E+22</v>
      </c>
      <c r="AW103" s="126">
        <f t="shared" si="64"/>
        <v>8.4166666666666661</v>
      </c>
      <c r="AX103" s="127">
        <f t="shared" si="65"/>
        <v>6.8476030645724998E+23</v>
      </c>
      <c r="AY103" s="155">
        <f t="shared" si="66"/>
        <v>8.4049152881282632E-3</v>
      </c>
      <c r="AZ103" s="155">
        <f t="shared" si="67"/>
        <v>0.60441677881875555</v>
      </c>
      <c r="BA103" s="155">
        <f t="shared" si="68"/>
        <v>0.31152288763389208</v>
      </c>
      <c r="BB103" s="155">
        <f t="shared" si="69"/>
        <v>4.2249504446673102E-2</v>
      </c>
      <c r="BC103" s="155">
        <f t="shared" si="70"/>
        <v>2.3663627812817219E-2</v>
      </c>
      <c r="BD103" s="155">
        <f t="shared" si="71"/>
        <v>9.7422859997337383E-3</v>
      </c>
    </row>
    <row r="104" spans="14:56">
      <c r="N104" s="128">
        <f>[4]Eq_de_Bateman_avec_RK1!F104</f>
        <v>8.5</v>
      </c>
      <c r="O104" s="128">
        <f>[4]Eq_de_Bateman_avec_RK1!G104</f>
        <v>268056000</v>
      </c>
      <c r="P104" s="129">
        <f>courbes!B104</f>
        <v>2.4129900526002029E+19</v>
      </c>
      <c r="Q104" s="129">
        <f>courbes!C104</f>
        <v>1.7271425751239914E+21</v>
      </c>
      <c r="R104" s="129">
        <f>courbes!D104</f>
        <v>8.8904072774241367E+20</v>
      </c>
      <c r="S104" s="129">
        <f>courbes!E104</f>
        <v>1.2009840920376164E+20</v>
      </c>
      <c r="T104" s="129">
        <f>courbes!F104</f>
        <v>6.7051417823851897E+19</v>
      </c>
      <c r="U104" s="129">
        <f>courbes!G104</f>
        <v>2.7659683196545044E+19</v>
      </c>
      <c r="V104" s="129">
        <f>courbes!H104</f>
        <v>9.9677921966713221E+18</v>
      </c>
      <c r="W104" s="129">
        <f>courbes!I104</f>
        <v>1.2552894384277165E+22</v>
      </c>
      <c r="AW104" s="126">
        <f t="shared" si="64"/>
        <v>8.5</v>
      </c>
      <c r="AX104" s="127">
        <f t="shared" si="65"/>
        <v>6.8373590981984762E+23</v>
      </c>
      <c r="AY104" s="155">
        <f t="shared" si="66"/>
        <v>8.3993194487936729E-3</v>
      </c>
      <c r="AZ104" s="155">
        <f t="shared" si="67"/>
        <v>0.60372297187578772</v>
      </c>
      <c r="BA104" s="155">
        <f t="shared" si="68"/>
        <v>0.3120646021274478</v>
      </c>
      <c r="BB104" s="155">
        <f t="shared" si="69"/>
        <v>4.2331719312113818E-2</v>
      </c>
      <c r="BC104" s="155">
        <f t="shared" si="70"/>
        <v>2.37320329096764E-2</v>
      </c>
      <c r="BD104" s="155">
        <f t="shared" si="71"/>
        <v>9.7493543261808861E-3</v>
      </c>
    </row>
    <row r="105" spans="14:56">
      <c r="N105" s="128">
        <f>[4]Eq_de_Bateman_avec_RK1!F105</f>
        <v>8.5833333333333339</v>
      </c>
      <c r="O105" s="128">
        <f>[4]Eq_de_Bateman_avec_RK1!G105</f>
        <v>270684000</v>
      </c>
      <c r="P105" s="129">
        <f>courbes!B105</f>
        <v>2.4077277927883907E+19</v>
      </c>
      <c r="Q105" s="129">
        <f>courbes!C105</f>
        <v>1.7225728463279222E+21</v>
      </c>
      <c r="R105" s="129">
        <f>courbes!D105</f>
        <v>8.8923351294640469E+20</v>
      </c>
      <c r="S105" s="129">
        <f>courbes!E105</f>
        <v>1.2015133459000671E+20</v>
      </c>
      <c r="T105" s="129">
        <f>courbes!F105</f>
        <v>6.7144058899483566E+19</v>
      </c>
      <c r="U105" s="129">
        <f>courbes!G105</f>
        <v>2.7638932285494518E+19</v>
      </c>
      <c r="V105" s="129">
        <f>courbes!H105</f>
        <v>9.7585158494598574E+18</v>
      </c>
      <c r="W105" s="129">
        <f>courbes!I105</f>
        <v>1.2517080810892124E+22</v>
      </c>
      <c r="AW105" s="126">
        <f t="shared" si="64"/>
        <v>8.5833333333333339</v>
      </c>
      <c r="AX105" s="127">
        <f t="shared" si="65"/>
        <v>6.8270766209701753E+23</v>
      </c>
      <c r="AY105" s="155">
        <f t="shared" si="66"/>
        <v>8.3936250682097088E-3</v>
      </c>
      <c r="AZ105" s="155">
        <f t="shared" si="67"/>
        <v>0.60303250297177513</v>
      </c>
      <c r="BA105" s="155">
        <f t="shared" si="68"/>
        <v>0.31260238452810746</v>
      </c>
      <c r="BB105" s="155">
        <f t="shared" si="69"/>
        <v>4.2414159447468895E-2</v>
      </c>
      <c r="BC105" s="155">
        <f t="shared" si="70"/>
        <v>2.3800615044753878E-2</v>
      </c>
      <c r="BD105" s="155">
        <f t="shared" si="71"/>
        <v>9.7567129396851655E-3</v>
      </c>
    </row>
    <row r="106" spans="14:56">
      <c r="N106" s="128">
        <f>[4]Eq_de_Bateman_avec_RK1!F106</f>
        <v>8.6666666666666661</v>
      </c>
      <c r="O106" s="128">
        <f>[4]Eq_de_Bateman_avec_RK1!G106</f>
        <v>273312000</v>
      </c>
      <c r="P106" s="129">
        <f>courbes!B106</f>
        <v>2.4024319286279217E+19</v>
      </c>
      <c r="Q106" s="129">
        <f>courbes!C106</f>
        <v>1.7180090116340945E+21</v>
      </c>
      <c r="R106" s="129">
        <f>courbes!D106</f>
        <v>8.8940566111075972E+20</v>
      </c>
      <c r="S106" s="129">
        <f>courbes!E106</f>
        <v>1.2020345736868708E+20</v>
      </c>
      <c r="T106" s="129">
        <f>courbes!F106</f>
        <v>6.7236242911796634E+19</v>
      </c>
      <c r="U106" s="129">
        <f>courbes!G106</f>
        <v>2.7618773661221089E+19</v>
      </c>
      <c r="V106" s="129">
        <f>courbes!H106</f>
        <v>9.5537092399399117E+18</v>
      </c>
      <c r="W106" s="129">
        <f>courbes!I106</f>
        <v>1.248136941414845E+22</v>
      </c>
      <c r="AW106" s="126">
        <f t="shared" si="64"/>
        <v>8.6666666666666661</v>
      </c>
      <c r="AX106" s="127">
        <f t="shared" si="65"/>
        <v>6.8167562890012805E+23</v>
      </c>
      <c r="AY106" s="155">
        <f t="shared" si="66"/>
        <v>8.3878427623413892E-3</v>
      </c>
      <c r="AZ106" s="155">
        <f t="shared" si="67"/>
        <v>0.60234536247548021</v>
      </c>
      <c r="BA106" s="155">
        <f t="shared" si="68"/>
        <v>0.31313626249333887</v>
      </c>
      <c r="BB106" s="155">
        <f t="shared" si="69"/>
        <v>4.2496800527539215E-2</v>
      </c>
      <c r="BC106" s="155">
        <f t="shared" si="70"/>
        <v>2.3869374369314095E-2</v>
      </c>
      <c r="BD106" s="155">
        <f t="shared" si="71"/>
        <v>9.7643573719861827E-3</v>
      </c>
    </row>
    <row r="107" spans="14:56">
      <c r="N107" s="128">
        <f>[4]Eq_de_Bateman_avec_RK1!F107</f>
        <v>8.75</v>
      </c>
      <c r="O107" s="128">
        <f>[4]Eq_de_Bateman_avec_RK1!G107</f>
        <v>275940000</v>
      </c>
      <c r="P107" s="129">
        <f>courbes!B107</f>
        <v>2.3971057689686036E+19</v>
      </c>
      <c r="Q107" s="129">
        <f>courbes!C107</f>
        <v>1.7134511960926063E+21</v>
      </c>
      <c r="R107" s="129">
        <f>courbes!D107</f>
        <v>8.8955736009121805E+20</v>
      </c>
      <c r="S107" s="129">
        <f>courbes!E107</f>
        <v>1.2025471619327536E+20</v>
      </c>
      <c r="T107" s="129">
        <f>courbes!F107</f>
        <v>6.7327970927049122E+19</v>
      </c>
      <c r="U107" s="129">
        <f>courbes!G107</f>
        <v>2.7599193273216856E+19</v>
      </c>
      <c r="V107" s="129">
        <f>courbes!H107</f>
        <v>9.3532766834576855E+18</v>
      </c>
      <c r="W107" s="129">
        <f>courbes!I107</f>
        <v>1.244575990253468E+22</v>
      </c>
      <c r="AW107" s="126">
        <f t="shared" si="64"/>
        <v>8.75</v>
      </c>
      <c r="AX107" s="127">
        <f t="shared" si="65"/>
        <v>6.8063987516394095E+23</v>
      </c>
      <c r="AY107" s="155">
        <f t="shared" si="66"/>
        <v>8.3819828051818548E-3</v>
      </c>
      <c r="AZ107" s="155">
        <f t="shared" si="67"/>
        <v>0.60166154057238552</v>
      </c>
      <c r="BA107" s="155">
        <f t="shared" si="68"/>
        <v>0.31366626348547327</v>
      </c>
      <c r="BB107" s="155">
        <f t="shared" si="69"/>
        <v>4.2579619061546781E-2</v>
      </c>
      <c r="BC107" s="155">
        <f t="shared" si="70"/>
        <v>2.393831093193213E-2</v>
      </c>
      <c r="BD107" s="155">
        <f t="shared" si="71"/>
        <v>9.7722831434805153E-3</v>
      </c>
    </row>
    <row r="108" spans="14:56">
      <c r="N108" s="128">
        <f>[4]Eq_de_Bateman_avec_RK1!F108</f>
        <v>8.8333333333333339</v>
      </c>
      <c r="O108" s="128">
        <f>[4]Eq_de_Bateman_avec_RK1!G108</f>
        <v>278568000</v>
      </c>
      <c r="P108" s="129">
        <f>courbes!B108</f>
        <v>2.3917525072583487E+19</v>
      </c>
      <c r="Q108" s="129">
        <f>courbes!C108</f>
        <v>1.7088995216814592E+21</v>
      </c>
      <c r="R108" s="129">
        <f>courbes!D108</f>
        <v>8.896887967809055E+20</v>
      </c>
      <c r="S108" s="129">
        <f>courbes!E108</f>
        <v>1.2030505235468145E+20</v>
      </c>
      <c r="T108" s="129">
        <f>courbes!F108</f>
        <v>6.7419243724187361E+19</v>
      </c>
      <c r="U108" s="129">
        <f>courbes!G108</f>
        <v>2.758017708014721E+19</v>
      </c>
      <c r="V108" s="129">
        <f>courbes!H108</f>
        <v>9.1571245443036088E+18</v>
      </c>
      <c r="W108" s="129">
        <f>courbes!I108</f>
        <v>1.2410251985371043E+22</v>
      </c>
      <c r="AW108" s="126">
        <f t="shared" si="64"/>
        <v>8.8333333333333339</v>
      </c>
      <c r="AX108" s="127">
        <f t="shared" si="65"/>
        <v>6.7960046515160789E+23</v>
      </c>
      <c r="AY108" s="155">
        <f t="shared" si="66"/>
        <v>8.3760551370502586E-3</v>
      </c>
      <c r="AZ108" s="155">
        <f t="shared" si="67"/>
        <v>0.60098102727277458</v>
      </c>
      <c r="BA108" s="155">
        <f t="shared" si="68"/>
        <v>0.31419241477385285</v>
      </c>
      <c r="BB108" s="155">
        <f t="shared" si="69"/>
        <v>4.2662592367429066E-2</v>
      </c>
      <c r="BC108" s="155">
        <f t="shared" si="70"/>
        <v>2.4007424682403102E-2</v>
      </c>
      <c r="BD108" s="155">
        <f t="shared" si="71"/>
        <v>9.7804857664902847E-3</v>
      </c>
    </row>
    <row r="109" spans="14:56">
      <c r="N109" s="128">
        <f>[4]Eq_de_Bateman_avec_RK1!F109</f>
        <v>8.9166666666666661</v>
      </c>
      <c r="O109" s="128">
        <f>[4]Eq_de_Bateman_avec_RK1!G109</f>
        <v>281196000</v>
      </c>
      <c r="P109" s="129">
        <f>courbes!B109</f>
        <v>2.3863752244370117E+19</v>
      </c>
      <c r="Q109" s="129">
        <f>courbes!C109</f>
        <v>1.7043541073652747E+21</v>
      </c>
      <c r="R109" s="129">
        <f>courbes!D109</f>
        <v>8.8980015710509885E+20</v>
      </c>
      <c r="S109" s="129">
        <f>courbes!E109</f>
        <v>1.2035440969738766E+20</v>
      </c>
      <c r="T109" s="129">
        <f>courbes!F109</f>
        <v>6.7510061807596749E+19</v>
      </c>
      <c r="U109" s="129">
        <f>courbes!G109</f>
        <v>2.7561711060318224E+19</v>
      </c>
      <c r="V109" s="129">
        <f>courbes!H109</f>
        <v>8.9651611918363034E+18</v>
      </c>
      <c r="W109" s="129">
        <f>courbes!I109</f>
        <v>1.2374845372807076E+22</v>
      </c>
      <c r="AW109" s="126">
        <f t="shared" si="64"/>
        <v>8.9166666666666661</v>
      </c>
      <c r="AX109" s="127">
        <f t="shared" si="65"/>
        <v>6.7855746245972997E+23</v>
      </c>
      <c r="AY109" s="155">
        <f t="shared" si="66"/>
        <v>8.3700693727130748E-3</v>
      </c>
      <c r="AZ109" s="155">
        <f t="shared" si="67"/>
        <v>0.6003038124195339</v>
      </c>
      <c r="BA109" s="155">
        <f t="shared" si="68"/>
        <v>0.31471474343692341</v>
      </c>
      <c r="BB109" s="155">
        <f t="shared" si="69"/>
        <v>4.2745698546925635E-2</v>
      </c>
      <c r="BC109" s="155">
        <f t="shared" si="70"/>
        <v>2.4076715475526853E-2</v>
      </c>
      <c r="BD109" s="155">
        <f t="shared" si="71"/>
        <v>9.7889607483771426E-3</v>
      </c>
    </row>
    <row r="110" spans="14:56">
      <c r="N110" s="128">
        <f>[4]Eq_de_Bateman_avec_RK1!F110</f>
        <v>9</v>
      </c>
      <c r="O110" s="128">
        <f>[4]Eq_de_Bateman_avec_RK1!G110</f>
        <v>283824000</v>
      </c>
      <c r="P110" s="129">
        <f>courbes!B110</f>
        <v>2.3809768917728653E+19</v>
      </c>
      <c r="Q110" s="129">
        <f>courbes!C110</f>
        <v>1.6998150691529522E+21</v>
      </c>
      <c r="R110" s="129">
        <f>courbes!D110</f>
        <v>8.8989162601627648E+20</v>
      </c>
      <c r="S110" s="129">
        <f>courbes!E110</f>
        <v>1.2040273453810167E+20</v>
      </c>
      <c r="T110" s="129">
        <f>courbes!F110</f>
        <v>6.7600425419445002E+19</v>
      </c>
      <c r="U110" s="129">
        <f>courbes!G110</f>
        <v>2.7543781221614719E+19</v>
      </c>
      <c r="V110" s="129">
        <f>courbes!H110</f>
        <v>8.7772969575460977E+18</v>
      </c>
      <c r="W110" s="129">
        <f>courbes!I110</f>
        <v>1.2339539775819264E+22</v>
      </c>
      <c r="AW110" s="126">
        <f t="shared" si="64"/>
        <v>9</v>
      </c>
      <c r="AX110" s="127">
        <f t="shared" si="65"/>
        <v>6.7751093002347858E+23</v>
      </c>
      <c r="AY110" s="155">
        <f t="shared" si="66"/>
        <v>8.3640348093322169E-3</v>
      </c>
      <c r="AZ110" s="155">
        <f t="shared" si="67"/>
        <v>0.59962988569568476</v>
      </c>
      <c r="BA110" s="155">
        <f t="shared" si="68"/>
        <v>0.31523327636427229</v>
      </c>
      <c r="BB110" s="155">
        <f t="shared" si="69"/>
        <v>4.2828916461431762E-2</v>
      </c>
      <c r="BC110" s="155">
        <f t="shared" si="70"/>
        <v>2.4146183074771611E-2</v>
      </c>
      <c r="BD110" s="155">
        <f t="shared" si="71"/>
        <v>9.797703594507488E-3</v>
      </c>
    </row>
    <row r="111" spans="14:56">
      <c r="N111" s="128">
        <f>[4]Eq_de_Bateman_avec_RK1!F111</f>
        <v>9.0833333333333339</v>
      </c>
      <c r="O111" s="128">
        <f>[4]Eq_de_Bateman_avec_RK1!G111</f>
        <v>286452000</v>
      </c>
      <c r="P111" s="129">
        <f>courbes!B111</f>
        <v>2.3755603736425333E+19</v>
      </c>
      <c r="Q111" s="129">
        <f>courbes!C111</f>
        <v>1.6952825201542871E+21</v>
      </c>
      <c r="R111" s="129">
        <f>courbes!D111</f>
        <v>8.8996338748944954E+20</v>
      </c>
      <c r="S111" s="129">
        <f>courbes!E111</f>
        <v>1.2044997558685255E+20</v>
      </c>
      <c r="T111" s="129">
        <f>courbes!F111</f>
        <v>6.7690334551629783E+19</v>
      </c>
      <c r="U111" s="129">
        <f>courbes!G111</f>
        <v>2.7526373610928898E+19</v>
      </c>
      <c r="V111" s="129">
        <f>courbes!H111</f>
        <v>8.5934440930379653E+18</v>
      </c>
      <c r="W111" s="129">
        <f>courbes!I111</f>
        <v>1.2304334906208685E+22</v>
      </c>
      <c r="AW111" s="126">
        <f t="shared" si="64"/>
        <v>9.0833333333333339</v>
      </c>
      <c r="AX111" s="127">
        <f t="shared" si="65"/>
        <v>6.7646093012177146E+23</v>
      </c>
      <c r="AY111" s="155">
        <f t="shared" si="66"/>
        <v>8.3579604342433628E-3</v>
      </c>
      <c r="AZ111" s="155">
        <f t="shared" si="67"/>
        <v>0.59895923663165362</v>
      </c>
      <c r="BA111" s="155">
        <f t="shared" si="68"/>
        <v>0.31574804025861297</v>
      </c>
      <c r="BB111" s="155">
        <f t="shared" si="69"/>
        <v>4.2912225708594848E-2</v>
      </c>
      <c r="BC111" s="155">
        <f t="shared" si="70"/>
        <v>2.4215827155820532E-2</v>
      </c>
      <c r="BD111" s="155">
        <f t="shared" si="71"/>
        <v>9.8067098110746573E-3</v>
      </c>
    </row>
    <row r="112" spans="14:56">
      <c r="N112" s="128">
        <f>[4]Eq_de_Bateman_avec_RK1!F112</f>
        <v>9.1666666666666661</v>
      </c>
      <c r="O112" s="128">
        <f>[4]Eq_de_Bateman_avec_RK1!G112</f>
        <v>289080000</v>
      </c>
      <c r="P112" s="129">
        <f>courbes!B112</f>
        <v>2.3701284302551982E+19</v>
      </c>
      <c r="Q112" s="129">
        <f>courbes!C112</f>
        <v>1.6907565706355671E+21</v>
      </c>
      <c r="R112" s="129">
        <f>courbes!D112</f>
        <v>8.90015624517767E+20</v>
      </c>
      <c r="S112" s="129">
        <f>courbes!E112</f>
        <v>1.2049608387045674E+20</v>
      </c>
      <c r="T112" s="129">
        <f>courbes!F112</f>
        <v>6.7779788957342392E+19</v>
      </c>
      <c r="U112" s="129">
        <f>courbes!G112</f>
        <v>2.7509474323098657E+19</v>
      </c>
      <c r="V112" s="129">
        <f>courbes!H112</f>
        <v>8.4135167289141965E+18</v>
      </c>
      <c r="W112" s="129">
        <f>courbes!I112</f>
        <v>1.2269230476598647E+22</v>
      </c>
      <c r="AW112" s="126">
        <f t="shared" si="64"/>
        <v>9.1666666666666661</v>
      </c>
      <c r="AX112" s="127">
        <f t="shared" si="65"/>
        <v>6.7540752438249559E+23</v>
      </c>
      <c r="AY112" s="155">
        <f t="shared" si="66"/>
        <v>8.3518549325678291E-3</v>
      </c>
      <c r="AZ112" s="155">
        <f t="shared" si="67"/>
        <v>0.59829185461229262</v>
      </c>
      <c r="BA112" s="155">
        <f t="shared" si="68"/>
        <v>0.31625906163772077</v>
      </c>
      <c r="BB112" s="155">
        <f t="shared" si="69"/>
        <v>4.2995606599630427E-2</v>
      </c>
      <c r="BC112" s="155">
        <f t="shared" si="70"/>
        <v>2.4285647310004953E-2</v>
      </c>
      <c r="BD112" s="155">
        <f t="shared" si="71"/>
        <v>9.8159749077835409E-3</v>
      </c>
    </row>
    <row r="113" spans="14:56">
      <c r="N113" s="128">
        <f>[4]Eq_de_Bateman_avec_RK1!F113</f>
        <v>9.25</v>
      </c>
      <c r="O113" s="128">
        <f>[4]Eq_de_Bateman_avec_RK1!G113</f>
        <v>291708000</v>
      </c>
      <c r="P113" s="129">
        <f>courbes!B113</f>
        <v>2.3646837203218985E+19</v>
      </c>
      <c r="Q113" s="129">
        <f>courbes!C113</f>
        <v>1.6862373280741668E+21</v>
      </c>
      <c r="R113" s="129">
        <f>courbes!D113</f>
        <v>8.9004851910838767E+20</v>
      </c>
      <c r="S113" s="129">
        <f>courbes!E113</f>
        <v>1.2054101265828345E+20</v>
      </c>
      <c r="T113" s="129">
        <f>courbes!F113</f>
        <v>6.7868788162258723E+19</v>
      </c>
      <c r="U113" s="129">
        <f>courbes!G113</f>
        <v>2.7493069509374071E+19</v>
      </c>
      <c r="V113" s="129">
        <f>courbes!H113</f>
        <v>8.2374308345375406E+18</v>
      </c>
      <c r="W113" s="129">
        <f>courbes!I113</f>
        <v>1.2234226200432351E+22</v>
      </c>
      <c r="AW113" s="126">
        <f t="shared" si="64"/>
        <v>9.25</v>
      </c>
      <c r="AX113" s="127">
        <f t="shared" si="65"/>
        <v>6.7435077378777714E+23</v>
      </c>
      <c r="AY113" s="155">
        <f t="shared" si="66"/>
        <v>8.3457266946612464E-3</v>
      </c>
      <c r="AZ113" s="155">
        <f t="shared" si="67"/>
        <v>0.59762772888365678</v>
      </c>
      <c r="BA113" s="155">
        <f t="shared" si="68"/>
        <v>0.3167663668363167</v>
      </c>
      <c r="BB113" s="155">
        <f t="shared" si="69"/>
        <v>4.3079040137334622E-2</v>
      </c>
      <c r="BC113" s="155">
        <f t="shared" si="70"/>
        <v>2.4355643047627665E-2</v>
      </c>
      <c r="BD113" s="155">
        <f t="shared" si="71"/>
        <v>9.8254944004028764E-3</v>
      </c>
    </row>
    <row r="114" spans="14:56">
      <c r="N114" s="128">
        <f>[4]Eq_de_Bateman_avec_RK1!F114</f>
        <v>9.3333333333333339</v>
      </c>
      <c r="O114" s="128">
        <f>[4]Eq_de_Bateman_avec_RK1!G114</f>
        <v>294336000</v>
      </c>
      <c r="P114" s="129">
        <f>courbes!B114</f>
        <v>2.3592288036707279E+19</v>
      </c>
      <c r="Q114" s="129">
        <f>courbes!C114</f>
        <v>1.6817248972121545E+21</v>
      </c>
      <c r="R114" s="129">
        <f>courbes!D114</f>
        <v>8.9006225227861354E+20</v>
      </c>
      <c r="S114" s="129">
        <f>courbes!E114</f>
        <v>1.2058471739025108E+20</v>
      </c>
      <c r="T114" s="129">
        <f>courbes!F114</f>
        <v>6.7957331475368468E+19</v>
      </c>
      <c r="U114" s="129">
        <f>courbes!G114</f>
        <v>2.7477145385429991E+19</v>
      </c>
      <c r="V114" s="129">
        <f>courbes!H114</f>
        <v>8.0651041786559713E+18</v>
      </c>
      <c r="W114" s="129">
        <f>courbes!I114</f>
        <v>1.2199321791970547E+22</v>
      </c>
      <c r="AW114" s="126">
        <f t="shared" si="64"/>
        <v>9.3333333333333339</v>
      </c>
      <c r="AX114" s="127">
        <f t="shared" si="65"/>
        <v>6.7329073867928696E+23</v>
      </c>
      <c r="AY114" s="155">
        <f t="shared" si="66"/>
        <v>8.3395838234022485E-3</v>
      </c>
      <c r="AZ114" s="155">
        <f t="shared" si="67"/>
        <v>0.59696684855954929</v>
      </c>
      <c r="BA114" s="155">
        <f t="shared" si="68"/>
        <v>0.31726998200790618</v>
      </c>
      <c r="BB114" s="155">
        <f t="shared" si="69"/>
        <v>4.3162507994771768E-2</v>
      </c>
      <c r="BC114" s="155">
        <f t="shared" si="70"/>
        <v>2.4425813801179946E-2</v>
      </c>
      <c r="BD114" s="155">
        <f t="shared" si="71"/>
        <v>9.8352638131904042E-3</v>
      </c>
    </row>
    <row r="115" spans="14:56">
      <c r="N115" s="128">
        <f>[4]Eq_de_Bateman_avec_RK1!F115</f>
        <v>9.4166666666666661</v>
      </c>
      <c r="O115" s="128">
        <f>[4]Eq_de_Bateman_avec_RK1!G115</f>
        <v>296964000</v>
      </c>
      <c r="P115" s="129">
        <f>courbes!B115</f>
        <v>2.3537661438087483E+19</v>
      </c>
      <c r="Q115" s="129">
        <f>courbes!C115</f>
        <v>1.6772193801089337E+21</v>
      </c>
      <c r="R115" s="129">
        <f>courbes!D115</f>
        <v>8.9005700405227749E+20</v>
      </c>
      <c r="S115" s="129">
        <f>courbes!E115</f>
        <v>1.2062715560698805E+20</v>
      </c>
      <c r="T115" s="129">
        <f>courbes!F115</f>
        <v>6.8045417999453209E+19</v>
      </c>
      <c r="U115" s="129">
        <f>courbes!G115</f>
        <v>2.7461688238941995E+19</v>
      </c>
      <c r="V115" s="129">
        <f>courbes!H115</f>
        <v>7.896456290870613E+18</v>
      </c>
      <c r="W115" s="129">
        <f>courbes!I115</f>
        <v>1.2164516966289201E+22</v>
      </c>
      <c r="AW115" s="126">
        <f t="shared" si="64"/>
        <v>9.4166666666666661</v>
      </c>
      <c r="AX115" s="127">
        <f t="shared" si="65"/>
        <v>6.7222747876358351E+23</v>
      </c>
      <c r="AY115" s="155">
        <f t="shared" si="66"/>
        <v>8.3334341413243279E-3</v>
      </c>
      <c r="AZ115" s="155">
        <f t="shared" si="67"/>
        <v>0.59630920262783915</v>
      </c>
      <c r="BA115" s="155">
        <f t="shared" si="68"/>
        <v>0.31776993312656987</v>
      </c>
      <c r="BB115" s="155">
        <f t="shared" si="69"/>
        <v>4.3245992494615325E-2</v>
      </c>
      <c r="BC115" s="155">
        <f t="shared" si="70"/>
        <v>2.4496158928455483E-2</v>
      </c>
      <c r="BD115" s="155">
        <f t="shared" si="71"/>
        <v>9.8452786811956666E-3</v>
      </c>
    </row>
    <row r="116" spans="14:56">
      <c r="N116" s="128">
        <f>[4]Eq_de_Bateman_avec_RK1!F116</f>
        <v>9.5</v>
      </c>
      <c r="O116" s="128">
        <f>[4]Eq_de_Bateman_avec_RK1!G116</f>
        <v>299592000</v>
      </c>
      <c r="P116" s="129">
        <f>courbes!B116</f>
        <v>2.3482981104314225E+19</v>
      </c>
      <c r="Q116" s="129">
        <f>courbes!C116</f>
        <v>1.6727208761929315E+21</v>
      </c>
      <c r="R116" s="129">
        <f>courbes!D116</f>
        <v>8.9003295345638022E+20</v>
      </c>
      <c r="S116" s="129">
        <f>courbes!E116</f>
        <v>1.2066828688209348E+20</v>
      </c>
      <c r="T116" s="129">
        <f>courbes!F116</f>
        <v>6.8133046641223655E+19</v>
      </c>
      <c r="U116" s="129">
        <f>courbes!G116</f>
        <v>2.7446684436742398E+19</v>
      </c>
      <c r="V116" s="129">
        <f>courbes!H116</f>
        <v>7.7314084239287828E+18</v>
      </c>
      <c r="W116" s="129">
        <f>courbes!I116</f>
        <v>1.2129811439277176E+22</v>
      </c>
      <c r="AW116" s="126">
        <f t="shared" si="64"/>
        <v>9.5</v>
      </c>
      <c r="AX116" s="127">
        <f t="shared" si="65"/>
        <v>6.7116105311748426E+23</v>
      </c>
      <c r="AY116" s="155">
        <f t="shared" si="66"/>
        <v>8.327285197593938E-3</v>
      </c>
      <c r="AZ116" s="155">
        <f t="shared" si="67"/>
        <v>0.59565477995656368</v>
      </c>
      <c r="BA116" s="155">
        <f t="shared" si="68"/>
        <v>0.31826624598871051</v>
      </c>
      <c r="BB116" s="155">
        <f t="shared" si="69"/>
        <v>4.3329476589122042E-2</v>
      </c>
      <c r="BC116" s="155">
        <f t="shared" si="70"/>
        <v>2.4566677715564533E-2</v>
      </c>
      <c r="BD116" s="155">
        <f t="shared" si="71"/>
        <v>9.855534552445264E-3</v>
      </c>
    </row>
    <row r="117" spans="14:56">
      <c r="N117" s="128">
        <f>[4]Eq_de_Bateman_avec_RK1!F117</f>
        <v>9.5833333333333339</v>
      </c>
      <c r="O117" s="128">
        <f>[4]Eq_de_Bateman_avec_RK1!G117</f>
        <v>302220000</v>
      </c>
      <c r="P117" s="129">
        <f>courbes!B117</f>
        <v>2.3428269818803659E+19</v>
      </c>
      <c r="Q117" s="129">
        <f>courbes!C117</f>
        <v>1.6682294823123534E+21</v>
      </c>
      <c r="R117" s="129">
        <f>courbes!D117</f>
        <v>8.8999027851796965E+20</v>
      </c>
      <c r="S117" s="129">
        <f>courbes!E117</f>
        <v>1.2070807275643545E+20</v>
      </c>
      <c r="T117" s="129">
        <f>courbes!F117</f>
        <v>6.8220216121126109E+19</v>
      </c>
      <c r="U117" s="129">
        <f>courbes!G117</f>
        <v>2.7432120431572468E+19</v>
      </c>
      <c r="V117" s="129">
        <f>courbes!H117</f>
        <v>7.5698835168244726E+18</v>
      </c>
      <c r="W117" s="129">
        <f>courbes!I117</f>
        <v>1.2095204927633904E+22</v>
      </c>
      <c r="AW117" s="126">
        <f t="shared" si="64"/>
        <v>9.5833333333333339</v>
      </c>
      <c r="AX117" s="127">
        <f t="shared" si="65"/>
        <v>6.7009152019346287E+23</v>
      </c>
      <c r="AY117" s="155">
        <f t="shared" si="66"/>
        <v>8.3211442748379171E-3</v>
      </c>
      <c r="AZ117" s="155">
        <f t="shared" si="67"/>
        <v>0.59500356929981946</v>
      </c>
      <c r="BA117" s="155">
        <f t="shared" si="68"/>
        <v>0.31875894621475692</v>
      </c>
      <c r="BB117" s="155">
        <f t="shared" si="69"/>
        <v>4.3412943840719177E-2</v>
      </c>
      <c r="BC117" s="155">
        <f t="shared" si="70"/>
        <v>2.4637369379851431E-2</v>
      </c>
      <c r="BD117" s="155">
        <f t="shared" si="71"/>
        <v>9.8660269900151167E-3</v>
      </c>
    </row>
    <row r="118" spans="14:56">
      <c r="N118" s="128">
        <f>[4]Eq_de_Bateman_avec_RK1!F118</f>
        <v>9.6666666666666661</v>
      </c>
      <c r="O118" s="128">
        <f>[4]Eq_de_Bateman_avec_RK1!G118</f>
        <v>304848000</v>
      </c>
      <c r="P118" s="129">
        <f>courbes!B118</f>
        <v>2.337354947550224E+19</v>
      </c>
      <c r="Q118" s="129">
        <f>courbes!C118</f>
        <v>1.6637452927850214E+21</v>
      </c>
      <c r="R118" s="129">
        <f>courbes!D118</f>
        <v>8.8992915626125741E+20</v>
      </c>
      <c r="S118" s="129">
        <f>courbes!E118</f>
        <v>1.2074647667442578E+20</v>
      </c>
      <c r="T118" s="129">
        <f>courbes!F118</f>
        <v>6.8306924982827901E+19</v>
      </c>
      <c r="U118" s="129">
        <f>courbes!G118</f>
        <v>2.7417982768446431E+19</v>
      </c>
      <c r="V118" s="129">
        <f>courbes!H118</f>
        <v>7.4118061586889923E+18</v>
      </c>
      <c r="W118" s="129">
        <f>courbes!I118</f>
        <v>1.2060697148867081E+22</v>
      </c>
      <c r="AW118" s="126">
        <f t="shared" si="64"/>
        <v>9.6666666666666661</v>
      </c>
      <c r="AX118" s="127">
        <f t="shared" si="65"/>
        <v>6.6901893782506805E+23</v>
      </c>
      <c r="AY118" s="155">
        <f t="shared" si="66"/>
        <v>8.3150183958231906E-3</v>
      </c>
      <c r="AZ118" s="155">
        <f t="shared" si="67"/>
        <v>0.59435555930345252</v>
      </c>
      <c r="BA118" s="155">
        <f t="shared" si="68"/>
        <v>0.31924805925082567</v>
      </c>
      <c r="BB118" s="155">
        <f t="shared" si="69"/>
        <v>4.3496378403185834E-2</v>
      </c>
      <c r="BC118" s="155">
        <f t="shared" si="70"/>
        <v>2.4708233072718504E-2</v>
      </c>
      <c r="BD118" s="155">
        <f t="shared" si="71"/>
        <v>9.8767515739940828E-3</v>
      </c>
    </row>
    <row r="119" spans="14:56">
      <c r="N119" s="128">
        <f>[4]Eq_de_Bateman_avec_RK1!F119</f>
        <v>9.75</v>
      </c>
      <c r="O119" s="128">
        <f>[4]Eq_de_Bateman_avec_RK1!G119</f>
        <v>307476000</v>
      </c>
      <c r="P119" s="129">
        <f>courbes!B119</f>
        <v>2.3318841102454632E+19</v>
      </c>
      <c r="Q119" s="129">
        <f>courbes!C119</f>
        <v>1.6592683994473095E+21</v>
      </c>
      <c r="R119" s="129">
        <f>courbes!D119</f>
        <v>8.8984976270496629E+20</v>
      </c>
      <c r="S119" s="129">
        <f>courbes!E119</f>
        <v>1.2078346392221273E+20</v>
      </c>
      <c r="T119" s="129">
        <f>courbes!F119</f>
        <v>6.8393171602391146E+19</v>
      </c>
      <c r="U119" s="129">
        <f>courbes!G119</f>
        <v>2.7404258090642326E+19</v>
      </c>
      <c r="V119" s="129">
        <f>courbes!H119</f>
        <v>7.2571025534548398E+18</v>
      </c>
      <c r="W119" s="129">
        <f>courbes!I119</f>
        <v>1.2026287821290354E+22</v>
      </c>
      <c r="AW119" s="126">
        <f t="shared" si="64"/>
        <v>9.75</v>
      </c>
      <c r="AX119" s="127">
        <f t="shared" si="65"/>
        <v>6.6794336323235972E+23</v>
      </c>
      <c r="AY119" s="155">
        <f t="shared" si="66"/>
        <v>8.308914329991696E-3</v>
      </c>
      <c r="AZ119" s="155">
        <f t="shared" si="67"/>
        <v>0.59371073851055323</v>
      </c>
      <c r="BA119" s="155">
        <f t="shared" si="68"/>
        <v>0.3197336103703432</v>
      </c>
      <c r="BB119" s="155">
        <f t="shared" si="69"/>
        <v>4.3579765003409557E-2</v>
      </c>
      <c r="BC119" s="155">
        <f t="shared" si="70"/>
        <v>2.477926788235929E-2</v>
      </c>
      <c r="BD119" s="155">
        <f t="shared" si="71"/>
        <v>9.8877039033432191E-3</v>
      </c>
    </row>
    <row r="120" spans="14:56">
      <c r="N120" s="128">
        <f>[4]Eq_de_Bateman_avec_RK1!F120</f>
        <v>9.8333333333333339</v>
      </c>
      <c r="O120" s="128">
        <f>[4]Eq_de_Bateman_avec_RK1!G120</f>
        <v>310104000</v>
      </c>
      <c r="P120" s="129">
        <f>courbes!B120</f>
        <v>2.3264164884878664E+19</v>
      </c>
      <c r="Q120" s="129">
        <f>courbes!C120</f>
        <v>1.6547988917021956E+21</v>
      </c>
      <c r="R120" s="129">
        <f>courbes!D120</f>
        <v>8.8975227285990382E+20</v>
      </c>
      <c r="S120" s="129">
        <f>courbes!E120</f>
        <v>1.2081900156773445E+20</v>
      </c>
      <c r="T120" s="129">
        <f>courbes!F120</f>
        <v>6.8478954197144142E+19</v>
      </c>
      <c r="U120" s="129">
        <f>courbes!G120</f>
        <v>2.7390933145334231E+19</v>
      </c>
      <c r="V120" s="129">
        <f>courbes!H120</f>
        <v>7.1057004852762542E+18</v>
      </c>
      <c r="W120" s="129">
        <f>courbes!I120</f>
        <v>1.1991976664021026E+22</v>
      </c>
      <c r="AW120" s="126">
        <f t="shared" si="64"/>
        <v>9.8333333333333339</v>
      </c>
      <c r="AX120" s="127">
        <f t="shared" si="65"/>
        <v>6.6686485302736124E+23</v>
      </c>
      <c r="AY120" s="155">
        <f t="shared" si="66"/>
        <v>8.3028385998533735E-3</v>
      </c>
      <c r="AZ120" s="155">
        <f t="shared" si="67"/>
        <v>0.59306909536676033</v>
      </c>
      <c r="BA120" s="155">
        <f t="shared" si="68"/>
        <v>0.32021562467562736</v>
      </c>
      <c r="BB120" s="155">
        <f t="shared" si="69"/>
        <v>4.3663088923700299E-2</v>
      </c>
      <c r="BC120" s="155">
        <f t="shared" si="70"/>
        <v>2.4850472836403844E-2</v>
      </c>
      <c r="BD120" s="155">
        <f t="shared" si="71"/>
        <v>9.8988795976547046E-3</v>
      </c>
    </row>
    <row r="121" spans="14:56">
      <c r="N121" s="128">
        <f>[4]Eq_de_Bateman_avec_RK1!F121</f>
        <v>9.9166666666666661</v>
      </c>
      <c r="O121" s="128">
        <f>[4]Eq_de_Bateman_avec_RK1!G121</f>
        <v>312732000</v>
      </c>
      <c r="P121" s="129">
        <f>courbes!B121</f>
        <v>2.3209540187755209E+19</v>
      </c>
      <c r="Q121" s="129">
        <f>courbes!C121</f>
        <v>1.6503368565664401E+21</v>
      </c>
      <c r="R121" s="129">
        <f>courbes!D121</f>
        <v>8.8963686072675559E+20</v>
      </c>
      <c r="S121" s="129">
        <f>courbes!E121</f>
        <v>1.2085305840257758E+20</v>
      </c>
      <c r="T121" s="129">
        <f>courbes!F121</f>
        <v>6.8564270834259182E+19</v>
      </c>
      <c r="U121" s="129">
        <f>courbes!G121</f>
        <v>2.7377994788879974E+19</v>
      </c>
      <c r="V121" s="129">
        <f>courbes!H121</f>
        <v>6.9575292846902405E+18</v>
      </c>
      <c r="W121" s="129">
        <f>courbes!I121</f>
        <v>1.1957763396977761E+22</v>
      </c>
      <c r="AW121" s="126">
        <f t="shared" si="64"/>
        <v>9.9166666666666661</v>
      </c>
      <c r="AX121" s="127">
        <f t="shared" si="65"/>
        <v>6.6578346321951827E+23</v>
      </c>
      <c r="AY121" s="155">
        <f t="shared" si="66"/>
        <v>8.2967974872401439E-3</v>
      </c>
      <c r="AZ121" s="155">
        <f t="shared" si="67"/>
        <v>0.59243061822538823</v>
      </c>
      <c r="BA121" s="155">
        <f t="shared" si="68"/>
        <v>0.32069412709943373</v>
      </c>
      <c r="BB121" s="155">
        <f t="shared" si="69"/>
        <v>4.3746335984644426E-2</v>
      </c>
      <c r="BC121" s="155">
        <f t="shared" si="70"/>
        <v>2.4921846904479093E-2</v>
      </c>
      <c r="BD121" s="155">
        <f t="shared" si="71"/>
        <v>9.9102742988144595E-3</v>
      </c>
    </row>
    <row r="122" spans="14:56">
      <c r="N122" s="128">
        <f>[4]Eq_de_Bateman_avec_RK1!F122</f>
        <v>10</v>
      </c>
      <c r="O122" s="128">
        <f>[4]Eq_de_Bateman_avec_RK1!G122</f>
        <v>315360000</v>
      </c>
      <c r="P122" s="129">
        <f>courbes!B122</f>
        <v>2.315498557794075E+19</v>
      </c>
      <c r="Q122" s="129">
        <f>courbes!C122</f>
        <v>1.6458823787169144E+21</v>
      </c>
      <c r="R122" s="129">
        <f>courbes!D122</f>
        <v>8.8950369929409344E+20</v>
      </c>
      <c r="S122" s="129">
        <f>courbes!E122</f>
        <v>1.2088560488558753E+20</v>
      </c>
      <c r="T122" s="129">
        <f>courbes!F122</f>
        <v>6.8649119439045526E+19</v>
      </c>
      <c r="U122" s="129">
        <f>courbes!G122</f>
        <v>2.7365429991777825E+19</v>
      </c>
      <c r="V122" s="129">
        <f>courbes!H122</f>
        <v>6.81251979550221E+18</v>
      </c>
      <c r="W122" s="129">
        <f>courbes!I122</f>
        <v>1.19236477408783E+22</v>
      </c>
      <c r="AW122" s="126">
        <f t="shared" si="64"/>
        <v>10</v>
      </c>
      <c r="AX122" s="127">
        <f t="shared" si="65"/>
        <v>6.6469924922116877E+23</v>
      </c>
      <c r="AY122" s="155">
        <f t="shared" si="66"/>
        <v>8.2907970394235139E-3</v>
      </c>
      <c r="AZ122" s="155">
        <f t="shared" si="67"/>
        <v>0.59179529535237352</v>
      </c>
      <c r="BA122" s="155">
        <f t="shared" si="68"/>
        <v>0.32116914240646272</v>
      </c>
      <c r="BB122" s="155">
        <f t="shared" si="69"/>
        <v>4.3829492528481673E-2</v>
      </c>
      <c r="BC122" s="155">
        <f t="shared" si="70"/>
        <v>2.4993389000686626E-2</v>
      </c>
      <c r="BD122" s="155">
        <f t="shared" si="71"/>
        <v>9.921883672572112E-3</v>
      </c>
    </row>
    <row r="123" spans="14:56">
      <c r="N123" s="128">
        <f>[4]Eq_de_Bateman_avec_RK1!F123</f>
        <v>10.083333333333334</v>
      </c>
      <c r="O123" s="128">
        <f>[4]Eq_de_Bateman_avec_RK1!G123</f>
        <v>317988000</v>
      </c>
      <c r="P123" s="129">
        <f>courbes!B123</f>
        <v>2.3100518845810385E+19</v>
      </c>
      <c r="Q123" s="129">
        <f>courbes!C123</f>
        <v>1.6414355405360865E+21</v>
      </c>
      <c r="R123" s="129">
        <f>courbes!D123</f>
        <v>8.8935296053659356E+20</v>
      </c>
      <c r="S123" s="129">
        <f>courbes!E123</f>
        <v>1.2091661308817808E+20</v>
      </c>
      <c r="T123" s="129">
        <f>courbes!F123</f>
        <v>6.8733497802965901E+19</v>
      </c>
      <c r="U123" s="129">
        <f>courbes!G123</f>
        <v>2.7353225843305304E+19</v>
      </c>
      <c r="V123" s="129">
        <f>courbes!H123</f>
        <v>6.6706043423807304E+18</v>
      </c>
      <c r="W123" s="129">
        <f>courbes!I123</f>
        <v>1.1889629417237178E+22</v>
      </c>
      <c r="AW123" s="126">
        <f t="shared" si="64"/>
        <v>10.083333333333334</v>
      </c>
      <c r="AX123" s="127">
        <f t="shared" si="65"/>
        <v>6.6361226585301532E+23</v>
      </c>
      <c r="AY123" s="155">
        <f t="shared" si="66"/>
        <v>8.2848430750986409E-3</v>
      </c>
      <c r="AZ123" s="155">
        <f t="shared" si="67"/>
        <v>0.59116311493105611</v>
      </c>
      <c r="BA123" s="155">
        <f t="shared" si="68"/>
        <v>0.3216406951948334</v>
      </c>
      <c r="BB123" s="155">
        <f t="shared" si="69"/>
        <v>4.3912545402988966E-2</v>
      </c>
      <c r="BC123" s="155">
        <f t="shared" si="70"/>
        <v>2.5065097986000658E-2</v>
      </c>
      <c r="BD123" s="155">
        <f t="shared" si="71"/>
        <v>9.9337034100220826E-3</v>
      </c>
    </row>
    <row r="124" spans="14:56">
      <c r="N124" s="128">
        <f>[4]Eq_de_Bateman_avec_RK1!F124</f>
        <v>10.166666666666666</v>
      </c>
      <c r="O124" s="128">
        <f>[4]Eq_de_Bateman_avec_RK1!G124</f>
        <v>320616000</v>
      </c>
      <c r="P124" s="129">
        <f>courbes!B124</f>
        <v>2.3046157026438935E+19</v>
      </c>
      <c r="Q124" s="129">
        <f>courbes!C124</f>
        <v>1.6369964221566838E+21</v>
      </c>
      <c r="R124" s="129">
        <f>courbes!D124</f>
        <v>8.8918481541345811E+20</v>
      </c>
      <c r="S124" s="129">
        <f>courbes!E124</f>
        <v>1.2094605664128978E+20</v>
      </c>
      <c r="T124" s="129">
        <f>courbes!F124</f>
        <v>6.8817403591384687E+19</v>
      </c>
      <c r="U124" s="129">
        <f>courbes!G124</f>
        <v>2.7341369555852796E+19</v>
      </c>
      <c r="V124" s="129">
        <f>courbes!H124</f>
        <v>6.5317166991461827E+18</v>
      </c>
      <c r="W124" s="129">
        <f>courbes!I124</f>
        <v>1.1855708148363455E+22</v>
      </c>
      <c r="AW124" s="126">
        <f t="shared" si="64"/>
        <v>10.166666666666666</v>
      </c>
      <c r="AX124" s="127">
        <f t="shared" si="65"/>
        <v>6.6252256734959639E+23</v>
      </c>
      <c r="AY124" s="155">
        <f t="shared" si="66"/>
        <v>8.2789411902374922E-3</v>
      </c>
      <c r="AZ124" s="155">
        <f t="shared" si="67"/>
        <v>0.59053406506679618</v>
      </c>
      <c r="BA124" s="155">
        <f t="shared" si="68"/>
        <v>0.32210880989752289</v>
      </c>
      <c r="BB124" s="155">
        <f t="shared" si="69"/>
        <v>4.3995481945855251E-2</v>
      </c>
      <c r="BC124" s="155">
        <f t="shared" si="70"/>
        <v>2.5136972670588741E-2</v>
      </c>
      <c r="BD124" s="155">
        <f t="shared" si="71"/>
        <v>9.9457292289992782E-3</v>
      </c>
    </row>
    <row r="125" spans="14:56">
      <c r="N125" s="128">
        <f>[4]Eq_de_Bateman_avec_RK1!F125</f>
        <v>10.25</v>
      </c>
      <c r="O125" s="128">
        <f>[4]Eq_de_Bateman_avec_RK1!G125</f>
        <v>323244000</v>
      </c>
      <c r="P125" s="129">
        <f>courbes!B125</f>
        <v>2.2991916420327793E+19</v>
      </c>
      <c r="Q125" s="129">
        <f>courbes!C125</f>
        <v>1.6325651015055458E+21</v>
      </c>
      <c r="R125" s="129">
        <f>courbes!D125</f>
        <v>8.8899943386703698E+20</v>
      </c>
      <c r="S125" s="129">
        <f>courbes!E125</f>
        <v>1.2097391068394811E+20</v>
      </c>
      <c r="T125" s="129">
        <f>courbes!F125</f>
        <v>6.8900834351055725E+19</v>
      </c>
      <c r="U125" s="129">
        <f>courbes!G125</f>
        <v>2.7329848468964143E+19</v>
      </c>
      <c r="V125" s="129">
        <f>courbes!H125</f>
        <v>6.3957920577384878E+18</v>
      </c>
      <c r="W125" s="129">
        <f>courbes!I125</f>
        <v>1.1821883657358447E+22</v>
      </c>
      <c r="AW125" s="126">
        <f t="shared" si="64"/>
        <v>10.25</v>
      </c>
      <c r="AX125" s="127">
        <f t="shared" si="65"/>
        <v>6.6143020736475973E+23</v>
      </c>
      <c r="AY125" s="155">
        <f t="shared" si="66"/>
        <v>8.2730967638136952E-3</v>
      </c>
      <c r="AZ125" s="155">
        <f t="shared" si="67"/>
        <v>0.58990813379143214</v>
      </c>
      <c r="BA125" s="155">
        <f t="shared" si="68"/>
        <v>0.322573510783772</v>
      </c>
      <c r="BB125" s="155">
        <f t="shared" si="69"/>
        <v>4.4078289969531899E-2</v>
      </c>
      <c r="BC125" s="155">
        <f t="shared" si="70"/>
        <v>2.5209011816057343E-2</v>
      </c>
      <c r="BD125" s="155">
        <f t="shared" si="71"/>
        <v>9.9579568753927448E-3</v>
      </c>
    </row>
    <row r="126" spans="14:56">
      <c r="N126" s="128">
        <f>[4]Eq_de_Bateman_avec_RK1!F126</f>
        <v>10.333333333333334</v>
      </c>
      <c r="O126" s="128">
        <f>[4]Eq_de_Bateman_avec_RK1!G126</f>
        <v>325872000</v>
      </c>
      <c r="P126" s="129">
        <f>courbes!B126</f>
        <v>2.2937812613685064E+19</v>
      </c>
      <c r="Q126" s="129">
        <f>courbes!C126</f>
        <v>1.6281416543466795E+21</v>
      </c>
      <c r="R126" s="129">
        <f>courbes!D126</f>
        <v>8.8879698482164321E+20</v>
      </c>
      <c r="S126" s="129">
        <f>courbes!E126</f>
        <v>1.2100015181337364E+20</v>
      </c>
      <c r="T126" s="129">
        <f>courbes!F126</f>
        <v>6.8983787517357416E+19</v>
      </c>
      <c r="U126" s="129">
        <f>courbes!G126</f>
        <v>2.7318650053096034E+19</v>
      </c>
      <c r="V126" s="129">
        <f>courbes!H126</f>
        <v>6.262766997849343E+18</v>
      </c>
      <c r="W126" s="129">
        <f>courbes!I126</f>
        <v>1.1788155668113463E+22</v>
      </c>
      <c r="AW126" s="126">
        <f t="shared" si="64"/>
        <v>10.333333333333334</v>
      </c>
      <c r="AX126" s="127">
        <f t="shared" si="65"/>
        <v>6.6033523897712759E+23</v>
      </c>
      <c r="AY126" s="155">
        <f t="shared" si="66"/>
        <v>8.2673149634017E-3</v>
      </c>
      <c r="AZ126" s="155">
        <f t="shared" si="67"/>
        <v>0.58928530906758825</v>
      </c>
      <c r="BA126" s="155">
        <f t="shared" si="68"/>
        <v>0.32303482196046024</v>
      </c>
      <c r="BB126" s="155">
        <f t="shared" si="69"/>
        <v>4.4160957746544126E-2</v>
      </c>
      <c r="BC126" s="155">
        <f t="shared" si="70"/>
        <v>2.5281214137624929E-2</v>
      </c>
      <c r="BD126" s="155">
        <f t="shared" si="71"/>
        <v>9.9703821243805994E-3</v>
      </c>
    </row>
    <row r="127" spans="14:56">
      <c r="N127" s="128">
        <f>[4]Eq_de_Bateman_avec_RK1!F127</f>
        <v>10.416666666666666</v>
      </c>
      <c r="O127" s="128">
        <f>[4]Eq_de_Bateman_avec_RK1!G127</f>
        <v>328500000</v>
      </c>
      <c r="P127" s="129">
        <f>courbes!B127</f>
        <v>2.2883860498266456E+19</v>
      </c>
      <c r="Q127" s="129">
        <f>courbes!C127</f>
        <v>1.6237261543235356E+21</v>
      </c>
      <c r="R127" s="129">
        <f>courbes!D127</f>
        <v>8.8857763618255838E+20</v>
      </c>
      <c r="S127" s="129">
        <f>courbes!E127</f>
        <v>1.2102475803659821E+20</v>
      </c>
      <c r="T127" s="129">
        <f>courbes!F127</f>
        <v>6.906626042128266E+19</v>
      </c>
      <c r="U127" s="129">
        <f>courbes!G127</f>
        <v>2.7307761913107591E+19</v>
      </c>
      <c r="V127" s="129">
        <f>courbes!H127</f>
        <v>6.1325794572047514E+18</v>
      </c>
      <c r="W127" s="129">
        <f>courbes!I127</f>
        <v>1.1754523905307554E+22</v>
      </c>
      <c r="AW127" s="126">
        <f t="shared" si="64"/>
        <v>10.416666666666666</v>
      </c>
      <c r="AX127" s="127">
        <f t="shared" si="65"/>
        <v>6.5923771469555601E+23</v>
      </c>
      <c r="AY127" s="155">
        <f t="shared" si="66"/>
        <v>8.2616007506527631E-3</v>
      </c>
      <c r="AZ127" s="155">
        <f t="shared" si="67"/>
        <v>0.58866557879283454</v>
      </c>
      <c r="BA127" s="155">
        <f t="shared" si="68"/>
        <v>0.32349276737344956</v>
      </c>
      <c r="BB127" s="155">
        <f t="shared" si="69"/>
        <v>4.4243473995248937E-2</v>
      </c>
      <c r="BC127" s="155">
        <f t="shared" si="70"/>
        <v>2.535357830622471E-2</v>
      </c>
      <c r="BD127" s="155">
        <f t="shared" si="71"/>
        <v>9.9830007815893754E-3</v>
      </c>
    </row>
    <row r="128" spans="14:56">
      <c r="N128" s="128">
        <f>[4]Eq_de_Bateman_avec_RK1!F128</f>
        <v>10.5</v>
      </c>
      <c r="O128" s="128">
        <f>[4]Eq_de_Bateman_avec_RK1!G128</f>
        <v>331128000</v>
      </c>
      <c r="P128" s="129">
        <f>courbes!B128</f>
        <v>2.2830074290784399E+19</v>
      </c>
      <c r="Q128" s="129">
        <f>courbes!C128</f>
        <v>1.6193186730005147E+21</v>
      </c>
      <c r="R128" s="129">
        <f>courbes!D128</f>
        <v>8.8834155483522217E+20</v>
      </c>
      <c r="S128" s="129">
        <f>courbes!E128</f>
        <v>1.2104770872354208E+20</v>
      </c>
      <c r="T128" s="129">
        <f>courbes!F128</f>
        <v>6.9148250296190763E+19</v>
      </c>
      <c r="U128" s="129">
        <f>courbes!G128</f>
        <v>2.7297171791491133E+19</v>
      </c>
      <c r="V128" s="129">
        <f>courbes!H128</f>
        <v>6.0051687024839117E+18</v>
      </c>
      <c r="W128" s="129">
        <f>courbes!I128</f>
        <v>1.1720988094405267E+22</v>
      </c>
      <c r="AW128" s="126">
        <f t="shared" si="64"/>
        <v>10.5</v>
      </c>
      <c r="AX128" s="127">
        <f t="shared" si="65"/>
        <v>6.581376864645842E+23</v>
      </c>
      <c r="AY128" s="155">
        <f t="shared" si="66"/>
        <v>8.2559588866502002E-3</v>
      </c>
      <c r="AZ128" s="155">
        <f t="shared" si="67"/>
        <v>0.58804893080370535</v>
      </c>
      <c r="BA128" s="155">
        <f t="shared" si="68"/>
        <v>0.32394737080889863</v>
      </c>
      <c r="BB128" s="155">
        <f t="shared" si="69"/>
        <v>4.4325827866025833E-2</v>
      </c>
      <c r="BC128" s="155">
        <f t="shared" si="70"/>
        <v>2.5426102950539136E-2</v>
      </c>
      <c r="BD128" s="155">
        <f t="shared" si="71"/>
        <v>9.995808684180818E-3</v>
      </c>
    </row>
    <row r="129" spans="14:56">
      <c r="N129" s="128">
        <f>[4]Eq_de_Bateman_avec_RK1!F129</f>
        <v>10.583333333333334</v>
      </c>
      <c r="O129" s="128">
        <f>[4]Eq_de_Bateman_avec_RK1!G129</f>
        <v>333756000</v>
      </c>
      <c r="P129" s="129">
        <f>courbes!B129</f>
        <v>2.2776467551892693E+19</v>
      </c>
      <c r="Q129" s="129">
        <f>courbes!C129</f>
        <v>1.6149192799037201E+21</v>
      </c>
      <c r="R129" s="129">
        <f>courbes!D129</f>
        <v>8.8808890664460222E+20</v>
      </c>
      <c r="S129" s="129">
        <f>courbes!E129</f>
        <v>1.2106898456150879E+20</v>
      </c>
      <c r="T129" s="129">
        <f>courbes!F129</f>
        <v>6.9229754284328485E+19</v>
      </c>
      <c r="U129" s="129">
        <f>courbes!G129</f>
        <v>2.7286867571354771E+19</v>
      </c>
      <c r="V129" s="129">
        <f>courbes!H129</f>
        <v>5.8804753008608471E+18</v>
      </c>
      <c r="W129" s="129">
        <f>courbes!I129</f>
        <v>1.1687547961654402E+22</v>
      </c>
      <c r="AW129" s="126">
        <f t="shared" si="64"/>
        <v>10.583333333333334</v>
      </c>
      <c r="AX129" s="127">
        <f t="shared" si="65"/>
        <v>6.5703520566987185E+23</v>
      </c>
      <c r="AY129" s="155">
        <f t="shared" si="66"/>
        <v>8.2503939371464195E-3</v>
      </c>
      <c r="AZ129" s="155">
        <f t="shared" si="67"/>
        <v>0.58743535287958082</v>
      </c>
      <c r="BA129" s="155">
        <f t="shared" si="68"/>
        <v>0.32439865589454836</v>
      </c>
      <c r="BB129" s="155">
        <f t="shared" si="69"/>
        <v>4.4408008927886815E-2</v>
      </c>
      <c r="BC129" s="155">
        <f t="shared" si="70"/>
        <v>2.549878665896841E-2</v>
      </c>
      <c r="BD129" s="155">
        <f t="shared" si="71"/>
        <v>1.0008801701869059E-2</v>
      </c>
    </row>
    <row r="130" spans="14:56">
      <c r="N130" s="128">
        <f>[4]Eq_de_Bateman_avec_RK1!F130</f>
        <v>10.666666666666666</v>
      </c>
      <c r="O130" s="128">
        <f>[4]Eq_de_Bateman_avec_RK1!G130</f>
        <v>336384000</v>
      </c>
      <c r="P130" s="129">
        <f>courbes!B130</f>
        <v>2.2723053204753994E+19</v>
      </c>
      <c r="Q130" s="129">
        <f>courbes!C130</f>
        <v>1.6105280425609692E+21</v>
      </c>
      <c r="R130" s="129">
        <f>courbes!D130</f>
        <v>8.8781985645473969E+20</v>
      </c>
      <c r="S130" s="129">
        <f>courbes!E130</f>
        <v>1.2108856751105535E+20</v>
      </c>
      <c r="T130" s="129">
        <f>courbes!F130</f>
        <v>6.9310769443127001E+19</v>
      </c>
      <c r="U130" s="129">
        <f>courbes!G130</f>
        <v>2.7276837279167033E+19</v>
      </c>
      <c r="V130" s="129">
        <f>courbes!H130</f>
        <v>5.7584410921554381E+18</v>
      </c>
      <c r="W130" s="129">
        <f>courbes!I130</f>
        <v>1.1654203234083775E+22</v>
      </c>
      <c r="AW130" s="126">
        <f t="shared" ref="AW130:AW136" si="72">N130</f>
        <v>10.666666666666666</v>
      </c>
      <c r="AX130" s="127">
        <f t="shared" ref="AX130:AX136" si="73">P130*238+Q130*239+R130*240+S130*241+T130*242+U130*241</f>
        <v>6.5593032314362097E+23</v>
      </c>
      <c r="AY130" s="155">
        <f t="shared" ref="AY130:AY136" si="74">P130*238/$AX130</f>
        <v>8.2449102776840349E-3</v>
      </c>
      <c r="AZ130" s="155">
        <f t="shared" ref="AZ130:AZ136" si="75">Q130*239/$AX130</f>
        <v>0.58682483274643682</v>
      </c>
      <c r="BA130" s="155">
        <f t="shared" ref="BA130:BA136" si="76">R130*240/$AX130</f>
        <v>0.32484664610098035</v>
      </c>
      <c r="BB130" s="155">
        <f t="shared" ref="BB130:BB136" si="77">S130*241/$AX130</f>
        <v>4.44900071554927E-2</v>
      </c>
      <c r="BC130" s="155">
        <f t="shared" ref="BC130:BC136" si="78">T130*242/$AX130</f>
        <v>2.5571627981535033E-2</v>
      </c>
      <c r="BD130" s="155">
        <f t="shared" ref="BD130:BD136" si="79">U130*241/$AX130</f>
        <v>1.0021975737871001E-2</v>
      </c>
    </row>
    <row r="131" spans="14:56">
      <c r="N131" s="128">
        <f>[4]Eq_de_Bateman_avec_RK1!F131</f>
        <v>10.75</v>
      </c>
      <c r="O131" s="128">
        <f>[4]Eq_de_Bateman_avec_RK1!G131</f>
        <v>339012000</v>
      </c>
      <c r="P131" s="129">
        <f>courbes!B131</f>
        <v>2.2669843553197351E+19</v>
      </c>
      <c r="Q131" s="129">
        <f>courbes!C131</f>
        <v>1.6061450265410771E+21</v>
      </c>
      <c r="R131" s="129">
        <f>courbes!D131</f>
        <v>8.8753456808846492E+20</v>
      </c>
      <c r="S131" s="129">
        <f>courbes!E131</f>
        <v>1.2110644076319695E+20</v>
      </c>
      <c r="T131" s="129">
        <f>courbes!F131</f>
        <v>6.9391292751281471E+19</v>
      </c>
      <c r="U131" s="129">
        <f>courbes!G131</f>
        <v>2.7267069087273435E+19</v>
      </c>
      <c r="V131" s="129">
        <f>courbes!H131</f>
        <v>5.6390091615808031E+18</v>
      </c>
      <c r="W131" s="129">
        <f>courbes!I131</f>
        <v>1.1620953639500995E+22</v>
      </c>
      <c r="AW131" s="126">
        <f t="shared" si="72"/>
        <v>10.75</v>
      </c>
      <c r="AX131" s="127">
        <f t="shared" si="73"/>
        <v>6.5482308916998339E+23</v>
      </c>
      <c r="AY131" s="155">
        <f t="shared" si="74"/>
        <v>8.2395120986034579E-3</v>
      </c>
      <c r="AZ131" s="155">
        <f t="shared" si="75"/>
        <v>0.5862173580804666</v>
      </c>
      <c r="BA131" s="155">
        <f t="shared" si="76"/>
        <v>0.32529136474284803</v>
      </c>
      <c r="BB131" s="155">
        <f t="shared" si="77"/>
        <v>4.4571812916563175E-2</v>
      </c>
      <c r="BC131" s="155">
        <f t="shared" si="78"/>
        <v>2.5644625431726274E-2</v>
      </c>
      <c r="BD131" s="155">
        <f t="shared" si="79"/>
        <v>1.00353267297926E-2</v>
      </c>
    </row>
    <row r="132" spans="14:56">
      <c r="N132" s="128">
        <f>[4]Eq_de_Bateman_avec_RK1!F132</f>
        <v>10.833333333333334</v>
      </c>
      <c r="O132" s="128">
        <f>[4]Eq_de_Bateman_avec_RK1!G132</f>
        <v>341640000</v>
      </c>
      <c r="P132" s="129">
        <f>courbes!B132</f>
        <v>2.2616850299472904E+19</v>
      </c>
      <c r="Q132" s="129">
        <f>courbes!C132</f>
        <v>1.601770295492425E+21</v>
      </c>
      <c r="R132" s="129">
        <f>courbes!D132</f>
        <v>8.8723320434728042E+20</v>
      </c>
      <c r="S132" s="129">
        <f>courbes!E132</f>
        <v>1.2112258869790653E+20</v>
      </c>
      <c r="T132" s="129">
        <f>courbes!F132</f>
        <v>6.9471321114619593E+19</v>
      </c>
      <c r="U132" s="129">
        <f>courbes!G132</f>
        <v>2.7257551316194562E+19</v>
      </c>
      <c r="V132" s="129">
        <f>courbes!H132</f>
        <v>5.5221238130742651E+18</v>
      </c>
      <c r="W132" s="129">
        <f>courbes!I132</f>
        <v>1.1587798906490235E+22</v>
      </c>
      <c r="AW132" s="126">
        <f t="shared" si="72"/>
        <v>10.833333333333334</v>
      </c>
      <c r="AX132" s="127">
        <f t="shared" si="73"/>
        <v>6.5371355349044774E+23</v>
      </c>
      <c r="AY132" s="155">
        <f t="shared" si="74"/>
        <v>8.2342034099392534E-3</v>
      </c>
      <c r="AZ132" s="155">
        <f t="shared" si="75"/>
        <v>0.58561291651157965</v>
      </c>
      <c r="BA132" s="155">
        <f t="shared" si="76"/>
        <v>0.32573283498008243</v>
      </c>
      <c r="BB132" s="155">
        <f t="shared" si="77"/>
        <v>4.4653416959668429E-2</v>
      </c>
      <c r="BC132" s="155">
        <f t="shared" si="78"/>
        <v>2.5717777488276607E-2</v>
      </c>
      <c r="BD132" s="155">
        <f t="shared" si="79"/>
        <v>1.0048850650453706E-2</v>
      </c>
    </row>
    <row r="133" spans="14:56">
      <c r="N133" s="128">
        <f>[4]Eq_de_Bateman_avec_RK1!F133</f>
        <v>10.916666666666666</v>
      </c>
      <c r="O133" s="128">
        <f>[4]Eq_de_Bateman_avec_RK1!G133</f>
        <v>344268000</v>
      </c>
      <c r="P133" s="129">
        <f>courbes!B133</f>
        <v>2.256408456161085E+19</v>
      </c>
      <c r="Q133" s="129">
        <f>courbes!C133</f>
        <v>1.5974039111808259E+21</v>
      </c>
      <c r="R133" s="129">
        <f>courbes!D133</f>
        <v>8.8691592701140599E+20</v>
      </c>
      <c r="S133" s="129">
        <f>courbes!E133</f>
        <v>1.2113699684387055E+20</v>
      </c>
      <c r="T133" s="129">
        <f>courbes!F133</f>
        <v>6.9550851371765514E+19</v>
      </c>
      <c r="U133" s="129">
        <f>courbes!G133</f>
        <v>2.724827243671482E+19</v>
      </c>
      <c r="V133" s="129">
        <f>courbes!H133</f>
        <v>5.4077305431994051E+18</v>
      </c>
      <c r="W133" s="129">
        <f>courbes!I133</f>
        <v>1.1554738764410027E+22</v>
      </c>
      <c r="AW133" s="126">
        <f t="shared" si="72"/>
        <v>10.916666666666666</v>
      </c>
      <c r="AX133" s="127">
        <f t="shared" si="73"/>
        <v>6.5260176530920653E+23</v>
      </c>
      <c r="AY133" s="155">
        <f t="shared" si="74"/>
        <v>8.2289880462075148E-3</v>
      </c>
      <c r="AZ133" s="155">
        <f t="shared" si="75"/>
        <v>0.58501149562678245</v>
      </c>
      <c r="BA133" s="155">
        <f t="shared" si="76"/>
        <v>0.32617107981907345</v>
      </c>
      <c r="BB133" s="155">
        <f t="shared" si="77"/>
        <v>4.4734810402390662E-2</v>
      </c>
      <c r="BC133" s="155">
        <f t="shared" si="78"/>
        <v>2.579108259689197E-2</v>
      </c>
      <c r="BD133" s="155">
        <f t="shared" si="79"/>
        <v>1.0062543508653961E-2</v>
      </c>
    </row>
    <row r="134" spans="14:56">
      <c r="N134" s="128">
        <f>[4]Eq_de_Bateman_avec_RK1!F134</f>
        <v>11</v>
      </c>
      <c r="O134" s="128">
        <f>[4]Eq_de_Bateman_avec_RK1!G134</f>
        <v>346896000</v>
      </c>
      <c r="P134" s="129">
        <f>courbes!B134</f>
        <v>2.2511556890391618E+19</v>
      </c>
      <c r="Q134" s="129">
        <f>courbes!C134</f>
        <v>1.5930459335266997E+21</v>
      </c>
      <c r="R134" s="129">
        <f>courbes!D134</f>
        <v>8.8658289683998153E+20</v>
      </c>
      <c r="S134" s="129">
        <f>courbes!E134</f>
        <v>1.2114965183946369E+20</v>
      </c>
      <c r="T134" s="129">
        <f>courbes!F134</f>
        <v>6.9629880299605123E+19</v>
      </c>
      <c r="U134" s="129">
        <f>courbes!G134</f>
        <v>2.7239221071770796E+19</v>
      </c>
      <c r="V134" s="129">
        <f>courbes!H134</f>
        <v>5.2957760156069734E+18</v>
      </c>
      <c r="W134" s="129">
        <f>courbes!I134</f>
        <v>1.1521772943391039E+22</v>
      </c>
      <c r="AW134" s="126">
        <f t="shared" si="72"/>
        <v>11</v>
      </c>
      <c r="AX134" s="127">
        <f t="shared" si="73"/>
        <v>6.5148777329850205E+23</v>
      </c>
      <c r="AY134" s="155">
        <f t="shared" si="74"/>
        <v>8.2238696710864641E-3</v>
      </c>
      <c r="AZ134" s="155">
        <f t="shared" si="75"/>
        <v>0.58441308297344319</v>
      </c>
      <c r="BA134" s="155">
        <f t="shared" si="76"/>
        <v>0.32660612211382667</v>
      </c>
      <c r="BB134" s="155">
        <f t="shared" si="77"/>
        <v>4.4815984719843827E-2</v>
      </c>
      <c r="BC134" s="155">
        <f t="shared" si="78"/>
        <v>2.5864539171917538E-2</v>
      </c>
      <c r="BD134" s="155">
        <f t="shared" si="79"/>
        <v>1.0076401349882181E-2</v>
      </c>
    </row>
    <row r="135" spans="14:56">
      <c r="N135" s="128">
        <f>[4]Eq_de_Bateman_avec_RK1!F135</f>
        <v>11.083333333333334</v>
      </c>
      <c r="O135" s="128">
        <f>[4]Eq_de_Bateman_avec_RK1!G135</f>
        <v>349524000</v>
      </c>
      <c r="P135" s="129">
        <f>courbes!B135</f>
        <v>2.2459277285934182E+19</v>
      </c>
      <c r="Q135" s="129">
        <f>courbes!C135</f>
        <v>1.5886964206415713E+21</v>
      </c>
      <c r="R135" s="129">
        <f>courbes!D135</f>
        <v>8.8623427357142378E+20</v>
      </c>
      <c r="S135" s="129">
        <f>courbes!E135</f>
        <v>1.2116054139490617E+20</v>
      </c>
      <c r="T135" s="129">
        <f>courbes!F135</f>
        <v>6.9708404618558611E+19</v>
      </c>
      <c r="U135" s="129">
        <f>courbes!G135</f>
        <v>2.7230385998147777E+19</v>
      </c>
      <c r="V135" s="129">
        <f>courbes!H135</f>
        <v>5.1862080360426895E+18</v>
      </c>
      <c r="W135" s="129">
        <f>courbes!I135</f>
        <v>1.1488901174333886E+22</v>
      </c>
      <c r="AW135" s="126">
        <f t="shared" si="72"/>
        <v>11.083333333333334</v>
      </c>
      <c r="AX135" s="127">
        <f t="shared" si="73"/>
        <v>6.5037162560394675E+23</v>
      </c>
      <c r="AY135" s="155">
        <f t="shared" si="74"/>
        <v>8.2188517819924665E-3</v>
      </c>
      <c r="AZ135" s="155">
        <f t="shared" si="75"/>
        <v>0.58381766606244656</v>
      </c>
      <c r="BA135" s="155">
        <f t="shared" si="76"/>
        <v>0.32703798456709759</v>
      </c>
      <c r="BB135" s="155">
        <f t="shared" si="77"/>
        <v>4.4896931733540847E-2</v>
      </c>
      <c r="BC135" s="155">
        <f t="shared" si="78"/>
        <v>2.5938145597950903E-2</v>
      </c>
      <c r="BD135" s="155">
        <f t="shared" si="79"/>
        <v>1.0090420256971599E-2</v>
      </c>
    </row>
    <row r="136" spans="14:56">
      <c r="N136" s="128">
        <f>[4]Eq_de_Bateman_avec_RK1!F136</f>
        <v>11.166666666666666</v>
      </c>
      <c r="O136" s="128">
        <f>[4]Eq_de_Bateman_avec_RK1!G136</f>
        <v>352152000</v>
      </c>
      <c r="P136" s="129">
        <f>courbes!B136</f>
        <v>2.2407255213909369E+19</v>
      </c>
      <c r="Q136" s="129">
        <f>courbes!C136</f>
        <v>1.5843554288639022E+21</v>
      </c>
      <c r="R136" s="129">
        <f>courbes!D136</f>
        <v>8.8587021592393312E+20</v>
      </c>
      <c r="S136" s="129">
        <f>courbes!E136</f>
        <v>1.2116965425556862E+20</v>
      </c>
      <c r="T136" s="129">
        <f>courbes!F136</f>
        <v>6.9786420997666144E+19</v>
      </c>
      <c r="U136" s="129">
        <f>courbes!G136</f>
        <v>2.7221756147992691E+19</v>
      </c>
      <c r="V136" s="129">
        <f>courbes!H136</f>
        <v>5.0789755278902231E+18</v>
      </c>
      <c r="W136" s="129">
        <f>courbes!I136</f>
        <v>1.1456123188906924E+22</v>
      </c>
      <c r="AW136" s="126">
        <f t="shared" si="72"/>
        <v>11.166666666666666</v>
      </c>
      <c r="AX136" s="127">
        <f t="shared" si="73"/>
        <v>6.4925336984982056E+23</v>
      </c>
      <c r="AY136" s="155">
        <f t="shared" si="74"/>
        <v>8.2139377145535562E-3</v>
      </c>
      <c r="AZ136" s="155">
        <f t="shared" si="75"/>
        <v>0.58322523237124058</v>
      </c>
      <c r="BA136" s="155">
        <f t="shared" si="76"/>
        <v>0.327466689731503</v>
      </c>
      <c r="BB136" s="155">
        <f t="shared" si="77"/>
        <v>4.4977643600597333E-2</v>
      </c>
      <c r="BC136" s="155">
        <f t="shared" si="78"/>
        <v>2.6011900231402204E-2</v>
      </c>
      <c r="BD136" s="155">
        <f t="shared" si="79"/>
        <v>1.010459635070318E-2</v>
      </c>
    </row>
    <row r="137" spans="14:56">
      <c r="AX137" s="127"/>
    </row>
    <row r="138" spans="14:56">
      <c r="AX138" s="127"/>
    </row>
    <row r="139" spans="14:56">
      <c r="AX139" s="127"/>
    </row>
    <row r="140" spans="14:56">
      <c r="AX140" s="127"/>
    </row>
    <row r="141" spans="14:56">
      <c r="AX141" s="127"/>
    </row>
    <row r="142" spans="14:56">
      <c r="AX142" s="127"/>
    </row>
    <row r="143" spans="14:56">
      <c r="AX143" s="127"/>
    </row>
    <row r="144" spans="14:56">
      <c r="AX144" s="127"/>
    </row>
    <row r="145" spans="50:50">
      <c r="AX145" s="127"/>
    </row>
    <row r="146" spans="50:50">
      <c r="AX146" s="127"/>
    </row>
    <row r="147" spans="50:50">
      <c r="AX147" s="127"/>
    </row>
    <row r="148" spans="50:50">
      <c r="AX148" s="127"/>
    </row>
    <row r="149" spans="50:50">
      <c r="AX149" s="127"/>
    </row>
    <row r="150" spans="50:50">
      <c r="AX150" s="127"/>
    </row>
    <row r="151" spans="50:50">
      <c r="AX151" s="127"/>
    </row>
    <row r="152" spans="50:50">
      <c r="AX152" s="127"/>
    </row>
    <row r="153" spans="50:50">
      <c r="AX153" s="127"/>
    </row>
    <row r="154" spans="50:50">
      <c r="AX154" s="127"/>
    </row>
    <row r="155" spans="50:50">
      <c r="AX155" s="127"/>
    </row>
    <row r="156" spans="50:50">
      <c r="AX156" s="127"/>
    </row>
    <row r="157" spans="50:50">
      <c r="AX157" s="127"/>
    </row>
    <row r="158" spans="50:50">
      <c r="AX158" s="127"/>
    </row>
    <row r="159" spans="50:50">
      <c r="AX159" s="127"/>
    </row>
    <row r="160" spans="50:50">
      <c r="AX160" s="127"/>
    </row>
    <row r="161" spans="50:50">
      <c r="AX161" s="127"/>
    </row>
    <row r="162" spans="50:50">
      <c r="AX162" s="127"/>
    </row>
    <row r="163" spans="50:50">
      <c r="AX163" s="127"/>
    </row>
    <row r="164" spans="50:50">
      <c r="AX164" s="127"/>
    </row>
    <row r="165" spans="50:50">
      <c r="AX165" s="127"/>
    </row>
    <row r="166" spans="50:50">
      <c r="AX166" s="127"/>
    </row>
    <row r="167" spans="50:50">
      <c r="AX167" s="127"/>
    </row>
    <row r="168" spans="50:50">
      <c r="AX168" s="127"/>
    </row>
    <row r="169" spans="50:50">
      <c r="AX169" s="127"/>
    </row>
    <row r="170" spans="50:50">
      <c r="AX170" s="127"/>
    </row>
    <row r="171" spans="50:50">
      <c r="AX171" s="127"/>
    </row>
    <row r="172" spans="50:50">
      <c r="AX172" s="127"/>
    </row>
    <row r="173" spans="50:50">
      <c r="AX173" s="127"/>
    </row>
    <row r="174" spans="50:50">
      <c r="AX174" s="127"/>
    </row>
    <row r="175" spans="50:50">
      <c r="AX175" s="127"/>
    </row>
    <row r="176" spans="50:50">
      <c r="AX176" s="127"/>
    </row>
    <row r="177" spans="50:50">
      <c r="AX177" s="127"/>
    </row>
    <row r="178" spans="50:50">
      <c r="AX178" s="127"/>
    </row>
    <row r="179" spans="50:50">
      <c r="AX179" s="127"/>
    </row>
    <row r="180" spans="50:50">
      <c r="AX180" s="127"/>
    </row>
    <row r="181" spans="50:50">
      <c r="AX181" s="127"/>
    </row>
    <row r="182" spans="50:50">
      <c r="AX182" s="127"/>
    </row>
    <row r="183" spans="50:50">
      <c r="AX183" s="127"/>
    </row>
    <row r="184" spans="50:50">
      <c r="AX184" s="127"/>
    </row>
    <row r="185" spans="50:50">
      <c r="AX185" s="127"/>
    </row>
    <row r="186" spans="50:50">
      <c r="AX186" s="127"/>
    </row>
    <row r="187" spans="50:50">
      <c r="AX187" s="127"/>
    </row>
    <row r="188" spans="50:50">
      <c r="AX188" s="127"/>
    </row>
    <row r="189" spans="50:50">
      <c r="AX189" s="127"/>
    </row>
    <row r="190" spans="50:50">
      <c r="AX190" s="127"/>
    </row>
    <row r="191" spans="50:50">
      <c r="AX191" s="127"/>
    </row>
    <row r="192" spans="50:50">
      <c r="AX192" s="127"/>
    </row>
    <row r="193" spans="50:50">
      <c r="AX193" s="127"/>
    </row>
    <row r="194" spans="50:50">
      <c r="AX194" s="127"/>
    </row>
    <row r="195" spans="50:50">
      <c r="AX195" s="127"/>
    </row>
    <row r="196" spans="50:50">
      <c r="AX196" s="127"/>
    </row>
    <row r="197" spans="50:50">
      <c r="AX197" s="127"/>
    </row>
    <row r="198" spans="50:50">
      <c r="AX198" s="127"/>
    </row>
    <row r="199" spans="50:50">
      <c r="AX199" s="127"/>
    </row>
    <row r="200" spans="50:50">
      <c r="AX200" s="127"/>
    </row>
    <row r="201" spans="50:50">
      <c r="AX201" s="127"/>
    </row>
    <row r="202" spans="50:50">
      <c r="AX202" s="127"/>
    </row>
    <row r="203" spans="50:50">
      <c r="AX203" s="127"/>
    </row>
    <row r="204" spans="50:50">
      <c r="AX204" s="127"/>
    </row>
    <row r="205" spans="50:50">
      <c r="AX205" s="127"/>
    </row>
    <row r="206" spans="50:50">
      <c r="AX206" s="127"/>
    </row>
    <row r="207" spans="50:50">
      <c r="AX207" s="127"/>
    </row>
    <row r="208" spans="50:50">
      <c r="AX208" s="127"/>
    </row>
    <row r="209" spans="50:50">
      <c r="AX209" s="127"/>
    </row>
    <row r="210" spans="50:50">
      <c r="AX210" s="127"/>
    </row>
    <row r="211" spans="50:50">
      <c r="AX211" s="127"/>
    </row>
    <row r="212" spans="50:50">
      <c r="AX212" s="127"/>
    </row>
    <row r="213" spans="50:50">
      <c r="AX213" s="127"/>
    </row>
    <row r="214" spans="50:50">
      <c r="AX214" s="127"/>
    </row>
    <row r="215" spans="50:50">
      <c r="AX215" s="127"/>
    </row>
    <row r="216" spans="50:50">
      <c r="AX216" s="127"/>
    </row>
    <row r="217" spans="50:50">
      <c r="AX217" s="127"/>
    </row>
    <row r="218" spans="50:50">
      <c r="AX218" s="127"/>
    </row>
    <row r="219" spans="50:50">
      <c r="AX219" s="127"/>
    </row>
    <row r="220" spans="50:50">
      <c r="AX220" s="127"/>
    </row>
    <row r="221" spans="50:50">
      <c r="AX221" s="127"/>
    </row>
    <row r="222" spans="50:50">
      <c r="AX222" s="127"/>
    </row>
    <row r="223" spans="50:50">
      <c r="AX223" s="127"/>
    </row>
    <row r="224" spans="50:50">
      <c r="AX224" s="127"/>
    </row>
    <row r="225" spans="50:50">
      <c r="AX225" s="127"/>
    </row>
    <row r="226" spans="50:50">
      <c r="AX226" s="127"/>
    </row>
    <row r="227" spans="50:50">
      <c r="AX227" s="127"/>
    </row>
    <row r="228" spans="50:50">
      <c r="AX228" s="127"/>
    </row>
    <row r="229" spans="50:50">
      <c r="AX229" s="127"/>
    </row>
    <row r="230" spans="50:50">
      <c r="AX230" s="127"/>
    </row>
    <row r="231" spans="50:50">
      <c r="AX231" s="127"/>
    </row>
    <row r="232" spans="50:50">
      <c r="AX232" s="127"/>
    </row>
    <row r="233" spans="50:50">
      <c r="AX233" s="127"/>
    </row>
    <row r="234" spans="50:50">
      <c r="AX234" s="127"/>
    </row>
    <row r="235" spans="50:50">
      <c r="AX235" s="127"/>
    </row>
    <row r="236" spans="50:50">
      <c r="AX236" s="127"/>
    </row>
    <row r="237" spans="50:50">
      <c r="AX237" s="127"/>
    </row>
    <row r="238" spans="50:50">
      <c r="AX238" s="127"/>
    </row>
    <row r="239" spans="50:50">
      <c r="AX239" s="127"/>
    </row>
    <row r="240" spans="50:50">
      <c r="AX240" s="127"/>
    </row>
    <row r="241" spans="50:50">
      <c r="AX241" s="127"/>
    </row>
    <row r="242" spans="50:50">
      <c r="AX242" s="127"/>
    </row>
    <row r="243" spans="50:50">
      <c r="AX243" s="127"/>
    </row>
    <row r="244" spans="50:50">
      <c r="AX244" s="127"/>
    </row>
    <row r="245" spans="50:50">
      <c r="AX245" s="127"/>
    </row>
    <row r="246" spans="50:50">
      <c r="AX246" s="127"/>
    </row>
    <row r="247" spans="50:50">
      <c r="AX247" s="127"/>
    </row>
    <row r="248" spans="50:50">
      <c r="AX248" s="127"/>
    </row>
    <row r="249" spans="50:50">
      <c r="AX249" s="127"/>
    </row>
    <row r="250" spans="50:50">
      <c r="AX250" s="127"/>
    </row>
    <row r="251" spans="50:50">
      <c r="AX251" s="127"/>
    </row>
    <row r="252" spans="50:50">
      <c r="AX252" s="127"/>
    </row>
    <row r="253" spans="50:50">
      <c r="AX253" s="127"/>
    </row>
    <row r="254" spans="50:50">
      <c r="AX254" s="127"/>
    </row>
    <row r="255" spans="50:50">
      <c r="AX255" s="127"/>
    </row>
    <row r="256" spans="50:50">
      <c r="AX256" s="127"/>
    </row>
    <row r="257" spans="50:50">
      <c r="AX257" s="127"/>
    </row>
    <row r="258" spans="50:50">
      <c r="AX258" s="127"/>
    </row>
    <row r="259" spans="50:50">
      <c r="AX259" s="127"/>
    </row>
    <row r="260" spans="50:50">
      <c r="AX260" s="127"/>
    </row>
    <row r="261" spans="50:50">
      <c r="AX261" s="127"/>
    </row>
    <row r="262" spans="50:50">
      <c r="AX262" s="127"/>
    </row>
    <row r="263" spans="50:50">
      <c r="AX263" s="127"/>
    </row>
    <row r="264" spans="50:50">
      <c r="AX264" s="127"/>
    </row>
    <row r="265" spans="50:50">
      <c r="AX265" s="127"/>
    </row>
    <row r="266" spans="50:50">
      <c r="AX266" s="127"/>
    </row>
    <row r="267" spans="50:50">
      <c r="AX267" s="127"/>
    </row>
    <row r="268" spans="50:50">
      <c r="AX268" s="127"/>
    </row>
    <row r="269" spans="50:50">
      <c r="AX269" s="127"/>
    </row>
    <row r="270" spans="50:50">
      <c r="AX270" s="127"/>
    </row>
    <row r="271" spans="50:50">
      <c r="AX271" s="127"/>
    </row>
    <row r="272" spans="50:50">
      <c r="AX272" s="127"/>
    </row>
    <row r="273" spans="50:50">
      <c r="AX273" s="127"/>
    </row>
    <row r="274" spans="50:50">
      <c r="AX274" s="127"/>
    </row>
    <row r="275" spans="50:50">
      <c r="AX275" s="127"/>
    </row>
    <row r="276" spans="50:50">
      <c r="AX276" s="127"/>
    </row>
    <row r="277" spans="50:50">
      <c r="AX277" s="127"/>
    </row>
    <row r="278" spans="50:50">
      <c r="AX278" s="127"/>
    </row>
    <row r="279" spans="50:50">
      <c r="AX279" s="127"/>
    </row>
    <row r="280" spans="50:50">
      <c r="AX280" s="127"/>
    </row>
    <row r="281" spans="50:50">
      <c r="AX281" s="127"/>
    </row>
    <row r="282" spans="50:50">
      <c r="AX282" s="127"/>
    </row>
    <row r="283" spans="50:50">
      <c r="AX283" s="127"/>
    </row>
    <row r="284" spans="50:50">
      <c r="AX284" s="127"/>
    </row>
    <row r="285" spans="50:50">
      <c r="AX285" s="127"/>
    </row>
    <row r="286" spans="50:50">
      <c r="AX286" s="127"/>
    </row>
    <row r="287" spans="50:50">
      <c r="AX287" s="127"/>
    </row>
    <row r="288" spans="50:50">
      <c r="AX288" s="127"/>
    </row>
    <row r="289" spans="50:50">
      <c r="AX289" s="127"/>
    </row>
    <row r="290" spans="50:50">
      <c r="AX290" s="127"/>
    </row>
    <row r="291" spans="50:50">
      <c r="AX291" s="127"/>
    </row>
    <row r="292" spans="50:50">
      <c r="AX292" s="127"/>
    </row>
    <row r="293" spans="50:50">
      <c r="AX293" s="127"/>
    </row>
    <row r="294" spans="50:50">
      <c r="AX294" s="127"/>
    </row>
    <row r="295" spans="50:50">
      <c r="AX295" s="127"/>
    </row>
    <row r="296" spans="50:50">
      <c r="AX296" s="127"/>
    </row>
    <row r="297" spans="50:50">
      <c r="AX297" s="127"/>
    </row>
    <row r="298" spans="50:50">
      <c r="AX298" s="127"/>
    </row>
    <row r="299" spans="50:50">
      <c r="AX299" s="127"/>
    </row>
    <row r="300" spans="50:50">
      <c r="AX300" s="127"/>
    </row>
    <row r="301" spans="50:50">
      <c r="AX301" s="127"/>
    </row>
    <row r="302" spans="50:50">
      <c r="AX302" s="127"/>
    </row>
    <row r="303" spans="50:50">
      <c r="AX303" s="127"/>
    </row>
    <row r="304" spans="50:50">
      <c r="AX304" s="127"/>
    </row>
    <row r="305" spans="50:50">
      <c r="AX305" s="127"/>
    </row>
    <row r="306" spans="50:50">
      <c r="AX306" s="127"/>
    </row>
    <row r="307" spans="50:50">
      <c r="AX307" s="127"/>
    </row>
    <row r="308" spans="50:50">
      <c r="AX308" s="127"/>
    </row>
    <row r="309" spans="50:50">
      <c r="AX309" s="127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topLeftCell="A46" zoomScale="85" zoomScaleNormal="85" workbookViewId="0">
      <selection activeCell="N52" sqref="N5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7" sqref="B27"/>
    </sheetView>
  </sheetViews>
  <sheetFormatPr baseColWidth="10" defaultColWidth="17.875" defaultRowHeight="12.75"/>
  <cols>
    <col min="1" max="1" width="5.25" style="145" bestFit="1" customWidth="1"/>
    <col min="2" max="2" width="33.75" style="137" bestFit="1" customWidth="1"/>
    <col min="3" max="4" width="9.125" style="137" customWidth="1"/>
    <col min="5" max="5" width="20.125" style="137" customWidth="1"/>
    <col min="6" max="8" width="9.125" style="145" customWidth="1"/>
    <col min="9" max="9" width="2.5" style="145" customWidth="1"/>
    <col min="10" max="10" width="11" style="146" customWidth="1"/>
    <col min="11" max="11" width="10.625" style="146" bestFit="1" customWidth="1"/>
    <col min="12" max="12" width="9.125" style="153" bestFit="1" customWidth="1"/>
    <col min="13" max="13" width="9.75" style="146" bestFit="1" customWidth="1"/>
    <col min="14" max="14" width="9.125" style="146" bestFit="1" customWidth="1"/>
    <col min="15" max="15" width="16.625" style="146" bestFit="1" customWidth="1"/>
    <col min="16" max="16" width="9.25" style="146" bestFit="1" customWidth="1"/>
    <col min="17" max="17" width="11.75" style="146" bestFit="1" customWidth="1"/>
    <col min="18" max="18" width="9.25" style="146" bestFit="1" customWidth="1"/>
    <col min="19" max="19" width="10.375" style="146" bestFit="1" customWidth="1"/>
    <col min="20" max="16384" width="17.875" style="145"/>
  </cols>
  <sheetData>
    <row r="1" spans="1:19" ht="13.5" thickBot="1">
      <c r="K1" s="146" t="s">
        <v>40</v>
      </c>
      <c r="M1" s="137" t="s">
        <v>258</v>
      </c>
      <c r="O1" s="145" t="s">
        <v>168</v>
      </c>
      <c r="Q1" s="145" t="s">
        <v>259</v>
      </c>
      <c r="S1" s="145" t="s">
        <v>260</v>
      </c>
    </row>
    <row r="2" spans="1:19" ht="24.75" thickBot="1">
      <c r="A2" s="145" t="s">
        <v>257</v>
      </c>
      <c r="B2" s="143" t="s">
        <v>7</v>
      </c>
      <c r="D2" s="137" t="s">
        <v>40</v>
      </c>
      <c r="E2" s="137" t="s">
        <v>258</v>
      </c>
      <c r="F2" s="145" t="s">
        <v>168</v>
      </c>
      <c r="G2" s="145" t="s">
        <v>259</v>
      </c>
      <c r="H2" s="145" t="s">
        <v>260</v>
      </c>
      <c r="J2" s="138" t="str">
        <f>courbes!A1</f>
        <v>t(y)</v>
      </c>
      <c r="K2" s="139" t="str">
        <f ca="1">INDIRECT("courbes!"&amp;INDEX($D$3:$H$10,MATCH($B$2,$C$3:$C$10,0),MATCH(K$1,$D$2:$H$2,0))&amp;ROW($J1))</f>
        <v>RK1 - Pu238</v>
      </c>
      <c r="L2" s="141" t="str">
        <f>courbes!J1</f>
        <v>t(y)</v>
      </c>
      <c r="M2" s="139" t="str">
        <f ca="1">INDIRECT("courbes!"&amp;INDEX($D$3:$H$10,MATCH($B$2,$C$3:$C$10,0),MATCH(M$1,$D$2:$H$2,0))&amp;ROW($J1))</f>
        <v>O5 - Pu238</v>
      </c>
      <c r="N2" s="139" t="str">
        <f>courbes!U1</f>
        <v>t(y)</v>
      </c>
      <c r="O2" s="139" t="str">
        <f ca="1">INDIRECT("courbes!"&amp;INDEX($D$3:$H$10,MATCH($B$2,$C$3:$C$10,0),MATCH(O$1,$D$2:$H$2,0))&amp;ROW($J1))</f>
        <v>Exact Simpl. - Pu238</v>
      </c>
      <c r="P2" s="138" t="str">
        <f>courbes!AE1</f>
        <v>t(y)</v>
      </c>
      <c r="Q2" s="139" t="str">
        <f ca="1">INDIRECT("courbes!"&amp;INDEX($D$3:$H$10,MATCH($B$2,$C$3:$C$10,0),MATCH(Q$1,$D$2:$H$2,0))&amp;ROW($J1))</f>
        <v>DRAGON - Pu238</v>
      </c>
      <c r="R2" s="138" t="str">
        <f>courbes!AO1</f>
        <v>t(y)</v>
      </c>
      <c r="S2" s="139" t="str">
        <f ca="1">INDIRECT("courbes!"&amp;INDEX($D$3:$H$10,MATCH($B$2,$C$3:$C$10,0),MATCH(S$1,$D$2:$H$2,0))&amp;ROW($J1))</f>
        <v xml:space="preserve">VESTA - Pu238 </v>
      </c>
    </row>
    <row r="3" spans="1:19" ht="13.5" thickBot="1">
      <c r="C3" s="143" t="s">
        <v>7</v>
      </c>
      <c r="D3" s="137" t="s">
        <v>261</v>
      </c>
      <c r="E3" s="137" t="s">
        <v>192</v>
      </c>
      <c r="F3" s="145" t="s">
        <v>128</v>
      </c>
      <c r="G3" s="145" t="s">
        <v>262</v>
      </c>
      <c r="H3" s="145" t="s">
        <v>263</v>
      </c>
      <c r="J3" s="138" t="e">
        <f>courbes!A2</f>
        <v>#NAME?</v>
      </c>
      <c r="K3" s="139">
        <f t="shared" ref="K3:K66" ca="1" si="0">INDIRECT("courbes!"&amp;INDEX($D$3:$H$10,MATCH($B$2,$C$3:$C$10,0),MATCH(K$1,$D$2:$H$2,0))&amp;ROW($J2))</f>
        <v>1.2032336397210882E+19</v>
      </c>
      <c r="L3" s="141">
        <f>courbes!J2</f>
        <v>0</v>
      </c>
      <c r="M3" s="139">
        <f t="shared" ref="M3:M66" ca="1" si="1">INDIRECT("courbes!"&amp;INDEX($D$3:$H$10,MATCH($B$2,$C$3:$C$10,0),MATCH(M$1,$D$2:$H$2,0))&amp;ROW($J2))</f>
        <v>1.2032336397210882E+19</v>
      </c>
      <c r="N3" s="139">
        <f>courbes!U2</f>
        <v>0</v>
      </c>
      <c r="O3" s="139">
        <f t="shared" ref="O3:O66" ca="1" si="2">INDIRECT("courbes!"&amp;INDEX($D$3:$H$10,MATCH($B$2,$C$3:$C$10,0),MATCH(O$1,$D$2:$H$2,0))&amp;ROW($J2))</f>
        <v>1.2032336397210911E+19</v>
      </c>
      <c r="P3" s="138">
        <f>courbes!AE2</f>
        <v>0</v>
      </c>
      <c r="Q3" s="139">
        <f t="shared" ref="Q3:Q66" ca="1" si="3">INDIRECT("courbes!"&amp;INDEX($D$3:$H$10,MATCH($B$2,$C$3:$C$10,0),MATCH(Q$1,$D$2:$H$2,0))&amp;ROW($J2))</f>
        <v>1.2032336397210882E+19</v>
      </c>
      <c r="R3" s="138">
        <f>courbes!AO2</f>
        <v>0</v>
      </c>
      <c r="S3" s="139">
        <f t="shared" ref="S3:S9" ca="1" si="4">INDIRECT("courbes!"&amp;INDEX($D$3:$H$10,MATCH($B$2,$C$3:$C$10,0),MATCH(S$1,$D$2:$H$2,0))&amp;ROW($J2))</f>
        <v>1.2032336397210882E+19</v>
      </c>
    </row>
    <row r="4" spans="1:19" ht="13.5" thickBot="1">
      <c r="C4" s="143" t="s">
        <v>9</v>
      </c>
      <c r="D4" s="137" t="s">
        <v>264</v>
      </c>
      <c r="E4" s="137" t="s">
        <v>265</v>
      </c>
      <c r="F4" s="145" t="s">
        <v>266</v>
      </c>
      <c r="G4" s="145" t="s">
        <v>268</v>
      </c>
      <c r="H4" s="145" t="s">
        <v>269</v>
      </c>
      <c r="J4" s="138">
        <f>courbes!A3</f>
        <v>8.3333333333333329E-2</v>
      </c>
      <c r="K4" s="139">
        <f t="shared" ca="1" si="0"/>
        <v>1.2605633712629205E+19</v>
      </c>
      <c r="L4" s="141">
        <f>courbes!J3</f>
        <v>8.3333333333333329E-2</v>
      </c>
      <c r="M4" s="139">
        <f t="shared" ca="1" si="1"/>
        <v>1.2596543937684191E+19</v>
      </c>
      <c r="N4" s="139">
        <f>courbes!U3</f>
        <v>8.3333333333333329E-2</v>
      </c>
      <c r="O4" s="139">
        <f t="shared" ca="1" si="2"/>
        <v>1.2244524625048338E+19</v>
      </c>
      <c r="P4" s="138">
        <f>courbes!AE3</f>
        <v>0.2</v>
      </c>
      <c r="Q4" s="139">
        <f t="shared" ca="1" si="3"/>
        <v>1.1745422256006754E+19</v>
      </c>
      <c r="R4" s="138">
        <f>courbes!AO3</f>
        <v>0.13689999999999999</v>
      </c>
      <c r="S4" s="139">
        <f t="shared" ca="1" si="4"/>
        <v>1.1798109228699929E+19</v>
      </c>
    </row>
    <row r="5" spans="1:19" ht="13.5" thickBot="1">
      <c r="C5" s="143" t="s">
        <v>10</v>
      </c>
      <c r="D5" s="137" t="s">
        <v>270</v>
      </c>
      <c r="E5" s="137" t="s">
        <v>276</v>
      </c>
      <c r="F5" s="145" t="s">
        <v>129</v>
      </c>
      <c r="G5" s="145" t="s">
        <v>287</v>
      </c>
      <c r="H5" s="145" t="s">
        <v>267</v>
      </c>
      <c r="J5" s="138">
        <f>courbes!A4</f>
        <v>0.16666666666666666</v>
      </c>
      <c r="K5" s="139">
        <f t="shared" ca="1" si="0"/>
        <v>1.3160610560125557E+19</v>
      </c>
      <c r="L5" s="141">
        <f>courbes!J4</f>
        <v>0.16666666666666666</v>
      </c>
      <c r="M5" s="139">
        <f t="shared" ca="1" si="1"/>
        <v>1.314285138892204E+19</v>
      </c>
      <c r="N5" s="139">
        <f>courbes!U4</f>
        <v>0.16666666666666666</v>
      </c>
      <c r="O5" s="139">
        <f t="shared" ca="1" si="2"/>
        <v>1.2444513376394756E+19</v>
      </c>
      <c r="P5" s="138">
        <f>courbes!AE4</f>
        <v>0.4</v>
      </c>
      <c r="Q5" s="139">
        <f t="shared" ca="1" si="3"/>
        <v>1.1663160159577598E+19</v>
      </c>
      <c r="R5" s="138">
        <f>courbes!AO4</f>
        <v>0.41070000000000001</v>
      </c>
      <c r="S5" s="139">
        <f t="shared" ca="1" si="4"/>
        <v>1.1676658104286841E+19</v>
      </c>
    </row>
    <row r="6" spans="1:19" ht="13.5" thickBot="1">
      <c r="C6" s="143" t="s">
        <v>11</v>
      </c>
      <c r="D6" s="137" t="s">
        <v>271</v>
      </c>
      <c r="E6" s="137" t="s">
        <v>277</v>
      </c>
      <c r="F6" s="145" t="s">
        <v>282</v>
      </c>
      <c r="G6" s="145" t="s">
        <v>288</v>
      </c>
      <c r="H6" s="145" t="s">
        <v>293</v>
      </c>
      <c r="J6" s="138">
        <f>courbes!A5</f>
        <v>0.25</v>
      </c>
      <c r="K6" s="139">
        <f t="shared" ca="1" si="0"/>
        <v>1.3697691479775232E+19</v>
      </c>
      <c r="L6" s="141">
        <f>courbes!J5</f>
        <v>0.25</v>
      </c>
      <c r="M6" s="139">
        <f t="shared" ca="1" si="1"/>
        <v>1.3671672617136284E+19</v>
      </c>
      <c r="N6" s="139">
        <f>courbes!U5</f>
        <v>0.25</v>
      </c>
      <c r="O6" s="139">
        <f t="shared" ca="1" si="2"/>
        <v>1.2632688167675199E+19</v>
      </c>
      <c r="P6" s="138">
        <f>courbes!AE5</f>
        <v>0.6</v>
      </c>
      <c r="Q6" s="139">
        <f t="shared" ca="1" si="3"/>
        <v>1.1728367918942173E+19</v>
      </c>
      <c r="R6" s="138">
        <f>courbes!AO5</f>
        <v>0.99929999999999997</v>
      </c>
      <c r="S6" s="139">
        <f t="shared" ca="1" si="4"/>
        <v>1.2301263886982719E+19</v>
      </c>
    </row>
    <row r="7" spans="1:19" ht="13.5" thickBot="1">
      <c r="C7" s="143" t="s">
        <v>13</v>
      </c>
      <c r="D7" s="137" t="s">
        <v>272</v>
      </c>
      <c r="E7" s="137" t="s">
        <v>278</v>
      </c>
      <c r="F7" s="145" t="s">
        <v>283</v>
      </c>
      <c r="G7" s="145" t="s">
        <v>289</v>
      </c>
      <c r="H7" s="145" t="s">
        <v>294</v>
      </c>
      <c r="J7" s="138">
        <f>courbes!A6</f>
        <v>0.33333333333333331</v>
      </c>
      <c r="K7" s="139">
        <f t="shared" ca="1" si="0"/>
        <v>1.4217293858890809E+19</v>
      </c>
      <c r="L7" s="141">
        <f>courbes!J6</f>
        <v>0.33333333333333331</v>
      </c>
      <c r="M7" s="139">
        <f t="shared" ca="1" si="1"/>
        <v>1.418341442422512E+19</v>
      </c>
      <c r="N7" s="139">
        <f>courbes!U6</f>
        <v>0.33333333333333331</v>
      </c>
      <c r="O7" s="139">
        <f t="shared" ca="1" si="2"/>
        <v>1.2809424252398715E+19</v>
      </c>
      <c r="P7" s="138">
        <f>courbes!AE6</f>
        <v>0.8</v>
      </c>
      <c r="Q7" s="139">
        <f t="shared" ca="1" si="3"/>
        <v>1.1899914485885899E+19</v>
      </c>
      <c r="R7" s="138">
        <f>courbes!AO6</f>
        <v>1.9990000000000001</v>
      </c>
      <c r="S7" s="139">
        <f t="shared" ca="1" si="4"/>
        <v>1.4400633323266089E+19</v>
      </c>
    </row>
    <row r="8" spans="1:19" ht="13.5" thickBot="1">
      <c r="C8" s="143" t="s">
        <v>14</v>
      </c>
      <c r="D8" s="137" t="s">
        <v>273</v>
      </c>
      <c r="E8" s="137" t="s">
        <v>279</v>
      </c>
      <c r="F8" s="145" t="s">
        <v>284</v>
      </c>
      <c r="G8" s="145" t="s">
        <v>290</v>
      </c>
      <c r="H8" s="145" t="s">
        <v>295</v>
      </c>
      <c r="J8" s="138">
        <f>courbes!A7</f>
        <v>0.41666666666666669</v>
      </c>
      <c r="K8" s="139">
        <f t="shared" ca="1" si="0"/>
        <v>1.4719827976246669E+19</v>
      </c>
      <c r="L8" s="141">
        <f>courbes!J7</f>
        <v>0.41666666666666669</v>
      </c>
      <c r="M8" s="139">
        <f t="shared" ca="1" si="1"/>
        <v>1.4678476591997563E+19</v>
      </c>
      <c r="N8" s="139">
        <f>courbes!U7</f>
        <v>0.41666666666666669</v>
      </c>
      <c r="O8" s="139">
        <f t="shared" ca="1" si="2"/>
        <v>1.2975086873141232E+19</v>
      </c>
      <c r="P8" s="138">
        <f>courbes!AE7</f>
        <v>1</v>
      </c>
      <c r="Q8" s="139">
        <f t="shared" ca="1" si="3"/>
        <v>1.2148707167769199E+19</v>
      </c>
      <c r="R8" s="138">
        <f>courbes!AO7</f>
        <v>4.9989999999999997</v>
      </c>
      <c r="S8" s="139">
        <f t="shared" ca="1" si="4"/>
        <v>2.0776817354953179E+19</v>
      </c>
    </row>
    <row r="9" spans="1:19" ht="13.5" thickBot="1">
      <c r="C9" s="143" t="s">
        <v>15</v>
      </c>
      <c r="D9" s="137" t="s">
        <v>274</v>
      </c>
      <c r="E9" s="137" t="s">
        <v>280</v>
      </c>
      <c r="F9" s="145" t="s">
        <v>285</v>
      </c>
      <c r="G9" s="145" t="s">
        <v>291</v>
      </c>
      <c r="H9" s="145" t="s">
        <v>297</v>
      </c>
      <c r="J9" s="138">
        <f>courbes!A8</f>
        <v>0.5</v>
      </c>
      <c r="K9" s="139">
        <f t="shared" ca="1" si="0"/>
        <v>1.5205697049389722E+19</v>
      </c>
      <c r="L9" s="141">
        <f>courbes!J8</f>
        <v>0.5</v>
      </c>
      <c r="M9" s="139">
        <f t="shared" ca="1" si="1"/>
        <v>1.5157251926397983E+19</v>
      </c>
      <c r="N9" s="139">
        <f>courbes!U8</f>
        <v>0.5</v>
      </c>
      <c r="O9" s="139">
        <f t="shared" ca="1" si="2"/>
        <v>1.3130031507619987E+19</v>
      </c>
      <c r="P9" s="138">
        <f>courbes!AE8</f>
        <v>1.2</v>
      </c>
      <c r="Q9" s="139">
        <f t="shared" ca="1" si="3"/>
        <v>1.2452675646037907E+19</v>
      </c>
      <c r="R9" s="138">
        <f>courbes!AO8</f>
        <v>9.9990000000000006</v>
      </c>
      <c r="S9" s="139">
        <f t="shared" ca="1" si="4"/>
        <v>2.7387228555151225E+19</v>
      </c>
    </row>
    <row r="10" spans="1:19" ht="13.5" thickBot="1">
      <c r="A10" s="145" t="s">
        <v>253</v>
      </c>
      <c r="B10" s="161" t="str">
        <f>"Comparaison des modèles pour le "&amp;B2</f>
        <v>Comparaison des modèles pour le Pu238</v>
      </c>
      <c r="C10" s="143" t="s">
        <v>16</v>
      </c>
      <c r="D10" s="137" t="s">
        <v>275</v>
      </c>
      <c r="E10" s="137" t="s">
        <v>281</v>
      </c>
      <c r="F10" s="145" t="s">
        <v>286</v>
      </c>
      <c r="G10" s="145" t="s">
        <v>292</v>
      </c>
      <c r="H10" s="145" t="s">
        <v>296</v>
      </c>
      <c r="J10" s="138">
        <f>courbes!A9</f>
        <v>0.58333333333333337</v>
      </c>
      <c r="K10" s="139">
        <f t="shared" ca="1" si="0"/>
        <v>1.5675297284838984E+19</v>
      </c>
      <c r="L10" s="141">
        <f>courbes!J9</f>
        <v>0.58333333333333337</v>
      </c>
      <c r="M10" s="139">
        <f t="shared" ca="1" si="1"/>
        <v>1.5620126301730623E+19</v>
      </c>
      <c r="N10" s="139">
        <f>courbes!U9</f>
        <v>0.58333333333333337</v>
      </c>
      <c r="O10" s="139">
        <f t="shared" ca="1" si="2"/>
        <v>1.3274604108994576E+19</v>
      </c>
      <c r="P10" s="138">
        <f>courbes!AE9</f>
        <v>1.4</v>
      </c>
      <c r="Q10" s="139">
        <f t="shared" ca="1" si="3"/>
        <v>1.2795768779925363E+19</v>
      </c>
      <c r="S10" s="144"/>
    </row>
    <row r="11" spans="1:19" ht="13.5" thickBot="1">
      <c r="A11" s="145" t="s">
        <v>254</v>
      </c>
      <c r="B11" s="161" t="s">
        <v>256</v>
      </c>
      <c r="C11" s="161"/>
      <c r="D11" s="161"/>
      <c r="E11" s="161"/>
      <c r="J11" s="138">
        <f>courbes!A10</f>
        <v>0.66666666666666663</v>
      </c>
      <c r="K11" s="139">
        <f t="shared" ca="1" si="0"/>
        <v>1.6129017930984909E+19</v>
      </c>
      <c r="L11" s="141">
        <f>courbes!J10</f>
        <v>0.66666666666666663</v>
      </c>
      <c r="M11" s="139">
        <f t="shared" ca="1" si="1"/>
        <v>1.6067478704884113E+19</v>
      </c>
      <c r="N11" s="139">
        <f>courbes!U10</f>
        <v>0.66666666666666663</v>
      </c>
      <c r="O11" s="139">
        <f t="shared" ca="1" si="2"/>
        <v>1.3409141340525773E+19</v>
      </c>
      <c r="P11" s="138">
        <f>courbes!AE10</f>
        <v>1.6</v>
      </c>
      <c r="Q11" s="139">
        <f t="shared" ca="1" si="3"/>
        <v>1.316695141015448E+19</v>
      </c>
    </row>
    <row r="12" spans="1:19" ht="18" thickBot="1">
      <c r="A12" s="145" t="s">
        <v>255</v>
      </c>
      <c r="B12" s="169" t="s">
        <v>299</v>
      </c>
      <c r="C12" s="161"/>
      <c r="D12" s="161"/>
      <c r="E12" s="161"/>
      <c r="J12" s="138">
        <f>courbes!A11</f>
        <v>0.75</v>
      </c>
      <c r="K12" s="139">
        <f t="shared" ca="1" si="0"/>
        <v>1.6567241333507404E+19</v>
      </c>
      <c r="L12" s="141">
        <f>courbes!J11</f>
        <v>0.75</v>
      </c>
      <c r="M12" s="139">
        <f t="shared" ca="1" si="1"/>
        <v>1.6499681279555987E+19</v>
      </c>
      <c r="N12" s="139">
        <f>courbes!U11</f>
        <v>0.75</v>
      </c>
      <c r="O12" s="139">
        <f t="shared" ca="1" si="2"/>
        <v>1.3533970804720689E+19</v>
      </c>
      <c r="P12" s="138">
        <f>courbes!AE11</f>
        <v>1.8</v>
      </c>
      <c r="Q12" s="139">
        <f t="shared" ca="1" si="3"/>
        <v>1.3557194770044008E+19</v>
      </c>
    </row>
    <row r="13" spans="1:19" ht="13.5" thickBot="1">
      <c r="J13" s="138">
        <f>courbes!A12</f>
        <v>0.83333333333333337</v>
      </c>
      <c r="K13" s="139">
        <f t="shared" ca="1" si="0"/>
        <v>1.6990342993139104E+19</v>
      </c>
      <c r="L13" s="141">
        <f>courbes!J12</f>
        <v>0.83333333333333337</v>
      </c>
      <c r="M13" s="139">
        <f t="shared" ca="1" si="1"/>
        <v>1.6917099370477197E+19</v>
      </c>
      <c r="N13" s="139">
        <f>courbes!U12</f>
        <v>0.83333333333333337</v>
      </c>
      <c r="O13" s="139">
        <f t="shared" ca="1" si="2"/>
        <v>1.3649411267090612E+19</v>
      </c>
      <c r="P13" s="138">
        <f>courbes!AE12</f>
        <v>2</v>
      </c>
      <c r="Q13" s="139">
        <f t="shared" ca="1" si="3"/>
        <v>1.3960479681806457E+19</v>
      </c>
    </row>
    <row r="14" spans="1:19" ht="13.5" thickBot="1">
      <c r="J14" s="138">
        <f>courbes!A13</f>
        <v>0.91666666666666663</v>
      </c>
      <c r="K14" s="139">
        <f t="shared" ca="1" si="0"/>
        <v>1.7398691625607973E+19</v>
      </c>
      <c r="L14" s="141">
        <f>courbes!J13</f>
        <v>0.91666666666666663</v>
      </c>
      <c r="M14" s="139">
        <f t="shared" ca="1" si="1"/>
        <v>1.732009156763664E+19</v>
      </c>
      <c r="N14" s="139">
        <f>courbes!U13</f>
        <v>0.91666666666666663</v>
      </c>
      <c r="O14" s="139">
        <f t="shared" ca="1" si="2"/>
        <v>1.3755772874643669E+19</v>
      </c>
      <c r="P14" s="138">
        <f>courbes!AE13</f>
        <v>2.2000000000000002</v>
      </c>
      <c r="Q14" s="139">
        <f t="shared" ca="1" si="3"/>
        <v>1.4371790163952232E+19</v>
      </c>
    </row>
    <row r="15" spans="1:19" ht="13.5" thickBot="1">
      <c r="J15" s="138">
        <f>courbes!A14</f>
        <v>1</v>
      </c>
      <c r="K15" s="139">
        <f t="shared" ca="1" si="0"/>
        <v>1.7792649223600368E+19</v>
      </c>
      <c r="L15" s="141">
        <f>courbes!J14</f>
        <v>1</v>
      </c>
      <c r="M15" s="139">
        <f t="shared" ca="1" si="1"/>
        <v>1.7709009750505669E+19</v>
      </c>
      <c r="N15" s="139">
        <f>courbes!U14</f>
        <v>1</v>
      </c>
      <c r="O15" s="139">
        <f t="shared" ca="1" si="2"/>
        <v>1.3853357369232957E+19</v>
      </c>
      <c r="P15" s="138">
        <f>courbes!AE14</f>
        <v>2.4</v>
      </c>
      <c r="Q15" s="139">
        <f t="shared" ca="1" si="3"/>
        <v>1.4788116627587594E+19</v>
      </c>
    </row>
    <row r="16" spans="1:19" ht="13.5" thickBot="1">
      <c r="J16" s="138">
        <f>courbes!A15</f>
        <v>1.0833333333333333</v>
      </c>
      <c r="K16" s="139">
        <f t="shared" ca="1" si="0"/>
        <v>1.817257112059264E+19</v>
      </c>
      <c r="L16" s="141">
        <f>courbes!J15</f>
        <v>1.0833333333333333</v>
      </c>
      <c r="M16" s="139">
        <f t="shared" ca="1" si="1"/>
        <v>1.8084206790398081E+19</v>
      </c>
      <c r="N16" s="139">
        <f>courbes!U15</f>
        <v>1.0833333333333333</v>
      </c>
      <c r="O16" s="139">
        <f t="shared" ca="1" si="2"/>
        <v>1.3942458295877673E+19</v>
      </c>
      <c r="P16" s="138">
        <f>courbes!AE15</f>
        <v>2.6</v>
      </c>
      <c r="Q16" s="139">
        <f t="shared" ca="1" si="3"/>
        <v>1.5205446287520872E+19</v>
      </c>
    </row>
    <row r="17" spans="10:19" ht="13.5" thickBot="1">
      <c r="J17" s="138">
        <f>courbes!A16</f>
        <v>1.1666666666666667</v>
      </c>
      <c r="K17" s="139">
        <f t="shared" ca="1" si="0"/>
        <v>1.8538806056405967E+19</v>
      </c>
      <c r="L17" s="141">
        <f>courbes!J16</f>
        <v>1.1666666666666667</v>
      </c>
      <c r="M17" s="139">
        <f t="shared" ca="1" si="1"/>
        <v>1.8446016719520647E+19</v>
      </c>
      <c r="N17" s="139">
        <f>courbes!U16</f>
        <v>1.1666666666666667</v>
      </c>
      <c r="O17" s="139">
        <f t="shared" ca="1" si="2"/>
        <v>1.4023361206171812E+19</v>
      </c>
      <c r="P17" s="138">
        <f>courbes!AE16</f>
        <v>2.8</v>
      </c>
      <c r="Q17" s="139">
        <f t="shared" ca="1" si="3"/>
        <v>1.5621772751156232E+19</v>
      </c>
    </row>
    <row r="18" spans="10:19" ht="13.5" thickBot="1">
      <c r="J18" s="138">
        <f>courbes!A17</f>
        <v>1.25</v>
      </c>
      <c r="K18" s="139">
        <f t="shared" ca="1" si="0"/>
        <v>1.8891696244345467E+19</v>
      </c>
      <c r="L18" s="141">
        <f>courbes!J17</f>
        <v>1.25</v>
      </c>
      <c r="M18" s="139">
        <f t="shared" ca="1" si="1"/>
        <v>1.8794772575702479E+19</v>
      </c>
      <c r="N18" s="139">
        <f>courbes!U17</f>
        <v>1.25</v>
      </c>
      <c r="O18" s="139">
        <f t="shared" ca="1" si="2"/>
        <v>1.4096343856893092E+19</v>
      </c>
      <c r="P18" s="138">
        <f>courbes!AE17</f>
        <v>3</v>
      </c>
      <c r="Q18" s="139">
        <f t="shared" ca="1" si="3"/>
        <v>1.6036092822195759E+19</v>
      </c>
      <c r="R18" s="145"/>
      <c r="S18" s="145"/>
    </row>
    <row r="19" spans="10:19" ht="13.5" thickBot="1">
      <c r="J19" s="138">
        <f>courbes!A18</f>
        <v>1.3333333333333333</v>
      </c>
      <c r="K19" s="139">
        <f t="shared" ca="1" si="0"/>
        <v>1.9231577439790854E+19</v>
      </c>
      <c r="L19" s="141">
        <f>courbes!J18</f>
        <v>1.3333333333333333</v>
      </c>
      <c r="M19" s="139">
        <f t="shared" ca="1" si="1"/>
        <v>1.9130801085002007E+19</v>
      </c>
      <c r="N19" s="139">
        <f>courbes!U18</f>
        <v>1.3333333333333333</v>
      </c>
      <c r="O19" s="139">
        <f t="shared" ca="1" si="2"/>
        <v>1.4161676403921428E+19</v>
      </c>
      <c r="P19" s="138">
        <f>courbes!AE18</f>
        <v>3.2</v>
      </c>
      <c r="Q19" s="139">
        <f t="shared" ca="1" si="3"/>
        <v>1.6447403304341539E+19</v>
      </c>
      <c r="R19" s="145"/>
      <c r="S19" s="145"/>
    </row>
    <row r="20" spans="10:19" ht="13.5" thickBot="1">
      <c r="J20" s="138">
        <f>courbes!A19</f>
        <v>1.4166666666666667</v>
      </c>
      <c r="K20" s="139">
        <f t="shared" ca="1" si="0"/>
        <v>1.9558779010111738E+19</v>
      </c>
      <c r="L20" s="141">
        <f>courbes!J19</f>
        <v>1.4166666666666667</v>
      </c>
      <c r="M20" s="139">
        <f t="shared" ca="1" si="1"/>
        <v>1.9454422730904166E+19</v>
      </c>
      <c r="N20" s="139">
        <f>courbes!U19</f>
        <v>1.4166666666666667</v>
      </c>
      <c r="O20" s="139">
        <f t="shared" ca="1" si="2"/>
        <v>1.4219621591574815E+19</v>
      </c>
      <c r="P20" s="138">
        <f>courbes!AE19</f>
        <v>3.4</v>
      </c>
      <c r="Q20" s="139">
        <f t="shared" ca="1" si="3"/>
        <v>1.6853697804997732E+19</v>
      </c>
      <c r="R20" s="145"/>
      <c r="S20" s="145"/>
    </row>
    <row r="21" spans="10:19" ht="13.5" thickBot="1">
      <c r="J21" s="138">
        <f>courbes!A20</f>
        <v>1.5</v>
      </c>
      <c r="K21" s="139">
        <f t="shared" ca="1" si="0"/>
        <v>1.9873624005786468E+19</v>
      </c>
      <c r="L21" s="141">
        <f>courbes!J20</f>
        <v>1.5</v>
      </c>
      <c r="M21" s="139">
        <f t="shared" ca="1" si="1"/>
        <v>1.9765951823517495E+19</v>
      </c>
      <c r="N21" s="139">
        <f>courbes!U20</f>
        <v>1.5</v>
      </c>
      <c r="O21" s="139">
        <f t="shared" ca="1" si="2"/>
        <v>1.4270434937467093E+19</v>
      </c>
      <c r="P21" s="138">
        <f>courbes!AE20</f>
        <v>3.6</v>
      </c>
      <c r="Q21" s="139">
        <f t="shared" ca="1" si="3"/>
        <v>1.7253973127866427E+19</v>
      </c>
      <c r="R21" s="145"/>
      <c r="S21" s="145"/>
    </row>
    <row r="22" spans="10:19" ht="13.5" thickBot="1">
      <c r="J22" s="138">
        <f>courbes!A21</f>
        <v>1.5833333333333333</v>
      </c>
      <c r="K22" s="139">
        <f t="shared" ca="1" si="0"/>
        <v>2.0176429232608805E+19</v>
      </c>
      <c r="L22" s="141">
        <f>courbes!J21</f>
        <v>1.5833333333333333</v>
      </c>
      <c r="M22" s="139">
        <f t="shared" ca="1" si="1"/>
        <v>2.0065696568771265E+19</v>
      </c>
      <c r="N22" s="139">
        <f>courbes!U21</f>
        <v>1.5833333333333333</v>
      </c>
      <c r="O22" s="139">
        <f t="shared" ca="1" si="2"/>
        <v>1.4314364912990298E+19</v>
      </c>
      <c r="P22" s="138">
        <f>courbes!AE21</f>
        <v>3.8</v>
      </c>
      <c r="Q22" s="139">
        <f t="shared" ca="1" si="3"/>
        <v>1.7648229272947626E+19</v>
      </c>
      <c r="R22" s="145"/>
      <c r="S22" s="145"/>
    </row>
    <row r="23" spans="10:19" ht="13.5" thickBot="1">
      <c r="J23" s="138">
        <f>courbes!A22</f>
        <v>1.6666666666666667</v>
      </c>
      <c r="K23" s="139">
        <f t="shared" ca="1" si="0"/>
        <v>2.0467505324872086E+19</v>
      </c>
      <c r="L23" s="141">
        <f>courbes!J22</f>
        <v>1.6666666666666667</v>
      </c>
      <c r="M23" s="139">
        <f t="shared" ca="1" si="1"/>
        <v>2.0353959137612653E+19</v>
      </c>
      <c r="N23" s="139">
        <f>courbes!U22</f>
        <v>1.6666666666666667</v>
      </c>
      <c r="O23" s="139">
        <f t="shared" ca="1" si="2"/>
        <v>1.4351653119522128E+19</v>
      </c>
      <c r="P23" s="138">
        <f>courbes!AE22</f>
        <v>4</v>
      </c>
      <c r="Q23" s="139">
        <f t="shared" ca="1" si="3"/>
        <v>1.8036466240241322E+19</v>
      </c>
      <c r="R23" s="145"/>
      <c r="S23" s="145"/>
    </row>
    <row r="24" spans="10:19" ht="13.5" thickBot="1">
      <c r="J24" s="138">
        <f>courbes!A23</f>
        <v>1.75</v>
      </c>
      <c r="K24" s="139">
        <f t="shared" ca="1" si="0"/>
        <v>2.0747156819425559E+19</v>
      </c>
      <c r="L24" s="141">
        <f>courbes!J23</f>
        <v>1.75</v>
      </c>
      <c r="M24" s="139">
        <f t="shared" ca="1" si="1"/>
        <v>2.0631035735203795E+19</v>
      </c>
      <c r="N24" s="139">
        <f>courbes!U23</f>
        <v>1.75</v>
      </c>
      <c r="O24" s="139">
        <f t="shared" ca="1" si="2"/>
        <v>1.438253446045592E+19</v>
      </c>
      <c r="P24" s="138">
        <f>courbes!AE23</f>
        <v>4.2</v>
      </c>
      <c r="Q24" s="139">
        <f t="shared" ca="1" si="3"/>
        <v>1.8416677637151689E+19</v>
      </c>
      <c r="R24" s="145"/>
      <c r="S24" s="145"/>
    </row>
    <row r="25" spans="10:19" ht="13.5" thickBot="1">
      <c r="J25" s="138">
        <f>courbes!A24</f>
        <v>1.8333333333333333</v>
      </c>
      <c r="K25" s="139">
        <f t="shared" ca="1" si="0"/>
        <v>2.1015682230502478E+19</v>
      </c>
      <c r="L25" s="141">
        <f>courbes!J24</f>
        <v>1.8333333333333333</v>
      </c>
      <c r="M25" s="139">
        <f t="shared" ca="1" si="1"/>
        <v>2.0897216670119018E+19</v>
      </c>
      <c r="N25" s="139">
        <f>courbes!U24</f>
        <v>1.8333333333333333</v>
      </c>
      <c r="O25" s="139">
        <f t="shared" ca="1" si="2"/>
        <v>1.44072373091497E+19</v>
      </c>
      <c r="P25" s="138">
        <f>courbes!AE24</f>
        <v>4.4000000000000004</v>
      </c>
      <c r="Q25" s="139">
        <f t="shared" ca="1" si="3"/>
        <v>1.8789866659976638E+19</v>
      </c>
      <c r="R25" s="145"/>
      <c r="S25" s="145"/>
    </row>
    <row r="26" spans="10:19" ht="13.5" thickBot="1">
      <c r="J26" s="138">
        <f>courbes!A25</f>
        <v>1.9166666666666667</v>
      </c>
      <c r="K26" s="139">
        <f t="shared" ca="1" si="0"/>
        <v>2.1273374125224309E+19</v>
      </c>
      <c r="L26" s="141">
        <f>courbes!J25</f>
        <v>1.9166666666666667</v>
      </c>
      <c r="M26" s="139">
        <f t="shared" ca="1" si="1"/>
        <v>2.1152786423541907E+19</v>
      </c>
      <c r="N26" s="139">
        <f>courbes!U25</f>
        <v>1.9166666666666667</v>
      </c>
      <c r="O26" s="139">
        <f t="shared" ca="1" si="2"/>
        <v>1.4425983672887386E+19</v>
      </c>
      <c r="P26" s="138">
        <f>courbes!AE25</f>
        <v>4.5999999999999996</v>
      </c>
      <c r="Q26" s="139">
        <f t="shared" ca="1" si="3"/>
        <v>1.9155030112418255E+19</v>
      </c>
      <c r="R26" s="145"/>
      <c r="S26" s="145"/>
    </row>
    <row r="27" spans="10:19" ht="13.5" thickBot="1">
      <c r="J27" s="138">
        <f>courbes!A26</f>
        <v>2</v>
      </c>
      <c r="K27" s="139">
        <f t="shared" ca="1" si="0"/>
        <v>2.152051919968981E+19</v>
      </c>
      <c r="L27" s="141">
        <f>courbes!J26</f>
        <v>2</v>
      </c>
      <c r="M27" s="139">
        <f t="shared" ca="1" si="1"/>
        <v>2.1398023718462448E+19</v>
      </c>
      <c r="N27" s="139">
        <f>courbes!U26</f>
        <v>2</v>
      </c>
      <c r="O27" s="139">
        <f t="shared" ca="1" si="2"/>
        <v>1.4438989352943985E+19</v>
      </c>
      <c r="P27" s="138">
        <f>courbes!AE26</f>
        <v>4.8</v>
      </c>
      <c r="Q27" s="139">
        <f t="shared" ca="1" si="3"/>
        <v>1.951216799447654E+19</v>
      </c>
      <c r="R27" s="145"/>
      <c r="S27" s="145"/>
    </row>
    <row r="28" spans="10:19" ht="13.5" thickBot="1">
      <c r="J28" s="138">
        <f>courbes!A27</f>
        <v>2.0833333333333335</v>
      </c>
      <c r="K28" s="139">
        <f t="shared" ca="1" si="0"/>
        <v>2.1757398355562242E+19</v>
      </c>
      <c r="L28" s="141">
        <f>courbes!J27</f>
        <v>2.0833333333333335</v>
      </c>
      <c r="M28" s="139">
        <f t="shared" ca="1" si="1"/>
        <v>2.1633204611790545E+19</v>
      </c>
      <c r="N28" s="139">
        <f>courbes!U27</f>
        <v>2.0833333333333335</v>
      </c>
      <c r="O28" s="139">
        <f t="shared" ca="1" si="2"/>
        <v>1.4446464100844282E+19</v>
      </c>
      <c r="P28" s="138">
        <f>courbes!AE27</f>
        <v>5</v>
      </c>
      <c r="Q28" s="139">
        <f t="shared" ca="1" si="3"/>
        <v>1.9861280306151494E+19</v>
      </c>
      <c r="R28" s="145"/>
      <c r="S28" s="145"/>
    </row>
    <row r="29" spans="10:19" ht="13.5" thickBot="1">
      <c r="J29" s="138">
        <f>courbes!A28</f>
        <v>2.1666666666666665</v>
      </c>
      <c r="K29" s="139">
        <f t="shared" ca="1" si="0"/>
        <v>2.1984286777072038E+19</v>
      </c>
      <c r="L29" s="141">
        <f>courbes!J28</f>
        <v>2.1666666666666665</v>
      </c>
      <c r="M29" s="139">
        <f t="shared" ca="1" si="1"/>
        <v>2.1858594623160435E+19</v>
      </c>
      <c r="N29" s="139">
        <f>courbes!U28</f>
        <v>2.1666666666666665</v>
      </c>
      <c r="O29" s="139">
        <f t="shared" ca="1" si="2"/>
        <v>1.4448611770902389E+19</v>
      </c>
      <c r="P29" s="138">
        <f>courbes!AE28</f>
        <v>5.2</v>
      </c>
      <c r="Q29" s="139">
        <f t="shared" ca="1" si="3"/>
        <v>2.02013638511452E+19</v>
      </c>
      <c r="R29" s="145"/>
      <c r="S29" s="145"/>
    </row>
    <row r="30" spans="10:19" ht="13.5" thickBot="1">
      <c r="J30" s="138">
        <f>courbes!A29</f>
        <v>2.25</v>
      </c>
      <c r="K30" s="139">
        <f t="shared" ca="1" si="0"/>
        <v>2.2201454008356368E+19</v>
      </c>
      <c r="L30" s="141">
        <f>courbes!J29</f>
        <v>2.25</v>
      </c>
      <c r="M30" s="139">
        <f t="shared" ca="1" si="1"/>
        <v>2.2074455981244969E+19</v>
      </c>
      <c r="N30" s="139">
        <f>courbes!U29</f>
        <v>2.25</v>
      </c>
      <c r="O30" s="139">
        <f t="shared" ca="1" si="2"/>
        <v>1.4445630469127832E+19</v>
      </c>
      <c r="P30" s="138">
        <f>courbes!AE29</f>
        <v>5.4</v>
      </c>
      <c r="Q30" s="139">
        <f t="shared" ca="1" si="3"/>
        <v>2.0533421825755574E+19</v>
      </c>
      <c r="R30" s="145"/>
      <c r="S30" s="145"/>
    </row>
    <row r="31" spans="10:19" ht="13.5" thickBot="1">
      <c r="J31" s="138">
        <f>courbes!A30</f>
        <v>2.3333333333333335</v>
      </c>
      <c r="K31" s="139">
        <f t="shared" ca="1" si="0"/>
        <v>2.240916403106089E+19</v>
      </c>
      <c r="L31" s="141">
        <f>courbes!J30</f>
        <v>2.3333333333333335</v>
      </c>
      <c r="M31" s="139">
        <f t="shared" ca="1" si="1"/>
        <v>2.2281045508420997E+19</v>
      </c>
      <c r="N31" s="139">
        <f>courbes!U30</f>
        <v>2.3333333333333335</v>
      </c>
      <c r="O31" s="139">
        <f t="shared" ca="1" si="2"/>
        <v>1.4437712698581574E+19</v>
      </c>
      <c r="P31" s="138">
        <f>courbes!AE30</f>
        <v>5.6</v>
      </c>
      <c r="Q31" s="139">
        <f t="shared" ca="1" si="3"/>
        <v>2.0856451033684693E+19</v>
      </c>
      <c r="R31" s="145"/>
      <c r="S31" s="145"/>
    </row>
    <row r="32" spans="10:19" ht="13.5" thickBot="1">
      <c r="J32" s="138">
        <f>courbes!A31</f>
        <v>2.4166666666666665</v>
      </c>
      <c r="K32" s="139">
        <f t="shared" ca="1" si="0"/>
        <v>2.2607675342132642E+19</v>
      </c>
      <c r="L32" s="141">
        <f>courbes!J31</f>
        <v>2.4166666666666665</v>
      </c>
      <c r="M32" s="139">
        <f t="shared" ca="1" si="1"/>
        <v>2.2478614697759318E+19</v>
      </c>
      <c r="N32" s="139">
        <f>courbes!U31</f>
        <v>2.4166666666666665</v>
      </c>
      <c r="O32" s="139">
        <f t="shared" ca="1" si="2"/>
        <v>1.4425045501264036E+19</v>
      </c>
      <c r="P32" s="138">
        <f>courbes!AE31</f>
        <v>5.8</v>
      </c>
      <c r="Q32" s="139">
        <f t="shared" ca="1" si="3"/>
        <v>2.1170451474932572E+19</v>
      </c>
      <c r="R32" s="145"/>
      <c r="S32" s="145"/>
    </row>
    <row r="33" spans="10:19" ht="13.5" thickBot="1">
      <c r="J33" s="138">
        <f>courbes!A32</f>
        <v>2.5</v>
      </c>
      <c r="K33" s="139">
        <f t="shared" ca="1" si="0"/>
        <v>2.2797241031736721E+19</v>
      </c>
      <c r="L33" s="141">
        <f>courbes!J32</f>
        <v>2.5</v>
      </c>
      <c r="M33" s="139">
        <f t="shared" ca="1" si="1"/>
        <v>2.2667409790014497E+19</v>
      </c>
      <c r="N33" s="139">
        <f>courbes!U32</f>
        <v>2.5</v>
      </c>
      <c r="O33" s="139">
        <f t="shared" ca="1" si="2"/>
        <v>1.4407810596614627E+19</v>
      </c>
      <c r="P33" s="138">
        <f>courbes!AE32</f>
        <v>6</v>
      </c>
      <c r="Q33" s="139">
        <f t="shared" ca="1" si="3"/>
        <v>2.1475423149499195E+19</v>
      </c>
      <c r="R33" s="145"/>
      <c r="S33" s="145"/>
    </row>
    <row r="34" spans="10:19" ht="13.5" thickBot="1">
      <c r="J34" s="138">
        <f>courbes!A33</f>
        <v>2.5833333333333335</v>
      </c>
      <c r="K34" s="139">
        <f t="shared" ca="1" si="0"/>
        <v>2.2978108861232746E+19</v>
      </c>
      <c r="L34" s="141">
        <f>courbes!J33</f>
        <v>2.5833333333333335</v>
      </c>
      <c r="M34" s="139">
        <f t="shared" ca="1" si="1"/>
        <v>2.2847671850614768E+19</v>
      </c>
      <c r="N34" s="139">
        <f>courbes!U33</f>
        <v>2.5833333333333335</v>
      </c>
      <c r="O34" s="139">
        <f t="shared" ca="1" si="2"/>
        <v>1.4386184516701127E+19</v>
      </c>
      <c r="P34" s="138">
        <f>courbes!AE33</f>
        <v>6.2</v>
      </c>
      <c r="Q34" s="139">
        <f t="shared" ca="1" si="3"/>
        <v>2.1771366057384571E+19</v>
      </c>
      <c r="R34" s="145"/>
      <c r="S34" s="145"/>
    </row>
    <row r="35" spans="10:19" ht="13.5" thickBot="1">
      <c r="J35" s="138">
        <f>courbes!A34</f>
        <v>2.6666666666666665</v>
      </c>
      <c r="K35" s="139">
        <f t="shared" ca="1" si="0"/>
        <v>2.3150521341150417E+19</v>
      </c>
      <c r="L35" s="141">
        <f>courbes!J34</f>
        <v>2.6666666666666665</v>
      </c>
      <c r="M35" s="139">
        <f t="shared" ca="1" si="1"/>
        <v>2.3019636846651912E+19</v>
      </c>
      <c r="N35" s="139">
        <f>courbes!U34</f>
        <v>2.6666666666666665</v>
      </c>
      <c r="O35" s="139">
        <f t="shared" ca="1" si="2"/>
        <v>1.4360338738175107E+19</v>
      </c>
      <c r="P35" s="138">
        <f>courbes!AE34</f>
        <v>6.4</v>
      </c>
      <c r="Q35" s="139">
        <f t="shared" ca="1" si="3"/>
        <v>2.2059283394886615E+19</v>
      </c>
      <c r="R35" s="145"/>
      <c r="S35" s="145"/>
    </row>
    <row r="36" spans="10:19" ht="13.5" thickBot="1">
      <c r="J36" s="138">
        <f>courbes!A35</f>
        <v>2.75</v>
      </c>
      <c r="K36" s="139">
        <f t="shared" ca="1" si="0"/>
        <v>2.3314715809106706E+19</v>
      </c>
      <c r="L36" s="141">
        <f>courbes!J35</f>
        <v>2.75</v>
      </c>
      <c r="M36" s="139">
        <f t="shared" ca="1" si="1"/>
        <v>2.3183535723871146E+19</v>
      </c>
      <c r="N36" s="139">
        <f>courbes!U35</f>
        <v>2.75</v>
      </c>
      <c r="O36" s="139">
        <f t="shared" ca="1" si="2"/>
        <v>1.4330439811068133E+19</v>
      </c>
      <c r="P36" s="138">
        <f>courbes!AE35</f>
        <v>6.6</v>
      </c>
      <c r="Q36" s="139">
        <f t="shared" ca="1" si="3"/>
        <v>2.2337168769409495E+19</v>
      </c>
      <c r="R36" s="145"/>
      <c r="S36" s="145"/>
    </row>
    <row r="37" spans="10:19" ht="13.5" thickBot="1">
      <c r="J37" s="138">
        <f>courbes!A36</f>
        <v>2.8333333333333335</v>
      </c>
      <c r="K37" s="139">
        <f t="shared" ca="1" si="0"/>
        <v>2.3470924507610239E+19</v>
      </c>
      <c r="L37" s="141">
        <f>courbes!J36</f>
        <v>2.8333333333333335</v>
      </c>
      <c r="M37" s="139">
        <f t="shared" ca="1" si="1"/>
        <v>2.333959448366098E+19</v>
      </c>
      <c r="N37" s="139">
        <f>courbes!U36</f>
        <v>2.8333333333333335</v>
      </c>
      <c r="O37" s="139">
        <f t="shared" ca="1" si="2"/>
        <v>1.4296649484501541E+19</v>
      </c>
      <c r="P37" s="138">
        <f>courbes!AE36</f>
        <v>6.8</v>
      </c>
      <c r="Q37" s="139">
        <f t="shared" ca="1" si="3"/>
        <v>2.2607028573549044E+19</v>
      </c>
      <c r="R37" s="145"/>
      <c r="S37" s="145"/>
    </row>
    <row r="38" spans="10:19" ht="13.5" thickBot="1">
      <c r="J38" s="138">
        <f>courbes!A37</f>
        <v>2.9166666666666665</v>
      </c>
      <c r="K38" s="139">
        <f t="shared" ca="1" si="0"/>
        <v>2.3619374661701296E+19</v>
      </c>
      <c r="L38" s="141">
        <f>courbes!J37</f>
        <v>2.9166666666666665</v>
      </c>
      <c r="M38" s="139">
        <f t="shared" ca="1" si="1"/>
        <v>2.3488034260043112E+19</v>
      </c>
      <c r="N38" s="139">
        <f>courbes!U37</f>
        <v>2.9166666666666665</v>
      </c>
      <c r="O38" s="139">
        <f t="shared" ca="1" si="2"/>
        <v>1.4259124829381198E+19</v>
      </c>
      <c r="P38" s="138">
        <f>courbes!AE37</f>
        <v>7</v>
      </c>
      <c r="Q38" s="139">
        <f t="shared" ca="1" si="3"/>
        <v>2.2867859611007345E+19</v>
      </c>
      <c r="R38" s="145"/>
      <c r="S38" s="145"/>
    </row>
    <row r="39" spans="10:19" ht="13.5" thickBot="1">
      <c r="J39" s="138">
        <f>courbes!A38</f>
        <v>3</v>
      </c>
      <c r="K39" s="139">
        <f t="shared" ca="1" si="0"/>
        <v>2.3760288556378804E+19</v>
      </c>
      <c r="L39" s="141">
        <f>courbes!J38</f>
        <v>3</v>
      </c>
      <c r="M39" s="139">
        <f t="shared" ca="1" si="1"/>
        <v>2.3629071396662321E+19</v>
      </c>
      <c r="N39" s="139">
        <f>courbes!U38</f>
        <v>3</v>
      </c>
      <c r="O39" s="139">
        <f t="shared" ca="1" si="2"/>
        <v>1.4218018358146753E+19</v>
      </c>
      <c r="P39" s="138">
        <f>courbes!AE38</f>
        <v>7.2</v>
      </c>
      <c r="Q39" s="139">
        <f t="shared" ca="1" si="3"/>
        <v>2.3118658685486473E+19</v>
      </c>
      <c r="R39" s="145"/>
      <c r="S39" s="145"/>
    </row>
    <row r="40" spans="10:19" ht="13.5" thickBot="1">
      <c r="J40" s="138">
        <f>courbes!A39</f>
        <v>3.0833333333333335</v>
      </c>
      <c r="K40" s="139">
        <f t="shared" ca="1" si="0"/>
        <v>2.3893883613768274E+19</v>
      </c>
      <c r="L40" s="141">
        <f>courbes!J39</f>
        <v>3.0833333333333335</v>
      </c>
      <c r="M40" s="139">
        <f t="shared" ca="1" si="1"/>
        <v>2.3762917868079403E+19</v>
      </c>
      <c r="N40" s="139">
        <f>courbes!U39</f>
        <v>3.0833333333333335</v>
      </c>
      <c r="O40" s="139">
        <f t="shared" ca="1" si="2"/>
        <v>1.4173478141643727E+19</v>
      </c>
      <c r="P40" s="138">
        <f>courbes!AE39</f>
        <v>7.4</v>
      </c>
      <c r="Q40" s="139">
        <f t="shared" ca="1" si="3"/>
        <v>2.3361432189582275E+19</v>
      </c>
      <c r="R40" s="145"/>
      <c r="S40" s="145"/>
    </row>
    <row r="41" spans="10:19" ht="13.5" thickBot="1">
      <c r="J41" s="138">
        <f>courbes!A40</f>
        <v>3.1666666666666665</v>
      </c>
      <c r="K41" s="139">
        <f t="shared" ca="1" si="0"/>
        <v>2.4020372469987258E+19</v>
      </c>
      <c r="L41" s="141">
        <f>courbes!J40</f>
        <v>3.1666666666666665</v>
      </c>
      <c r="M41" s="139">
        <f t="shared" ca="1" si="1"/>
        <v>2.3889780324963009E+19</v>
      </c>
      <c r="N41" s="139">
        <f>courbes!U40</f>
        <v>3.1666666666666665</v>
      </c>
      <c r="O41" s="139">
        <f t="shared" ca="1" si="2"/>
        <v>1.4125647923184771E+19</v>
      </c>
      <c r="P41" s="138">
        <f>courbes!AE40</f>
        <v>7.6</v>
      </c>
      <c r="Q41" s="139">
        <f t="shared" ca="1" si="3"/>
        <v>2.359618012329474E+19</v>
      </c>
      <c r="R41" s="145"/>
      <c r="S41" s="145"/>
    </row>
    <row r="42" spans="10:19" ht="13.5" thickBot="1">
      <c r="J42" s="138">
        <f>courbes!A41</f>
        <v>3.25</v>
      </c>
      <c r="K42" s="139">
        <f t="shared" ca="1" si="0"/>
        <v>2.413996305166744E+19</v>
      </c>
      <c r="L42" s="141">
        <f>courbes!J41</f>
        <v>3.25</v>
      </c>
      <c r="M42" s="139">
        <f t="shared" ca="1" si="1"/>
        <v>2.4009861190591513E+19</v>
      </c>
      <c r="N42" s="139">
        <f>courbes!U41</f>
        <v>3.25</v>
      </c>
      <c r="O42" s="139">
        <f t="shared" ca="1" si="2"/>
        <v>1.4074667229865353E+19</v>
      </c>
      <c r="P42" s="138">
        <f>courbes!AE41</f>
        <v>7.8</v>
      </c>
      <c r="Q42" s="139">
        <f t="shared" ca="1" si="3"/>
        <v>2.3820896094028046E+19</v>
      </c>
      <c r="R42" s="145"/>
      <c r="S42" s="145"/>
    </row>
    <row r="43" spans="10:19" ht="13.5" thickBot="1">
      <c r="J43" s="138">
        <f>courbes!A42</f>
        <v>3.3333333333333335</v>
      </c>
      <c r="K43" s="139">
        <f t="shared" ca="1" si="0"/>
        <v>2.4252858652094788E+19</v>
      </c>
      <c r="L43" s="141">
        <f>courbes!J42</f>
        <v>3.3333333333333335</v>
      </c>
      <c r="M43" s="139">
        <f t="shared" ca="1" si="1"/>
        <v>2.4123358397672296E+19</v>
      </c>
      <c r="N43" s="139">
        <f>courbes!U42</f>
        <v>3.3333333333333335</v>
      </c>
      <c r="O43" s="139">
        <f t="shared" ca="1" si="2"/>
        <v>1.402067148119724E+19</v>
      </c>
      <c r="P43" s="138">
        <f>courbes!AE42</f>
        <v>8</v>
      </c>
      <c r="Q43" s="139">
        <f t="shared" ca="1" si="3"/>
        <v>2.4037586494378017E+19</v>
      </c>
      <c r="R43" s="145"/>
      <c r="S43" s="145"/>
    </row>
    <row r="44" spans="10:19" ht="13.5" thickBot="1">
      <c r="J44" s="138">
        <f>courbes!A43</f>
        <v>3.4166666666666665</v>
      </c>
      <c r="K44" s="139">
        <f t="shared" ca="1" si="0"/>
        <v>2.4359258006931526E+19</v>
      </c>
      <c r="L44" s="141">
        <f>courbes!J43</f>
        <v>3.4166666666666665</v>
      </c>
      <c r="M44" s="139">
        <f t="shared" ca="1" si="1"/>
        <v>2.423046546345096E+19</v>
      </c>
      <c r="N44" s="139">
        <f>courbes!U43</f>
        <v>3.4166666666666665</v>
      </c>
      <c r="O44" s="139">
        <f t="shared" ca="1" si="2"/>
        <v>1.3963792095122317E+19</v>
      </c>
      <c r="P44" s="138">
        <f>courbes!AE43</f>
        <v>8.1999999999999993</v>
      </c>
      <c r="Q44" s="139">
        <f t="shared" ca="1" si="3"/>
        <v>2.4245248128046739E+19</v>
      </c>
      <c r="R44" s="145"/>
      <c r="S44" s="145"/>
    </row>
    <row r="45" spans="10:19" ht="13.5" thickBot="1">
      <c r="J45" s="138">
        <f>courbes!A44</f>
        <v>3.5</v>
      </c>
      <c r="K45" s="139">
        <f t="shared" ca="1" si="0"/>
        <v>2.4459355369485873E+19</v>
      </c>
      <c r="L45" s="141">
        <f>courbes!J44</f>
        <v>3.5</v>
      </c>
      <c r="M45" s="139">
        <f t="shared" ca="1" si="1"/>
        <v>2.4331371564820513E+19</v>
      </c>
      <c r="N45" s="139">
        <f>courbes!U44</f>
        <v>3.5</v>
      </c>
      <c r="O45" s="139">
        <f t="shared" ca="1" si="2"/>
        <v>1.390415659146693E+19</v>
      </c>
      <c r="P45" s="138">
        <f>courbes!AE44</f>
        <v>8.4</v>
      </c>
      <c r="Q45" s="139">
        <f t="shared" ca="1" si="3"/>
        <v>2.4444884191332127E+19</v>
      </c>
      <c r="R45" s="145"/>
      <c r="S45" s="145"/>
    </row>
    <row r="46" spans="10:19" ht="13.5" thickBot="1">
      <c r="J46" s="138">
        <f>courbes!A45</f>
        <v>3.5833333333333335</v>
      </c>
      <c r="K46" s="139">
        <f t="shared" ca="1" si="0"/>
        <v>2.45533405854976E+19</v>
      </c>
      <c r="L46" s="141">
        <f>courbes!J45</f>
        <v>3.5833333333333335</v>
      </c>
      <c r="M46" s="139">
        <f t="shared" ca="1" si="1"/>
        <v>2.4426261613430649E+19</v>
      </c>
      <c r="N46" s="139">
        <f>courbes!U45</f>
        <v>3.5833333333333335</v>
      </c>
      <c r="O46" s="139">
        <f t="shared" ca="1" si="2"/>
        <v>1.3841888692896809E+19</v>
      </c>
      <c r="P46" s="138">
        <f>courbes!AE45</f>
        <v>8.6</v>
      </c>
      <c r="Q46" s="139">
        <f t="shared" ca="1" si="3"/>
        <v>2.4635491487936266E+19</v>
      </c>
      <c r="R46" s="145"/>
      <c r="S46" s="145"/>
    </row>
    <row r="47" spans="10:19" ht="13.5" thickBot="1">
      <c r="J47" s="138">
        <f>courbes!A46</f>
        <v>3.6666666666666665</v>
      </c>
      <c r="K47" s="139">
        <f t="shared" ca="1" si="0"/>
        <v>2.4641399167409426E+19</v>
      </c>
      <c r="L47" s="141">
        <f>courbes!J46</f>
        <v>3.6666666666666665</v>
      </c>
      <c r="M47" s="139">
        <f t="shared" ca="1" si="1"/>
        <v>2.4515316330796904E+19</v>
      </c>
      <c r="N47" s="139">
        <f>courbes!U46</f>
        <v>3.6666666666666665</v>
      </c>
      <c r="O47" s="139">
        <f t="shared" ca="1" si="2"/>
        <v>1.3777108423429964E+19</v>
      </c>
      <c r="P47" s="138">
        <f>courbes!AE46</f>
        <v>8.8000000000000007</v>
      </c>
      <c r="Q47" s="139">
        <f t="shared" ca="1" si="3"/>
        <v>2.4818073214157083E+19</v>
      </c>
      <c r="R47" s="145"/>
      <c r="S47" s="145"/>
    </row>
    <row r="48" spans="10:19" ht="13.5" thickBot="1">
      <c r="J48" s="138">
        <f>courbes!A47</f>
        <v>3.75</v>
      </c>
      <c r="K48" s="139">
        <f t="shared" ca="1" si="0"/>
        <v>2.4723712368096322E+19</v>
      </c>
      <c r="L48" s="141">
        <f>courbes!J47</f>
        <v>3.75</v>
      </c>
      <c r="M48" s="139">
        <f t="shared" ca="1" si="1"/>
        <v>2.4598712323409953E+19</v>
      </c>
      <c r="N48" s="139">
        <f>courbes!U47</f>
        <v>3.75</v>
      </c>
      <c r="O48" s="139">
        <f t="shared" ca="1" si="2"/>
        <v>1.3709932204564787E+19</v>
      </c>
      <c r="P48" s="138">
        <f>courbes!AE47</f>
        <v>9</v>
      </c>
      <c r="Q48" s="139">
        <f t="shared" ca="1" si="3"/>
        <v>2.4991626173696639E+19</v>
      </c>
      <c r="R48" s="145"/>
      <c r="S48" s="145"/>
    </row>
    <row r="49" spans="10:19" ht="13.5" thickBot="1">
      <c r="J49" s="138">
        <f>courbes!A48</f>
        <v>3.8333333333333335</v>
      </c>
      <c r="K49" s="139">
        <f t="shared" ca="1" si="0"/>
        <v>2.4800457254026486E+19</v>
      </c>
      <c r="L49" s="141">
        <f>courbes!J48</f>
        <v>3.8333333333333335</v>
      </c>
      <c r="M49" s="139">
        <f t="shared" ca="1" si="1"/>
        <v>2.4676622157844754E+19</v>
      </c>
      <c r="N49" s="139">
        <f>courbes!U48</f>
        <v>3.8333333333333335</v>
      </c>
      <c r="O49" s="139">
        <f t="shared" ca="1" si="2"/>
        <v>1.3640472949078483E+19</v>
      </c>
      <c r="P49" s="138">
        <f>courbes!AE48</f>
        <v>9.1999999999999993</v>
      </c>
      <c r="Q49" s="139">
        <f t="shared" ca="1" si="3"/>
        <v>2.5158156759150785E+19</v>
      </c>
      <c r="R49" s="145"/>
      <c r="S49" s="145"/>
    </row>
    <row r="50" spans="10:19" ht="13.5" thickBot="1">
      <c r="J50" s="138">
        <f>courbes!A49</f>
        <v>3.9166666666666665</v>
      </c>
      <c r="K50" s="139">
        <f t="shared" ca="1" si="0"/>
        <v>2.4871806777829687E+19</v>
      </c>
      <c r="L50" s="141">
        <f>courbes!J49</f>
        <v>3.9166666666666665</v>
      </c>
      <c r="M50" s="139">
        <f t="shared" ca="1" si="1"/>
        <v>2.4749214435869831E+19</v>
      </c>
      <c r="N50" s="139">
        <f>courbes!U49</f>
        <v>3.9166666666666665</v>
      </c>
      <c r="O50" s="139">
        <f t="shared" ca="1" si="2"/>
        <v>1.3568840152550085E+19</v>
      </c>
      <c r="P50" s="138">
        <f>courbes!AE49</f>
        <v>9.4</v>
      </c>
      <c r="Q50" s="139">
        <f t="shared" ca="1" si="3"/>
        <v>2.5315658577923682E+19</v>
      </c>
      <c r="R50" s="145"/>
      <c r="S50" s="145"/>
    </row>
    <row r="51" spans="10:19" ht="13.5" thickBot="1">
      <c r="J51" s="138">
        <f>courbes!A50</f>
        <v>4</v>
      </c>
      <c r="K51" s="139">
        <f t="shared" ca="1" si="0"/>
        <v>2.4937929850250248E+19</v>
      </c>
      <c r="L51" s="141">
        <f>courbes!J50</f>
        <v>4</v>
      </c>
      <c r="M51" s="139">
        <f t="shared" ca="1" si="1"/>
        <v>2.481665386955647E+19</v>
      </c>
      <c r="N51" s="139">
        <f>courbes!U50</f>
        <v>4</v>
      </c>
      <c r="O51" s="139">
        <f t="shared" ca="1" si="2"/>
        <v>1.3495139982661218E+19</v>
      </c>
      <c r="P51" s="138">
        <f>courbes!AE50</f>
        <v>9.6</v>
      </c>
      <c r="Q51" s="139">
        <f t="shared" ca="1" si="3"/>
        <v>2.5465134826313241E+19</v>
      </c>
      <c r="R51" s="145"/>
      <c r="S51" s="145"/>
    </row>
    <row r="52" spans="10:19" ht="13.5" thickBot="1">
      <c r="J52" s="138">
        <f>courbes!A51</f>
        <v>4.083333333333333</v>
      </c>
      <c r="K52" s="139">
        <f t="shared" ca="1" si="0"/>
        <v>2.4998991411463606E+19</v>
      </c>
      <c r="L52" s="141">
        <f>courbes!J51</f>
        <v>4.083333333333333</v>
      </c>
      <c r="M52" s="139">
        <f t="shared" ca="1" si="1"/>
        <v>2.4879100257572585E+19</v>
      </c>
      <c r="N52" s="139">
        <f>courbes!U51</f>
        <v>4.083333333333333</v>
      </c>
      <c r="O52" s="139">
        <f t="shared" ca="1" si="2"/>
        <v>1.3419475366326006E+19</v>
      </c>
      <c r="P52" s="138">
        <f>courbes!AE51</f>
        <v>9.8000000000000007</v>
      </c>
      <c r="Q52" s="139">
        <f t="shared" ca="1" si="3"/>
        <v>2.5605582308021555E+19</v>
      </c>
      <c r="R52" s="145"/>
      <c r="S52" s="145"/>
    </row>
    <row r="53" spans="10:19" ht="13.5" thickBot="1">
      <c r="J53" s="138">
        <f>courbes!A52</f>
        <v>4.166666666666667</v>
      </c>
      <c r="K53" s="139">
        <f t="shared" ca="1" si="0"/>
        <v>2.5055152501736993E+19</v>
      </c>
      <c r="L53" s="141">
        <f>courbes!J52</f>
        <v>4.166666666666667</v>
      </c>
      <c r="M53" s="139">
        <f t="shared" ca="1" si="1"/>
        <v>2.4936711261319193E+19</v>
      </c>
      <c r="N53" s="139">
        <f>courbes!U52</f>
        <v>4.166666666666667</v>
      </c>
      <c r="O53" s="139">
        <f t="shared" ca="1" si="2"/>
        <v>1.3341946074701005E+19</v>
      </c>
      <c r="Q53" s="139">
        <f t="shared" ca="1" si="3"/>
        <v>0</v>
      </c>
      <c r="R53" s="145"/>
      <c r="S53" s="145"/>
    </row>
    <row r="54" spans="10:19" ht="13.5" thickBot="1">
      <c r="J54" s="138">
        <f>courbes!A53</f>
        <v>4.25</v>
      </c>
      <c r="K54" s="139">
        <f t="shared" ca="1" si="0"/>
        <v>2.5106570331416183E+19</v>
      </c>
      <c r="L54" s="141">
        <f>courbes!J53</f>
        <v>4.25</v>
      </c>
      <c r="M54" s="139">
        <f t="shared" ca="1" si="1"/>
        <v>2.4989640165015855E+19</v>
      </c>
      <c r="N54" s="139">
        <f>courbes!U53</f>
        <v>4.25</v>
      </c>
      <c r="O54" s="139">
        <f t="shared" ca="1" si="2"/>
        <v>1.3262648806124438E+19</v>
      </c>
      <c r="Q54" s="139">
        <f t="shared" ca="1" si="3"/>
        <v>0</v>
      </c>
      <c r="R54" s="145"/>
      <c r="S54" s="145"/>
    </row>
    <row r="55" spans="10:19" ht="13.5" thickBot="1">
      <c r="J55" s="138">
        <f>courbes!A54</f>
        <v>4.333333333333333</v>
      </c>
      <c r="K55" s="139">
        <f t="shared" ca="1" si="0"/>
        <v>2.5153398350221738E+19</v>
      </c>
      <c r="L55" s="141">
        <f>courbes!J54</f>
        <v>4.333333333333333</v>
      </c>
      <c r="M55" s="139">
        <f t="shared" ca="1" si="1"/>
        <v>2.5038036612025692E+19</v>
      </c>
      <c r="N55" s="139">
        <f>courbes!U54</f>
        <v>4.333333333333333</v>
      </c>
      <c r="O55" s="139">
        <f t="shared" ca="1" si="2"/>
        <v>1.3181677267033182E+19</v>
      </c>
      <c r="Q55" s="139">
        <f t="shared" ca="1" si="3"/>
        <v>0</v>
      </c>
      <c r="R55" s="145"/>
      <c r="S55" s="145"/>
    </row>
    <row r="56" spans="10:19" ht="13.5" thickBot="1">
      <c r="J56" s="138">
        <f>courbes!A55</f>
        <v>4.416666666666667</v>
      </c>
      <c r="K56" s="139">
        <f t="shared" ca="1" si="0"/>
        <v>2.5195786315839513E+19</v>
      </c>
      <c r="L56" s="141">
        <f>courbes!J55</f>
        <v>4.416666666666667</v>
      </c>
      <c r="M56" s="139">
        <f t="shared" ca="1" si="1"/>
        <v>2.5082046673107005E+19</v>
      </c>
      <c r="N56" s="139">
        <f>courbes!U55</f>
        <v>4.416666666666667</v>
      </c>
      <c r="O56" s="139">
        <f t="shared" ca="1" si="2"/>
        <v>1.3099122250904539E+19</v>
      </c>
      <c r="Q56" s="139">
        <f t="shared" ca="1" si="3"/>
        <v>0</v>
      </c>
      <c r="R56" s="145"/>
      <c r="S56" s="145"/>
    </row>
    <row r="57" spans="10:19" ht="13.5" thickBot="1">
      <c r="J57" s="138">
        <f>courbes!A56</f>
        <v>4.5</v>
      </c>
      <c r="K57" s="139">
        <f t="shared" ca="1" si="0"/>
        <v>2.5233880361791492E+19</v>
      </c>
      <c r="L57" s="141">
        <f>courbes!J56</f>
        <v>4.5</v>
      </c>
      <c r="M57" s="139">
        <f t="shared" ca="1" si="1"/>
        <v>2.5121812914664894E+19</v>
      </c>
      <c r="N57" s="139">
        <f>courbes!U56</f>
        <v>4.5</v>
      </c>
      <c r="O57" s="139">
        <f t="shared" ca="1" si="2"/>
        <v>1.3015071715269087E+19</v>
      </c>
      <c r="Q57" s="139">
        <f t="shared" ca="1" si="3"/>
        <v>0</v>
      </c>
      <c r="R57" s="145"/>
      <c r="S57" s="145"/>
    </row>
    <row r="58" spans="10:19" ht="13.5" thickBot="1">
      <c r="J58" s="138">
        <f>courbes!A57</f>
        <v>4.583333333333333</v>
      </c>
      <c r="K58" s="139">
        <f t="shared" ca="1" si="0"/>
        <v>2.5267823064574296E+19</v>
      </c>
      <c r="L58" s="141">
        <f>courbes!J57</f>
        <v>4.583333333333333</v>
      </c>
      <c r="M58" s="139">
        <f t="shared" ca="1" si="1"/>
        <v>2.5157474467002839E+19</v>
      </c>
      <c r="N58" s="139">
        <f>courbes!U57</f>
        <v>4.583333333333333</v>
      </c>
      <c r="O58" s="139">
        <f t="shared" ca="1" si="2"/>
        <v>1.2929610856839643E+19</v>
      </c>
      <c r="Q58" s="139">
        <f t="shared" ca="1" si="3"/>
        <v>0</v>
      </c>
      <c r="R58" s="145"/>
      <c r="S58" s="145"/>
    </row>
    <row r="59" spans="10:19" ht="13.5" thickBot="1">
      <c r="J59" s="138">
        <f>courbes!A58</f>
        <v>4.666666666666667</v>
      </c>
      <c r="K59" s="139">
        <f t="shared" ca="1" si="0"/>
        <v>2.5297753510053831E+19</v>
      </c>
      <c r="L59" s="141">
        <f>courbes!J58</f>
        <v>4.666666666666667</v>
      </c>
      <c r="M59" s="139">
        <f t="shared" ca="1" si="1"/>
        <v>2.5189167092574368E+19</v>
      </c>
      <c r="N59" s="139">
        <f>courbes!U58</f>
        <v>4.666666666666667</v>
      </c>
      <c r="O59" s="139">
        <f t="shared" ca="1" si="2"/>
        <v>1.2842822184800502E+19</v>
      </c>
      <c r="Q59" s="139">
        <f t="shared" ca="1" si="3"/>
        <v>0</v>
      </c>
      <c r="R59" s="145"/>
      <c r="S59" s="145"/>
    </row>
    <row r="60" spans="10:19" ht="13.5" thickBot="1">
      <c r="J60" s="138">
        <f>courbes!A59</f>
        <v>4.75</v>
      </c>
      <c r="K60" s="139">
        <f t="shared" ca="1" si="0"/>
        <v>2.532380735910572E+19</v>
      </c>
      <c r="L60" s="141">
        <f>courbes!J59</f>
        <v>4.75</v>
      </c>
      <c r="M60" s="139">
        <f t="shared" ca="1" si="1"/>
        <v>2.5217023254234624E+19</v>
      </c>
      <c r="N60" s="139">
        <f>courbes!U59</f>
        <v>4.75</v>
      </c>
      <c r="O60" s="139">
        <f t="shared" ca="1" si="2"/>
        <v>1.2754785592299831E+19</v>
      </c>
      <c r="Q60" s="139">
        <f t="shared" ca="1" si="3"/>
        <v>0</v>
      </c>
      <c r="R60" s="145"/>
      <c r="S60" s="145"/>
    </row>
    <row r="61" spans="10:19" ht="13.5" thickBot="1">
      <c r="J61" s="138">
        <f>courbes!A60</f>
        <v>4.833333333333333</v>
      </c>
      <c r="K61" s="139">
        <f t="shared" ca="1" si="0"/>
        <v>2.5346116912492249E+19</v>
      </c>
      <c r="L61" s="141">
        <f>courbes!J60</f>
        <v>4.833333333333333</v>
      </c>
      <c r="M61" s="139">
        <f t="shared" ca="1" si="1"/>
        <v>2.5241172183492002E+19</v>
      </c>
      <c r="N61" s="139">
        <f>courbes!U60</f>
        <v>4.833333333333333</v>
      </c>
      <c r="O61" s="139">
        <f t="shared" ca="1" si="2"/>
        <v>1.2665578426187432E+19</v>
      </c>
      <c r="Q61" s="139">
        <f t="shared" ca="1" si="3"/>
        <v>0</v>
      </c>
      <c r="R61" s="145"/>
      <c r="S61" s="145"/>
    </row>
    <row r="62" spans="10:19" ht="13.5" thickBot="1">
      <c r="J62" s="138">
        <f>courbes!A61</f>
        <v>4.916666666666667</v>
      </c>
      <c r="K62" s="139">
        <f t="shared" ca="1" si="0"/>
        <v>2.5364811174967579E+19</v>
      </c>
      <c r="L62" s="141">
        <f>courbes!J61</f>
        <v>4.916666666666667</v>
      </c>
      <c r="M62" s="139">
        <f t="shared" ca="1" si="1"/>
        <v>2.5261739948759761E+19</v>
      </c>
      <c r="N62" s="139">
        <f>courbes!U61</f>
        <v>4.916666666666667</v>
      </c>
      <c r="O62" s="139">
        <f t="shared" ca="1" si="2"/>
        <v>1.2575275555039142E+19</v>
      </c>
      <c r="Q62" s="139">
        <f t="shared" ca="1" si="3"/>
        <v>0</v>
      </c>
      <c r="R62" s="145"/>
      <c r="S62" s="145"/>
    </row>
    <row r="63" spans="10:19" ht="13.5" thickBot="1">
      <c r="J63" s="138">
        <f>courbes!A62</f>
        <v>5</v>
      </c>
      <c r="K63" s="139">
        <f t="shared" ca="1" si="0"/>
        <v>2.5380015918603923E+19</v>
      </c>
      <c r="L63" s="141">
        <f>courbes!J62</f>
        <v>5</v>
      </c>
      <c r="M63" s="139">
        <f t="shared" ca="1" si="1"/>
        <v>2.5278849523607638E+19</v>
      </c>
      <c r="N63" s="139">
        <f>courbes!U62</f>
        <v>5</v>
      </c>
      <c r="O63" s="139">
        <f t="shared" ca="1" si="2"/>
        <v>1.2483949435507675E+19</v>
      </c>
      <c r="Q63" s="139">
        <f t="shared" ca="1" si="3"/>
        <v>0</v>
      </c>
      <c r="R63" s="145"/>
      <c r="S63" s="145"/>
    </row>
    <row r="64" spans="10:19" ht="13.5" thickBot="1">
      <c r="J64" s="138">
        <f>courbes!A63</f>
        <v>5.083333333333333</v>
      </c>
      <c r="K64" s="139">
        <f t="shared" ca="1" si="0"/>
        <v>2.5391853745332408E+19</v>
      </c>
      <c r="L64" s="141">
        <f>courbes!J63</f>
        <v>5.083333333333333</v>
      </c>
      <c r="M64" s="139">
        <f t="shared" ca="1" si="1"/>
        <v>2.5292619075303313E+19</v>
      </c>
      <c r="N64" s="139">
        <f>courbes!U63</f>
        <v>5.083333333333333</v>
      </c>
      <c r="O64" s="139">
        <f t="shared" ca="1" si="2"/>
        <v>1.2391670177039671E+19</v>
      </c>
      <c r="Q64" s="139">
        <f t="shared" ca="1" si="3"/>
        <v>0</v>
      </c>
      <c r="R64" s="145"/>
      <c r="S64" s="145"/>
    </row>
    <row r="65" spans="10:19" ht="13.5" thickBot="1">
      <c r="J65" s="138">
        <f>courbes!A64</f>
        <v>5.166666666666667</v>
      </c>
      <c r="K65" s="139">
        <f t="shared" ca="1" si="0"/>
        <v>2.5400444148693131E+19</v>
      </c>
      <c r="L65" s="141">
        <f>courbes!J64</f>
        <v>5.166666666666667</v>
      </c>
      <c r="M65" s="139">
        <f t="shared" ca="1" si="1"/>
        <v>2.5303166505971208E+19</v>
      </c>
      <c r="N65" s="139">
        <f>courbes!U64</f>
        <v>5.166666666666667</v>
      </c>
      <c r="O65" s="139">
        <f t="shared" ca="1" si="2"/>
        <v>1.2298505604996911E+19</v>
      </c>
      <c r="Q65" s="139">
        <f t="shared" ca="1" si="3"/>
        <v>0</v>
      </c>
      <c r="R65" s="145"/>
      <c r="S65" s="145"/>
    </row>
    <row r="66" spans="10:19" ht="13.5" thickBot="1">
      <c r="J66" s="138">
        <f>courbes!A65</f>
        <v>5.25</v>
      </c>
      <c r="K66" s="139">
        <f t="shared" ca="1" si="0"/>
        <v>2.5405903574789882E+19</v>
      </c>
      <c r="L66" s="141">
        <f>courbes!J65</f>
        <v>5.25</v>
      </c>
      <c r="M66" s="139">
        <f t="shared" ca="1" si="1"/>
        <v>2.5310605615625998E+19</v>
      </c>
      <c r="N66" s="139">
        <f>courbes!U65</f>
        <v>5.25</v>
      </c>
      <c r="O66" s="139">
        <f t="shared" ca="1" si="2"/>
        <v>1.2204521322219454E+19</v>
      </c>
      <c r="Q66" s="139">
        <f t="shared" ca="1" si="3"/>
        <v>0</v>
      </c>
      <c r="R66" s="145"/>
      <c r="S66" s="145"/>
    </row>
    <row r="67" spans="10:19" ht="13.5" thickBot="1">
      <c r="J67" s="138">
        <f>courbes!A66</f>
        <v>5.333333333333333</v>
      </c>
      <c r="K67" s="139">
        <f t="shared" ref="K67:K130" ca="1" si="5">INDIRECT("courbes!"&amp;INDEX($D$3:$H$10,MATCH($B$2,$C$3:$C$10,0),MATCH(K$1,$D$2:$H$2,0))&amp;ROW($J66))</f>
        <v>2.5408345482445705E+19</v>
      </c>
      <c r="L67" s="141">
        <f>courbes!J66</f>
        <v>5.333333333333333</v>
      </c>
      <c r="M67" s="139">
        <f t="shared" ref="M67:M123" ca="1" si="6">INDIRECT("courbes!"&amp;INDEX($D$3:$H$10,MATCH($B$2,$C$3:$C$10,0),MATCH(M$1,$D$2:$H$2,0))&amp;ROW($J66))</f>
        <v>2.5315047311750672E+19</v>
      </c>
      <c r="N67" s="139">
        <f>courbes!U66</f>
        <v>5.333333333333333</v>
      </c>
      <c r="O67" s="139">
        <f t="shared" ref="O67:O130" ca="1" si="7">INDIRECT("courbes!"&amp;INDEX($D$3:$H$10,MATCH($B$2,$C$3:$C$10,0),MATCH(O$1,$D$2:$H$2,0))&amp;ROW($J66))</f>
        <v>1.2109780769067327E+19</v>
      </c>
      <c r="Q67" s="139">
        <f t="shared" ref="Q67:Q130" ca="1" si="8">INDIRECT("courbes!"&amp;INDEX($D$3:$H$10,MATCH($B$2,$C$3:$C$10,0),MATCH(Q$1,$D$2:$H$2,0))&amp;ROW($J66))</f>
        <v>0</v>
      </c>
      <c r="R67" s="145"/>
      <c r="S67" s="145"/>
    </row>
    <row r="68" spans="10:19" ht="13.5" thickBot="1">
      <c r="J68" s="138">
        <f>courbes!A67</f>
        <v>5.416666666666667</v>
      </c>
      <c r="K68" s="139">
        <f t="shared" ca="1" si="5"/>
        <v>2.5407880402556346E+19</v>
      </c>
      <c r="L68" s="141">
        <f>courbes!J67</f>
        <v>5.416666666666667</v>
      </c>
      <c r="M68" s="139">
        <f t="shared" ca="1" si="6"/>
        <v>2.5316599668574077E+19</v>
      </c>
      <c r="N68" s="139">
        <f>courbes!U67</f>
        <v>5.416666666666667</v>
      </c>
      <c r="O68" s="139">
        <f t="shared" ca="1" si="7"/>
        <v>1.2014345281976381E+19</v>
      </c>
      <c r="Q68" s="139">
        <f t="shared" ca="1" si="8"/>
        <v>0</v>
      </c>
      <c r="R68" s="145"/>
      <c r="S68" s="145"/>
    </row>
    <row r="69" spans="10:19" ht="13.5" thickBot="1">
      <c r="J69" s="138">
        <f>courbes!A68</f>
        <v>5.5</v>
      </c>
      <c r="K69" s="139">
        <f t="shared" ca="1" si="5"/>
        <v>2.5404615996639252E+19</v>
      </c>
      <c r="L69" s="141">
        <f>courbes!J68</f>
        <v>5.5</v>
      </c>
      <c r="M69" s="139">
        <f t="shared" ca="1" si="6"/>
        <v>2.5315367986348536E+19</v>
      </c>
      <c r="N69" s="139">
        <f>courbes!U68</f>
        <v>5.5</v>
      </c>
      <c r="O69" s="139">
        <f t="shared" ca="1" si="7"/>
        <v>1.1918274150563705E+19</v>
      </c>
      <c r="Q69" s="139">
        <f t="shared" ca="1" si="8"/>
        <v>0</v>
      </c>
      <c r="R69" s="145"/>
      <c r="S69" s="145"/>
    </row>
    <row r="70" spans="10:19" ht="13.5" thickBot="1">
      <c r="J70" s="138">
        <f>courbes!A69</f>
        <v>5.583333333333333</v>
      </c>
      <c r="K70" s="139">
        <f t="shared" ca="1" si="5"/>
        <v>2.5398657114576597E+19</v>
      </c>
      <c r="L70" s="141">
        <f>courbes!J69</f>
        <v>5.583333333333333</v>
      </c>
      <c r="M70" s="139">
        <f t="shared" ca="1" si="6"/>
        <v>2.5311454850627351E+19</v>
      </c>
      <c r="N70" s="139">
        <f>courbes!U69</f>
        <v>5.583333333333333</v>
      </c>
      <c r="O70" s="139">
        <f t="shared" ca="1" si="7"/>
        <v>1.1821624673316327E+19</v>
      </c>
      <c r="Q70" s="139">
        <f t="shared" ca="1" si="8"/>
        <v>0</v>
      </c>
      <c r="R70" s="145"/>
      <c r="S70" s="145"/>
    </row>
    <row r="71" spans="10:19" ht="13.5" thickBot="1">
      <c r="J71" s="138">
        <f>courbes!A70</f>
        <v>5.666666666666667</v>
      </c>
      <c r="K71" s="139">
        <f t="shared" ca="1" si="5"/>
        <v>2.5390105851551404E+19</v>
      </c>
      <c r="L71" s="141">
        <f>courbes!J70</f>
        <v>5.666666666666667</v>
      </c>
      <c r="M71" s="139">
        <f t="shared" ca="1" si="6"/>
        <v>2.5304960191542432E+19</v>
      </c>
      <c r="N71" s="139">
        <f>courbes!U70</f>
        <v>5.666666666666667</v>
      </c>
      <c r="O71" s="139">
        <f t="shared" ca="1" si="7"/>
        <v>1.1724452211896988E+19</v>
      </c>
      <c r="Q71" s="139">
        <f t="shared" ca="1" si="8"/>
        <v>0</v>
      </c>
      <c r="R71" s="145"/>
      <c r="S71" s="145"/>
    </row>
    <row r="72" spans="10:19" ht="13.5" thickBot="1">
      <c r="J72" s="138">
        <f>courbes!A71</f>
        <v>5.75</v>
      </c>
      <c r="K72" s="139">
        <f t="shared" ca="1" si="5"/>
        <v>2.5379061604176458E+19</v>
      </c>
      <c r="L72" s="141">
        <f>courbes!J71</f>
        <v>5.75</v>
      </c>
      <c r="M72" s="139">
        <f t="shared" ca="1" si="6"/>
        <v>2.5295981343081812E+19</v>
      </c>
      <c r="N72" s="139">
        <f>courbes!U71</f>
        <v>5.75</v>
      </c>
      <c r="O72" s="139">
        <f t="shared" ca="1" si="7"/>
        <v>1.1626810244099473E+19</v>
      </c>
      <c r="Q72" s="139">
        <f t="shared" ca="1" si="8"/>
        <v>0</v>
      </c>
      <c r="R72" s="145"/>
      <c r="S72" s="145"/>
    </row>
    <row r="73" spans="10:19" ht="13.5" thickBot="1">
      <c r="J73" s="138">
        <f>courbes!A72</f>
        <v>5.833333333333333</v>
      </c>
      <c r="K73" s="139">
        <f t="shared" ca="1" si="5"/>
        <v>2.5365621125816345E+19</v>
      </c>
      <c r="L73" s="141">
        <f>courbes!J72</f>
        <v>5.833333333333333</v>
      </c>
      <c r="M73" s="139">
        <f t="shared" ca="1" si="6"/>
        <v>2.5284613102367257E+19</v>
      </c>
      <c r="N73" s="139">
        <f>courbes!U72</f>
        <v>5.833333333333333</v>
      </c>
      <c r="O73" s="139">
        <f t="shared" ca="1" si="7"/>
        <v>1.1528750415485407E+19</v>
      </c>
      <c r="Q73" s="139">
        <f t="shared" ca="1" si="8"/>
        <v>0</v>
      </c>
      <c r="R73" s="145"/>
      <c r="S73" s="145"/>
    </row>
    <row r="74" spans="10:19" ht="13.5" thickBot="1">
      <c r="J74" s="138">
        <f>courbes!A73</f>
        <v>5.916666666666667</v>
      </c>
      <c r="K74" s="139">
        <f t="shared" ca="1" si="5"/>
        <v>2.5349878581103456E+19</v>
      </c>
      <c r="L74" s="141">
        <f>courbes!J73</f>
        <v>5.916666666666667</v>
      </c>
      <c r="M74" s="139">
        <f t="shared" ca="1" si="6"/>
        <v>2.5270947788931817E+19</v>
      </c>
      <c r="N74" s="139">
        <f>courbes!U73</f>
        <v>5.916666666666667</v>
      </c>
      <c r="O74" s="139">
        <f t="shared" ca="1" si="7"/>
        <v>1.1430322589733753E+19</v>
      </c>
      <c r="Q74" s="139">
        <f t="shared" ca="1" si="8"/>
        <v>0</v>
      </c>
      <c r="R74" s="145"/>
      <c r="S74" s="145"/>
    </row>
    <row r="75" spans="10:19" ht="13.5" thickBot="1">
      <c r="J75" s="138">
        <f>courbes!A74</f>
        <v>6</v>
      </c>
      <c r="K75" s="139">
        <f t="shared" ca="1" si="5"/>
        <v>2.5331925599649374E+19</v>
      </c>
      <c r="L75" s="141">
        <f>courbes!J74</f>
        <v>6</v>
      </c>
      <c r="M75" s="139">
        <f t="shared" ca="1" si="6"/>
        <v>2.5255075303997342E+19</v>
      </c>
      <c r="N75" s="139">
        <f>courbes!U74</f>
        <v>6</v>
      </c>
      <c r="O75" s="139">
        <f t="shared" ca="1" si="7"/>
        <v>1.1331574897733448E+19</v>
      </c>
      <c r="Q75" s="139">
        <f t="shared" ca="1" si="8"/>
        <v>0</v>
      </c>
      <c r="R75" s="145"/>
      <c r="S75" s="145"/>
    </row>
    <row r="76" spans="10:19" ht="13.5" thickBot="1">
      <c r="J76" s="138">
        <f>courbes!A75</f>
        <v>6.083333333333333</v>
      </c>
      <c r="K76" s="139">
        <f t="shared" ca="1" si="5"/>
        <v>2.5311851328953573E+19</v>
      </c>
      <c r="L76" s="141">
        <f>courbes!J75</f>
        <v>6.083333333333333</v>
      </c>
      <c r="M76" s="139">
        <f t="shared" ca="1" si="6"/>
        <v>2.5237081184178864E+19</v>
      </c>
      <c r="N76" s="139">
        <f>courbes!U75</f>
        <v>6.083333333333333</v>
      </c>
      <c r="O76" s="139">
        <f t="shared" ca="1" si="7"/>
        <v>1.1232553785448899E+19</v>
      </c>
      <c r="Q76" s="139">
        <f t="shared" ca="1" si="8"/>
        <v>0</v>
      </c>
      <c r="R76" s="145"/>
      <c r="S76" s="145"/>
    </row>
    <row r="77" spans="10:19" ht="13.5" thickBot="1">
      <c r="J77" s="138">
        <f>courbes!A76</f>
        <v>6.166666666666667</v>
      </c>
      <c r="K77" s="139">
        <f t="shared" ca="1" si="5"/>
        <v>2.5289742486511772E+19</v>
      </c>
      <c r="L77" s="141">
        <f>courbes!J76</f>
        <v>6.166666666666667</v>
      </c>
      <c r="M77" s="139">
        <f t="shared" ca="1" si="6"/>
        <v>2.5217051733436129E+19</v>
      </c>
      <c r="N77" s="139">
        <f>courbes!U76</f>
        <v>6.166666666666667</v>
      </c>
      <c r="O77" s="139">
        <f t="shared" ca="1" si="7"/>
        <v>1.1133304060587461E+19</v>
      </c>
      <c r="Q77" s="139">
        <f t="shared" ca="1" si="8"/>
        <v>0</v>
      </c>
      <c r="R77" s="145"/>
      <c r="S77" s="145"/>
    </row>
    <row r="78" spans="10:19" ht="13.5" thickBot="1">
      <c r="J78" s="138">
        <f>courbes!A77</f>
        <v>6.25</v>
      </c>
      <c r="K78" s="139">
        <f t="shared" ca="1" si="5"/>
        <v>2.5265683411126804E+19</v>
      </c>
      <c r="L78" s="141">
        <f>courbes!J77</f>
        <v>6.25</v>
      </c>
      <c r="M78" s="139">
        <f t="shared" ca="1" si="6"/>
        <v>2.5195069630603432E+19</v>
      </c>
      <c r="N78" s="139">
        <f>courbes!U77</f>
        <v>6.25</v>
      </c>
      <c r="O78" s="139">
        <f t="shared" ca="1" si="7"/>
        <v>1.1033868938097353E+19</v>
      </c>
      <c r="Q78" s="139">
        <f t="shared" ca="1" si="8"/>
        <v>0</v>
      </c>
      <c r="R78" s="145"/>
      <c r="S78" s="145"/>
    </row>
    <row r="79" spans="10:19" ht="13.5" thickBot="1">
      <c r="J79" s="138">
        <f>courbes!A78</f>
        <v>6.333333333333333</v>
      </c>
      <c r="K79" s="139">
        <f t="shared" ca="1" si="5"/>
        <v>2.5239756113425281E+19</v>
      </c>
      <c r="L79" s="141">
        <f>courbes!J78</f>
        <v>6.333333333333333</v>
      </c>
      <c r="M79" s="139">
        <f t="shared" ca="1" si="6"/>
        <v>2.5171215297860641E+19</v>
      </c>
      <c r="N79" s="139">
        <f>courbes!U78</f>
        <v>6.333333333333333</v>
      </c>
      <c r="O79" s="139">
        <f t="shared" ca="1" si="7"/>
        <v>1.0934290084523665E+19</v>
      </c>
      <c r="Q79" s="139">
        <f t="shared" ca="1" si="8"/>
        <v>0</v>
      </c>
      <c r="R79" s="145"/>
      <c r="S79" s="145"/>
    </row>
    <row r="80" spans="10:19" ht="13.5" thickBot="1">
      <c r="J80" s="138">
        <f>courbes!A79</f>
        <v>6.416666666666667</v>
      </c>
      <c r="K80" s="139">
        <f t="shared" ca="1" si="5"/>
        <v>2.5212040325583688E+19</v>
      </c>
      <c r="L80" s="141">
        <f>courbes!J79</f>
        <v>6.416666666666667</v>
      </c>
      <c r="M80" s="139">
        <f t="shared" ca="1" si="6"/>
        <v>2.5145566950595908E+19</v>
      </c>
      <c r="N80" s="139">
        <f>courbes!U79</f>
        <v>6.416666666666667</v>
      </c>
      <c r="O80" s="139">
        <f t="shared" ca="1" si="7"/>
        <v>1.0834607661249677E+19</v>
      </c>
      <c r="Q80" s="139">
        <f t="shared" ca="1" si="8"/>
        <v>0</v>
      </c>
      <c r="R80" s="145"/>
      <c r="S80" s="145"/>
    </row>
    <row r="81" spans="10:19" ht="13.5" thickBot="1">
      <c r="J81" s="138">
        <f>courbes!A80</f>
        <v>6.5</v>
      </c>
      <c r="K81" s="139">
        <f t="shared" ca="1" si="5"/>
        <v>2.5182613550267953E+19</v>
      </c>
      <c r="L81" s="141">
        <f>courbes!J80</f>
        <v>6.5</v>
      </c>
      <c r="M81" s="139">
        <f t="shared" ca="1" si="6"/>
        <v>2.5118200647268413E+19</v>
      </c>
      <c r="N81" s="139">
        <f>courbes!U80</f>
        <v>6.5</v>
      </c>
      <c r="O81" s="139">
        <f t="shared" ca="1" si="7"/>
        <v>1.0734860366649954E+19</v>
      </c>
      <c r="Q81" s="139">
        <f t="shared" ca="1" si="8"/>
        <v>0</v>
      </c>
      <c r="R81" s="145"/>
      <c r="S81" s="145"/>
    </row>
    <row r="82" spans="10:19" ht="13.5" thickBot="1">
      <c r="J82" s="138">
        <f>courbes!A81</f>
        <v>6.583333333333333</v>
      </c>
      <c r="K82" s="139">
        <f t="shared" ca="1" si="5"/>
        <v>2.5151551108790915E+19</v>
      </c>
      <c r="L82" s="141">
        <f>courbes!J81</f>
        <v>6.583333333333333</v>
      </c>
      <c r="M82" s="139">
        <f t="shared" ca="1" si="6"/>
        <v>2.5089190339271029E+19</v>
      </c>
      <c r="N82" s="139">
        <f>courbes!U81</f>
        <v>6.583333333333333</v>
      </c>
      <c r="O82" s="139">
        <f t="shared" ca="1" si="7"/>
        <v>1.0635085477181104E+19</v>
      </c>
      <c r="Q82" s="139">
        <f t="shared" ca="1" si="8"/>
        <v>0</v>
      </c>
    </row>
    <row r="83" spans="10:19" ht="13.5" thickBot="1">
      <c r="J83" s="138">
        <f>courbes!A82</f>
        <v>6.666666666666667</v>
      </c>
      <c r="K83" s="139">
        <f t="shared" ca="1" si="5"/>
        <v>2.5118926188492378E+19</v>
      </c>
      <c r="L83" s="141">
        <f>courbes!J82</f>
        <v>6.666666666666667</v>
      </c>
      <c r="M83" s="139">
        <f t="shared" ca="1" si="6"/>
        <v>2.5058607920793072E+19</v>
      </c>
      <c r="N83" s="139">
        <f>courbes!U82</f>
        <v>6.666666666666667</v>
      </c>
      <c r="O83" s="139">
        <f t="shared" ca="1" si="7"/>
        <v>1.0535318887435528E+19</v>
      </c>
      <c r="Q83" s="139">
        <f t="shared" ca="1" si="8"/>
        <v>0</v>
      </c>
    </row>
    <row r="84" spans="10:19" ht="13.5" thickBot="1">
      <c r="J84" s="138">
        <f>courbes!A83</f>
        <v>6.75</v>
      </c>
      <c r="K84" s="139">
        <f t="shared" ca="1" si="5"/>
        <v>2.5084809889346843E+19</v>
      </c>
      <c r="L84" s="141">
        <f>courbes!J83</f>
        <v>6.75</v>
      </c>
      <c r="M84" s="139">
        <f t="shared" ca="1" si="6"/>
        <v>2.5026523278682993E+19</v>
      </c>
      <c r="N84" s="139">
        <f>courbes!U83</f>
        <v>6.75</v>
      </c>
      <c r="O84" s="139">
        <f t="shared" ca="1" si="7"/>
        <v>1.0435595149182833E+19</v>
      </c>
      <c r="Q84" s="139">
        <f t="shared" ca="1" si="8"/>
        <v>0</v>
      </c>
    </row>
    <row r="85" spans="10:19" ht="13.5" thickBot="1">
      <c r="J85" s="138">
        <f>courbes!A84</f>
        <v>6.833333333333333</v>
      </c>
      <c r="K85" s="139">
        <f t="shared" ca="1" si="5"/>
        <v>2.504927126980422E+19</v>
      </c>
      <c r="L85" s="141">
        <f>courbes!J84</f>
        <v>6.833333333333333</v>
      </c>
      <c r="M85" s="139">
        <f t="shared" ca="1" si="6"/>
        <v>2.4993004342311072E+19</v>
      </c>
      <c r="N85" s="139">
        <f>courbes!U84</f>
        <v>6.833333333333333</v>
      </c>
      <c r="O85" s="139">
        <f t="shared" ca="1" si="7"/>
        <v>1.0335947509423067E+19</v>
      </c>
      <c r="Q85" s="139">
        <f t="shared" ca="1" si="8"/>
        <v>0</v>
      </c>
    </row>
    <row r="86" spans="10:19" ht="13.5" thickBot="1">
      <c r="J86" s="138">
        <f>courbes!A85</f>
        <v>6.916666666666667</v>
      </c>
      <c r="K86" s="139">
        <f t="shared" ca="1" si="5"/>
        <v>2.5012377391869145E+19</v>
      </c>
      <c r="L86" s="141">
        <f>courbes!J85</f>
        <v>6.916666666666667</v>
      </c>
      <c r="M86" s="139">
        <f t="shared" ca="1" si="6"/>
        <v>2.4958117133432164E+19</v>
      </c>
      <c r="N86" s="139">
        <f>courbes!U85</f>
        <v>6.916666666666667</v>
      </c>
      <c r="O86" s="139">
        <f t="shared" ca="1" si="7"/>
        <v>1.0236407947475427E+19</v>
      </c>
      <c r="Q86" s="139">
        <f t="shared" ca="1" si="8"/>
        <v>0</v>
      </c>
    </row>
    <row r="87" spans="10:19" ht="13.5" thickBot="1">
      <c r="J87" s="138">
        <f>courbes!A86</f>
        <v>7</v>
      </c>
      <c r="K87" s="139">
        <f t="shared" ca="1" si="5"/>
        <v>2.4974193365424767E+19</v>
      </c>
      <c r="L87" s="141">
        <f>courbes!J86</f>
        <v>7</v>
      </c>
      <c r="M87" s="139">
        <f t="shared" ca="1" si="6"/>
        <v>2.4921925816048378E+19</v>
      </c>
      <c r="N87" s="139">
        <f>courbes!U86</f>
        <v>7</v>
      </c>
      <c r="O87" s="139">
        <f t="shared" ca="1" si="7"/>
        <v>1.0137007211125389E+19</v>
      </c>
      <c r="Q87" s="139">
        <f t="shared" ca="1" si="8"/>
        <v>0</v>
      </c>
    </row>
    <row r="88" spans="10:19" ht="13.5" thickBot="1">
      <c r="J88" s="138">
        <f>courbes!A87</f>
        <v>7.083333333333333</v>
      </c>
      <c r="K88" s="139">
        <f t="shared" ca="1" si="5"/>
        <v>2.4934782391807123E+19</v>
      </c>
      <c r="L88" s="141">
        <f>courbes!J87</f>
        <v>7.083333333333333</v>
      </c>
      <c r="M88" s="139">
        <f t="shared" ca="1" si="6"/>
        <v>2.4884490773279646E+19</v>
      </c>
      <c r="N88" s="139">
        <f>courbes!U87</f>
        <v>7.083333333333333</v>
      </c>
      <c r="O88" s="139">
        <f t="shared" ca="1" si="7"/>
        <v>1.0037774851852859E+19</v>
      </c>
      <c r="Q88" s="139">
        <f t="shared" ca="1" si="8"/>
        <v>0</v>
      </c>
    </row>
    <row r="89" spans="10:19" ht="13.5" thickBot="1">
      <c r="J89" s="138">
        <f>courbes!A88</f>
        <v>7.166666666666667</v>
      </c>
      <c r="K89" s="139">
        <f t="shared" ca="1" si="5"/>
        <v>2.4894205806636413E+19</v>
      </c>
      <c r="L89" s="141">
        <f>courbes!J88</f>
        <v>7.166666666666667</v>
      </c>
      <c r="M89" s="139">
        <f t="shared" ca="1" si="6"/>
        <v>2.4845873662625366E+19</v>
      </c>
      <c r="N89" s="139">
        <f>courbes!U88</f>
        <v>7.166666666666667</v>
      </c>
      <c r="O89" s="139">
        <f t="shared" ca="1" si="7"/>
        <v>9.9387392591632712E+18</v>
      </c>
      <c r="Q89" s="139">
        <f t="shared" ca="1" si="8"/>
        <v>0</v>
      </c>
    </row>
    <row r="90" spans="10:19" ht="13.5" thickBot="1">
      <c r="J90" s="138">
        <f>courbes!A89</f>
        <v>7.25</v>
      </c>
      <c r="K90" s="139">
        <f t="shared" ca="1" si="5"/>
        <v>2.4852523121911722E+19</v>
      </c>
      <c r="L90" s="141">
        <f>courbes!J89</f>
        <v>7.25</v>
      </c>
      <c r="M90" s="139">
        <f t="shared" ca="1" si="6"/>
        <v>2.4806133062407373E+19</v>
      </c>
      <c r="N90" s="139">
        <f>courbes!U89</f>
        <v>7.25</v>
      </c>
      <c r="O90" s="139">
        <f t="shared" ca="1" si="7"/>
        <v>9.8399276940431892E+18</v>
      </c>
      <c r="Q90" s="139">
        <f t="shared" ca="1" si="8"/>
        <v>0</v>
      </c>
    </row>
    <row r="91" spans="10:19" ht="13.5" thickBot="1">
      <c r="J91" s="138">
        <f>courbes!A90</f>
        <v>7.333333333333333</v>
      </c>
      <c r="K91" s="139">
        <f t="shared" ca="1" si="5"/>
        <v>2.4809792067375911E+19</v>
      </c>
      <c r="L91" s="141">
        <f>courbes!J90</f>
        <v>7.333333333333333</v>
      </c>
      <c r="M91" s="139">
        <f t="shared" ca="1" si="6"/>
        <v>2.4765325820404527E+19</v>
      </c>
      <c r="N91" s="139">
        <f>courbes!U90</f>
        <v>7.333333333333333</v>
      </c>
      <c r="O91" s="139">
        <f t="shared" ca="1" si="7"/>
        <v>9.7413663215613501E+18</v>
      </c>
      <c r="Q91" s="139">
        <f t="shared" ca="1" si="8"/>
        <v>0</v>
      </c>
    </row>
    <row r="92" spans="10:19" ht="13.5" thickBot="1">
      <c r="J92" s="138">
        <f>courbes!A91</f>
        <v>7.416666666666667</v>
      </c>
      <c r="K92" s="139">
        <f t="shared" ca="1" si="5"/>
        <v>2.4766068631157588E+19</v>
      </c>
      <c r="L92" s="141">
        <f>courbes!J91</f>
        <v>7.416666666666667</v>
      </c>
      <c r="M92" s="139">
        <f t="shared" ca="1" si="6"/>
        <v>2.4723507094782747E+19</v>
      </c>
      <c r="N92" s="139">
        <f>courbes!U91</f>
        <v>7.416666666666667</v>
      </c>
      <c r="O92" s="139">
        <f t="shared" ca="1" si="7"/>
        <v>9.6430802426356982E+18</v>
      </c>
      <c r="Q92" s="139">
        <f t="shared" ca="1" si="8"/>
        <v>0</v>
      </c>
    </row>
    <row r="93" spans="10:19" ht="13.5" thickBot="1">
      <c r="J93" s="138">
        <f>courbes!A92</f>
        <v>7.5</v>
      </c>
      <c r="K93" s="139">
        <f t="shared" ca="1" si="5"/>
        <v>2.4721407099697209E+19</v>
      </c>
      <c r="L93" s="141">
        <f>courbes!J92</f>
        <v>7.5</v>
      </c>
      <c r="M93" s="139">
        <f t="shared" ca="1" si="6"/>
        <v>2.468073039502506E+19</v>
      </c>
      <c r="N93" s="139">
        <f>courbes!U92</f>
        <v>7.5</v>
      </c>
      <c r="O93" s="139">
        <f t="shared" ca="1" si="7"/>
        <v>9.5450935249864233E+18</v>
      </c>
      <c r="Q93" s="139">
        <f t="shared" ca="1" si="8"/>
        <v>0</v>
      </c>
    </row>
    <row r="94" spans="10:19" ht="13.5" thickBot="1">
      <c r="J94" s="138">
        <f>courbes!A93</f>
        <v>7.583333333333333</v>
      </c>
      <c r="K94" s="139">
        <f t="shared" ca="1" si="5"/>
        <v>2.4675860096964538E+19</v>
      </c>
      <c r="L94" s="141">
        <f>courbes!J93</f>
        <v>7.583333333333333</v>
      </c>
      <c r="M94" s="139">
        <f t="shared" ca="1" si="6"/>
        <v>2.4637047622861672E+19</v>
      </c>
      <c r="N94" s="139">
        <f>courbes!U93</f>
        <v>7.583333333333333</v>
      </c>
      <c r="O94" s="139">
        <f t="shared" ca="1" si="7"/>
        <v>9.4474292332945367E+18</v>
      </c>
      <c r="Q94" s="139">
        <f t="shared" ca="1" si="8"/>
        <v>0</v>
      </c>
    </row>
    <row r="95" spans="10:19" ht="13.5" thickBot="1">
      <c r="J95" s="138">
        <f>courbes!A94</f>
        <v>7.666666666666667</v>
      </c>
      <c r="K95" s="139">
        <f t="shared" ca="1" si="5"/>
        <v>2.4629478622974808E+19</v>
      </c>
      <c r="L95" s="141">
        <f>courbes!J94</f>
        <v>7.666666666666667</v>
      </c>
      <c r="M95" s="139">
        <f t="shared" ca="1" si="6"/>
        <v>2.4592509113199976E+19</v>
      </c>
      <c r="N95" s="139">
        <f>courbes!U94</f>
        <v>7.666666666666667</v>
      </c>
      <c r="O95" s="139">
        <f t="shared" ca="1" si="7"/>
        <v>9.350109458585172E+18</v>
      </c>
      <c r="Q95" s="139">
        <f t="shared" ca="1" si="8"/>
        <v>0</v>
      </c>
    </row>
    <row r="96" spans="10:19" ht="13.5" thickBot="1">
      <c r="J96" s="138">
        <f>courbes!A95</f>
        <v>7.75</v>
      </c>
      <c r="K96" s="139">
        <f t="shared" ca="1" si="5"/>
        <v>2.4582312091611066E+19</v>
      </c>
      <c r="L96" s="141">
        <f>courbes!J95</f>
        <v>7.75</v>
      </c>
      <c r="M96" s="139">
        <f t="shared" ca="1" si="6"/>
        <v>2.4547163675054653E+19</v>
      </c>
      <c r="N96" s="139">
        <f>courbes!U95</f>
        <v>7.75</v>
      </c>
      <c r="O96" s="139">
        <f t="shared" ca="1" si="7"/>
        <v>9.2531553468542771E+18</v>
      </c>
      <c r="Q96" s="139">
        <f t="shared" ca="1" si="8"/>
        <v>0</v>
      </c>
      <c r="R96" s="153"/>
      <c r="S96" s="153"/>
    </row>
    <row r="97" spans="10:19" ht="13.5" thickBot="1">
      <c r="J97" s="138">
        <f>courbes!A96</f>
        <v>7.833333333333333</v>
      </c>
      <c r="K97" s="139">
        <f t="shared" ca="1" si="5"/>
        <v>2.4534408367760273E+19</v>
      </c>
      <c r="L97" s="141">
        <f>courbes!J96</f>
        <v>7.833333333333333</v>
      </c>
      <c r="M97" s="139">
        <f t="shared" ca="1" si="6"/>
        <v>2.4501058632477688E+19</v>
      </c>
      <c r="N97" s="139">
        <f>courbes!U96</f>
        <v>7.833333333333333</v>
      </c>
      <c r="O97" s="139">
        <f t="shared" ca="1" si="7"/>
        <v>9.1565871269568635E+18</v>
      </c>
      <c r="Q97" s="139">
        <f t="shared" ca="1" si="8"/>
        <v>0</v>
      </c>
      <c r="R97" s="153"/>
      <c r="S97" s="153"/>
    </row>
    <row r="98" spans="10:19" ht="13.5" thickBot="1">
      <c r="J98" s="138">
        <f>courbes!A97</f>
        <v>7.916666666666667</v>
      </c>
      <c r="K98" s="139">
        <f t="shared" ca="1" si="5"/>
        <v>2.4485813803770864E+19</v>
      </c>
      <c r="L98" s="141">
        <f>courbes!J97</f>
        <v>7.916666666666667</v>
      </c>
      <c r="M98" s="139">
        <f t="shared" ca="1" si="6"/>
        <v>2.4454239865488421E+19</v>
      </c>
      <c r="N98" s="139">
        <f>courbes!U97</f>
        <v>7.916666666666667</v>
      </c>
      <c r="O98" s="139">
        <f t="shared" ca="1" si="7"/>
        <v>9.0604241377746821E+18</v>
      </c>
      <c r="Q98" s="139">
        <f t="shared" ca="1" si="8"/>
        <v>0</v>
      </c>
      <c r="R98" s="153"/>
      <c r="S98" s="153"/>
    </row>
    <row r="99" spans="10:19" ht="13.5" thickBot="1">
      <c r="J99" s="138">
        <f>courbes!A98</f>
        <v>8</v>
      </c>
      <c r="K99" s="139">
        <f t="shared" ca="1" si="5"/>
        <v>2.4436573275239539E+19</v>
      </c>
      <c r="L99" s="141">
        <f>courbes!J98</f>
        <v>8</v>
      </c>
      <c r="M99" s="139">
        <f t="shared" ca="1" si="6"/>
        <v>2.4406751851003613E+19</v>
      </c>
      <c r="N99" s="139">
        <f>courbes!U98</f>
        <v>8</v>
      </c>
      <c r="O99" s="139">
        <f t="shared" ca="1" si="7"/>
        <v>8.9646848546807706E+18</v>
      </c>
      <c r="Q99" s="139">
        <f t="shared" ca="1" si="8"/>
        <v>0</v>
      </c>
      <c r="R99" s="153"/>
      <c r="S99" s="153"/>
    </row>
    <row r="100" spans="10:19" ht="13.5" thickBot="1">
      <c r="J100" s="138">
        <f>courbes!A99</f>
        <v>8.0833333333333339</v>
      </c>
      <c r="K100" s="139">
        <f t="shared" ca="1" si="5"/>
        <v>2.4386730216135143E+19</v>
      </c>
      <c r="L100" s="141">
        <f>courbes!J99</f>
        <v>8.0833333333333339</v>
      </c>
      <c r="M100" s="139">
        <f t="shared" ca="1" si="6"/>
        <v>2.4358635898320036E+19</v>
      </c>
      <c r="N100" s="139">
        <f>courbes!U99</f>
        <v>8.0833333333333339</v>
      </c>
      <c r="O100" s="139">
        <f t="shared" ca="1" si="7"/>
        <v>8.8693869153178419E+18</v>
      </c>
      <c r="Q100" s="139">
        <f t="shared" ca="1" si="8"/>
        <v>0</v>
      </c>
      <c r="R100" s="153"/>
      <c r="S100" s="153"/>
    </row>
    <row r="101" spans="10:19" ht="13.5" thickBot="1">
      <c r="J101" s="138">
        <f>courbes!A100</f>
        <v>8.1666666666666661</v>
      </c>
      <c r="K101" s="139">
        <f t="shared" ca="1" si="5"/>
        <v>2.4336326653267583E+19</v>
      </c>
      <c r="L101" s="141">
        <f>courbes!J100</f>
        <v>8.1666666666666661</v>
      </c>
      <c r="M101" s="139">
        <f t="shared" ca="1" si="6"/>
        <v>2.4309934778589184E+19</v>
      </c>
      <c r="N101" s="139">
        <f>courbes!U100</f>
        <v>8.1666666666666661</v>
      </c>
      <c r="O101" s="139">
        <f t="shared" ca="1" si="7"/>
        <v>8.7745471447070269E+18</v>
      </c>
      <c r="Q101" s="139">
        <f t="shared" ca="1" si="8"/>
        <v>0</v>
      </c>
      <c r="R101" s="153"/>
      <c r="S101" s="153"/>
    </row>
    <row r="102" spans="10:19" ht="13.5" thickBot="1">
      <c r="J102" s="138">
        <f>courbes!A101</f>
        <v>8.25</v>
      </c>
      <c r="K102" s="139">
        <f t="shared" ca="1" si="5"/>
        <v>2.428540324010972E+19</v>
      </c>
      <c r="L102" s="141">
        <f>courbes!J101</f>
        <v>8.25</v>
      </c>
      <c r="M102" s="139">
        <f t="shared" ca="1" si="6"/>
        <v>2.4260688723264397E+19</v>
      </c>
      <c r="N102" s="139">
        <f>courbes!U101</f>
        <v>8.25</v>
      </c>
      <c r="O102" s="139">
        <f t="shared" ca="1" si="7"/>
        <v>8.6801815797033759E+18</v>
      </c>
      <c r="Q102" s="139">
        <f t="shared" ca="1" si="8"/>
        <v>0</v>
      </c>
      <c r="R102" s="153"/>
      <c r="S102" s="153"/>
    </row>
    <row r="103" spans="10:19" ht="13.5" thickBot="1">
      <c r="J103" s="138">
        <f>courbes!A102</f>
        <v>8.3333333333333339</v>
      </c>
      <c r="K103" s="139">
        <f t="shared" ca="1" si="5"/>
        <v>2.4233999289980363E+19</v>
      </c>
      <c r="L103" s="141">
        <f>courbes!J102</f>
        <v>8.3333333333333339</v>
      </c>
      <c r="M103" s="139">
        <f t="shared" ca="1" si="6"/>
        <v>2.421093665938781E+19</v>
      </c>
      <c r="N103" s="139">
        <f>courbes!U102</f>
        <v>8.3333333333333339</v>
      </c>
      <c r="O103" s="139">
        <f t="shared" ca="1" si="7"/>
        <v>8.5863054928138015E+18</v>
      </c>
      <c r="P103" s="153"/>
      <c r="Q103" s="139">
        <f t="shared" ca="1" si="8"/>
        <v>0</v>
      </c>
      <c r="R103" s="153"/>
      <c r="S103" s="153"/>
    </row>
    <row r="104" spans="10:19" ht="13.5" thickBot="1">
      <c r="J104" s="138">
        <f>courbes!A103</f>
        <v>8.4166666666666661</v>
      </c>
      <c r="K104" s="139">
        <f t="shared" ca="1" si="5"/>
        <v>2.4182152808596365E+19</v>
      </c>
      <c r="L104" s="141">
        <f>courbes!J103</f>
        <v>8.4166666666666661</v>
      </c>
      <c r="M104" s="139">
        <f t="shared" ca="1" si="6"/>
        <v>2.4160716242524951E+19</v>
      </c>
      <c r="N104" s="139">
        <f>courbes!U103</f>
        <v>8.4166666666666661</v>
      </c>
      <c r="O104" s="139">
        <f t="shared" ca="1" si="7"/>
        <v>8.492933415393022E+18</v>
      </c>
      <c r="P104" s="153"/>
      <c r="Q104" s="139">
        <f t="shared" ca="1" si="8"/>
        <v>0</v>
      </c>
      <c r="R104" s="153"/>
      <c r="S104" s="153"/>
    </row>
    <row r="105" spans="10:19" ht="13.5" thickBot="1">
      <c r="J105" s="138">
        <f>courbes!A104</f>
        <v>8.5</v>
      </c>
      <c r="K105" s="139">
        <f t="shared" ca="1" si="5"/>
        <v>2.4129900526002029E+19</v>
      </c>
      <c r="L105" s="141">
        <f>courbes!J104</f>
        <v>8.5</v>
      </c>
      <c r="M105" s="139">
        <f t="shared" ca="1" si="6"/>
        <v>2.4110063889699303E+19</v>
      </c>
      <c r="N105" s="139">
        <f>courbes!U104</f>
        <v>8.5</v>
      </c>
      <c r="O105" s="139">
        <f t="shared" ca="1" si="7"/>
        <v>8.4000791602326098E+18</v>
      </c>
      <c r="P105" s="153"/>
      <c r="Q105" s="139">
        <f t="shared" ca="1" si="8"/>
        <v>0</v>
      </c>
      <c r="R105" s="153"/>
      <c r="S105" s="153"/>
    </row>
    <row r="106" spans="10:19" ht="13.5" thickBot="1">
      <c r="J106" s="138">
        <f>courbes!A105</f>
        <v>8.5833333333333339</v>
      </c>
      <c r="K106" s="139">
        <f t="shared" ca="1" si="5"/>
        <v>2.4077277927883907E+19</v>
      </c>
      <c r="L106" s="141">
        <f>courbes!J105</f>
        <v>8.5833333333333339</v>
      </c>
      <c r="M106" s="139">
        <f t="shared" ca="1" si="6"/>
        <v>2.4059014812326941E+19</v>
      </c>
      <c r="N106" s="139">
        <f>courbes!U105</f>
        <v>8.5833333333333339</v>
      </c>
      <c r="O106" s="139">
        <f t="shared" ca="1" si="7"/>
        <v>8.3077558435578593E+18</v>
      </c>
      <c r="P106" s="153"/>
      <c r="Q106" s="139">
        <f t="shared" ca="1" si="8"/>
        <v>0</v>
      </c>
      <c r="R106" s="153"/>
      <c r="S106" s="153"/>
    </row>
    <row r="107" spans="10:19" ht="13.5" thickBot="1">
      <c r="J107" s="138">
        <f>courbes!A106</f>
        <v>8.6666666666666661</v>
      </c>
      <c r="K107" s="139">
        <f t="shared" ca="1" si="5"/>
        <v>2.4024319286279217E+19</v>
      </c>
      <c r="L107" s="141">
        <f>courbes!J106</f>
        <v>8.6666666666666661</v>
      </c>
      <c r="M107" s="139">
        <f t="shared" ca="1" si="6"/>
        <v>2.4007603049151082E+19</v>
      </c>
      <c r="N107" s="139">
        <f>courbes!U106</f>
        <v>8.6666666666666661</v>
      </c>
      <c r="O107" s="139">
        <f t="shared" ca="1" si="7"/>
        <v>8.2159759064469463E+18</v>
      </c>
      <c r="P107" s="153"/>
      <c r="Q107" s="139">
        <f t="shared" ca="1" si="8"/>
        <v>0</v>
      </c>
      <c r="R107" s="153"/>
      <c r="S107" s="153"/>
    </row>
    <row r="108" spans="10:19" ht="13.5" thickBot="1">
      <c r="J108" s="138">
        <f>courbes!A107</f>
        <v>8.75</v>
      </c>
      <c r="K108" s="139">
        <f t="shared" ca="1" si="5"/>
        <v>2.3971057689686036E+19</v>
      </c>
      <c r="L108" s="141">
        <f>courbes!J107</f>
        <v>8.75</v>
      </c>
      <c r="M108" s="139">
        <f t="shared" ca="1" si="6"/>
        <v>2.3955861499176653E+19</v>
      </c>
      <c r="N108" s="139">
        <f>courbes!U107</f>
        <v>8.75</v>
      </c>
      <c r="O108" s="139">
        <f t="shared" ca="1" si="7"/>
        <v>8.1247511356864614E+18</v>
      </c>
      <c r="P108" s="153"/>
      <c r="Q108" s="139">
        <f t="shared" ca="1" si="8"/>
        <v>0</v>
      </c>
      <c r="R108" s="153"/>
      <c r="S108" s="153"/>
    </row>
    <row r="109" spans="10:19" ht="13.5" thickBot="1">
      <c r="J109" s="138">
        <f>courbes!A108</f>
        <v>8.8333333333333339</v>
      </c>
      <c r="K109" s="139">
        <f t="shared" ca="1" si="5"/>
        <v>2.3917525072583487E+19</v>
      </c>
      <c r="L109" s="141">
        <f>courbes!J108</f>
        <v>8.8333333333333339</v>
      </c>
      <c r="M109" s="139">
        <f t="shared" ca="1" si="6"/>
        <v>2.3903821954604958E+19</v>
      </c>
      <c r="N109" s="139">
        <f>courbes!U108</f>
        <v>8.8333333333333339</v>
      </c>
      <c r="O109" s="139">
        <f t="shared" ca="1" si="7"/>
        <v>8.0340926840770028E+18</v>
      </c>
      <c r="P109" s="153"/>
      <c r="Q109" s="139">
        <f t="shared" ca="1" si="8"/>
        <v>0</v>
      </c>
      <c r="R109" s="153"/>
      <c r="S109" s="153"/>
    </row>
    <row r="110" spans="10:19" ht="13.5" thickBot="1">
      <c r="J110" s="138">
        <f>courbes!A109</f>
        <v>8.9166666666666661</v>
      </c>
      <c r="K110" s="139">
        <f t="shared" ca="1" si="5"/>
        <v>2.3863752244370117E+19</v>
      </c>
      <c r="L110" s="141">
        <f>courbes!J109</f>
        <v>8.9166666666666661</v>
      </c>
      <c r="M110" s="139">
        <f t="shared" ca="1" si="6"/>
        <v>2.3851515133768159E+19</v>
      </c>
      <c r="N110" s="139">
        <f>courbes!U109</f>
        <v>8.9166666666666661</v>
      </c>
      <c r="O110" s="139">
        <f t="shared" ca="1" si="7"/>
        <v>7.9440110902023526E+18</v>
      </c>
      <c r="P110" s="153"/>
      <c r="Q110" s="139">
        <f t="shared" ca="1" si="8"/>
        <v>0</v>
      </c>
      <c r="R110" s="153"/>
      <c r="S110" s="153"/>
    </row>
    <row r="111" spans="10:19" ht="13.5" thickBot="1">
      <c r="J111" s="138">
        <f>courbes!A110</f>
        <v>9</v>
      </c>
      <c r="K111" s="139">
        <f t="shared" ca="1" si="5"/>
        <v>2.3809768917728653E+19</v>
      </c>
      <c r="L111" s="141">
        <f>courbes!J110</f>
        <v>9</v>
      </c>
      <c r="M111" s="139">
        <f t="shared" ca="1" si="6"/>
        <v>2.379897071406395E+19</v>
      </c>
      <c r="N111" s="139">
        <f>courbes!U110</f>
        <v>9</v>
      </c>
      <c r="O111" s="139">
        <f t="shared" ca="1" si="7"/>
        <v>7.8545162976752906E+18</v>
      </c>
      <c r="P111" s="153"/>
      <c r="Q111" s="139">
        <f t="shared" ca="1" si="8"/>
        <v>0</v>
      </c>
      <c r="R111" s="153"/>
      <c r="S111" s="153"/>
    </row>
    <row r="112" spans="10:19" ht="13.5" thickBot="1">
      <c r="J112" s="138">
        <f>courbes!A111</f>
        <v>9.0833333333333339</v>
      </c>
      <c r="K112" s="139">
        <f t="shared" ca="1" si="5"/>
        <v>2.3755603736425333E+19</v>
      </c>
      <c r="L112" s="141">
        <f>courbes!J111</f>
        <v>9.0833333333333339</v>
      </c>
      <c r="M112" s="139">
        <f t="shared" ca="1" si="6"/>
        <v>2.3746215786343199E+19</v>
      </c>
      <c r="N112" s="139">
        <f>courbes!U111</f>
        <v>9.0833333333333339</v>
      </c>
      <c r="O112" s="139">
        <f t="shared" ca="1" si="7"/>
        <v>7.7656176738728622E+18</v>
      </c>
      <c r="P112" s="153"/>
      <c r="Q112" s="139">
        <f t="shared" ca="1" si="8"/>
        <v>0</v>
      </c>
      <c r="R112" s="153"/>
      <c r="S112" s="153"/>
    </row>
    <row r="113" spans="10:19" ht="13.5" thickBot="1">
      <c r="J113" s="138">
        <f>courbes!A112</f>
        <v>9.1666666666666661</v>
      </c>
      <c r="K113" s="139">
        <f t="shared" ca="1" si="5"/>
        <v>2.3701284302551982E+19</v>
      </c>
      <c r="L113" s="141">
        <f>courbes!J112</f>
        <v>9.1666666666666661</v>
      </c>
      <c r="M113" s="139">
        <f t="shared" ca="1" si="6"/>
        <v>2.3693278904525246E+19</v>
      </c>
      <c r="N113" s="139">
        <f>courbes!U112</f>
        <v>9.1666666666666661</v>
      </c>
      <c r="O113" s="139">
        <f t="shared" ca="1" si="7"/>
        <v>7.6773240281736581E+18</v>
      </c>
      <c r="P113" s="153"/>
      <c r="Q113" s="139">
        <f t="shared" ca="1" si="8"/>
        <v>0</v>
      </c>
      <c r="R113" s="153"/>
      <c r="S113" s="153"/>
    </row>
    <row r="114" spans="10:19" ht="13.5" thickBot="1">
      <c r="J114" s="138">
        <f>courbes!A113</f>
        <v>9.25</v>
      </c>
      <c r="K114" s="139">
        <f t="shared" ca="1" si="5"/>
        <v>2.3646837203218985E+19</v>
      </c>
      <c r="L114" s="141">
        <f>courbes!J113</f>
        <v>9.25</v>
      </c>
      <c r="M114" s="139">
        <f t="shared" ca="1" si="6"/>
        <v>2.3640186576478614E+19</v>
      </c>
      <c r="N114" s="139">
        <f>courbes!U113</f>
        <v>9.25</v>
      </c>
      <c r="O114" s="139">
        <f t="shared" ca="1" si="7"/>
        <v>7.5896436297092618E+18</v>
      </c>
      <c r="P114" s="153"/>
      <c r="Q114" s="139">
        <f t="shared" ca="1" si="8"/>
        <v>0</v>
      </c>
      <c r="R114" s="153"/>
      <c r="S114" s="153"/>
    </row>
    <row r="115" spans="10:19" ht="13.5" thickBot="1">
      <c r="J115" s="138">
        <f>courbes!A114</f>
        <v>9.3333333333333339</v>
      </c>
      <c r="K115" s="139">
        <f t="shared" ca="1" si="5"/>
        <v>2.3592288036707279E+19</v>
      </c>
      <c r="L115" s="141">
        <f>courbes!J114</f>
        <v>9.3333333333333339</v>
      </c>
      <c r="M115" s="139">
        <f t="shared" ca="1" si="6"/>
        <v>2.3586964344651661E+19</v>
      </c>
      <c r="N115" s="139">
        <f>courbes!U114</f>
        <v>9.3333333333333339</v>
      </c>
      <c r="O115" s="139">
        <f t="shared" ca="1" si="7"/>
        <v>7.5025842246418391E+18</v>
      </c>
      <c r="P115" s="153"/>
      <c r="Q115" s="139">
        <f t="shared" ca="1" si="8"/>
        <v>0</v>
      </c>
      <c r="R115" s="153"/>
      <c r="S115" s="153"/>
    </row>
    <row r="116" spans="10:19" ht="13.5" thickBot="1">
      <c r="J116" s="138">
        <f>courbes!A115</f>
        <v>9.4166666666666661</v>
      </c>
      <c r="K116" s="139">
        <f t="shared" ca="1" si="5"/>
        <v>2.3537661438087483E+19</v>
      </c>
      <c r="L116" s="141">
        <f>courbes!J115</f>
        <v>9.4166666666666661</v>
      </c>
      <c r="M116" s="139">
        <f t="shared" ca="1" si="6"/>
        <v>2.3533636812121375E+19</v>
      </c>
      <c r="N116" s="139">
        <f>courbes!U115</f>
        <v>9.4166666666666661</v>
      </c>
      <c r="O116" s="139">
        <f t="shared" ca="1" si="7"/>
        <v>7.4161530529795123E+18</v>
      </c>
      <c r="P116" s="153"/>
      <c r="Q116" s="139">
        <f t="shared" ca="1" si="8"/>
        <v>0</v>
      </c>
      <c r="R116" s="153"/>
      <c r="S116" s="153"/>
    </row>
    <row r="117" spans="10:19" ht="13.5" thickBot="1">
      <c r="J117" s="138">
        <f>courbes!A116</f>
        <v>9.5</v>
      </c>
      <c r="K117" s="139">
        <f t="shared" ca="1" si="5"/>
        <v>2.3482981104314225E+19</v>
      </c>
      <c r="L117" s="141">
        <f>courbes!J116</f>
        <v>9.5</v>
      </c>
      <c r="M117" s="139">
        <f t="shared" ca="1" si="6"/>
        <v>2.3480227668642218E+19</v>
      </c>
      <c r="N117" s="139">
        <f>courbes!U116</f>
        <v>9.5</v>
      </c>
      <c r="O117" s="139">
        <f t="shared" ca="1" si="7"/>
        <v>7.3303568649408573E+18</v>
      </c>
      <c r="P117" s="153"/>
      <c r="Q117" s="139">
        <f t="shared" ca="1" si="8"/>
        <v>0</v>
      </c>
      <c r="R117" s="153"/>
      <c r="S117" s="153"/>
    </row>
    <row r="118" spans="10:19" ht="13.5" thickBot="1">
      <c r="J118" s="138">
        <f>courbes!A117</f>
        <v>9.5833333333333339</v>
      </c>
      <c r="K118" s="139">
        <f t="shared" ca="1" si="5"/>
        <v>2.3428269818803659E+19</v>
      </c>
      <c r="L118" s="141">
        <f>courbes!J117</f>
        <v>9.5833333333333339</v>
      </c>
      <c r="M118" s="139">
        <f t="shared" ca="1" si="6"/>
        <v>2.3426759716694897E+19</v>
      </c>
      <c r="N118" s="139">
        <f>courbes!U117</f>
        <v>9.5833333333333339</v>
      </c>
      <c r="O118" s="139">
        <f t="shared" ca="1" si="7"/>
        <v>7.2452019368797338E+18</v>
      </c>
      <c r="P118" s="153"/>
      <c r="Q118" s="139">
        <f t="shared" ca="1" si="8"/>
        <v>0</v>
      </c>
      <c r="R118" s="153"/>
      <c r="S118" s="153"/>
    </row>
    <row r="119" spans="10:19" ht="13.5" thickBot="1">
      <c r="J119" s="138">
        <f>courbes!A118</f>
        <v>9.6666666666666661</v>
      </c>
      <c r="K119" s="139">
        <f t="shared" ca="1" si="5"/>
        <v>2.337354947550224E+19</v>
      </c>
      <c r="L119" s="141">
        <f>courbes!J118</f>
        <v>9.6666666666666661</v>
      </c>
      <c r="M119" s="139">
        <f t="shared" ca="1" si="6"/>
        <v>2.3373254897535222E+19</v>
      </c>
      <c r="N119" s="139">
        <f>courbes!U118</f>
        <v>9.6666666666666661</v>
      </c>
      <c r="O119" s="139">
        <f t="shared" ca="1" si="7"/>
        <v>7.1606940867811932E+18</v>
      </c>
      <c r="P119" s="153"/>
      <c r="Q119" s="139">
        <f t="shared" ca="1" si="8"/>
        <v>0</v>
      </c>
      <c r="R119" s="153"/>
      <c r="S119" s="153"/>
    </row>
    <row r="120" spans="10:19" ht="13.5" thickBot="1">
      <c r="J120" s="138">
        <f>courbes!A119</f>
        <v>9.75</v>
      </c>
      <c r="K120" s="139">
        <f t="shared" ca="1" si="5"/>
        <v>2.3318841102454632E+19</v>
      </c>
      <c r="L120" s="141">
        <f>courbes!J119</f>
        <v>9.75</v>
      </c>
      <c r="M120" s="139">
        <f t="shared" ca="1" si="6"/>
        <v>2.3319734317242884E+19</v>
      </c>
      <c r="N120" s="139">
        <f>courbes!U119</f>
        <v>9.75</v>
      </c>
      <c r="O120" s="139">
        <f t="shared" ca="1" si="7"/>
        <v>7.0768386893391012E+18</v>
      </c>
      <c r="P120" s="153"/>
      <c r="Q120" s="139">
        <f t="shared" ca="1" si="8"/>
        <v>0</v>
      </c>
      <c r="R120" s="153"/>
      <c r="S120" s="153"/>
    </row>
    <row r="121" spans="10:19" ht="13.5" thickBot="1">
      <c r="J121" s="138">
        <f>courbes!A120</f>
        <v>9.8333333333333339</v>
      </c>
      <c r="K121" s="139">
        <f t="shared" ca="1" si="5"/>
        <v>2.3264164884878664E+19</v>
      </c>
      <c r="L121" s="141">
        <f>courbes!J120</f>
        <v>9.8333333333333339</v>
      </c>
      <c r="M121" s="139">
        <f t="shared" ca="1" si="6"/>
        <v>2.3266218272770273E+19</v>
      </c>
      <c r="N121" s="139">
        <f>courbes!U120</f>
        <v>9.8333333333333339</v>
      </c>
      <c r="O121" s="139">
        <f t="shared" ca="1" si="7"/>
        <v>6.9936406906258309E+18</v>
      </c>
      <c r="P121" s="153"/>
      <c r="Q121" s="139">
        <f t="shared" ca="1" si="8"/>
        <v>0</v>
      </c>
      <c r="R121" s="153"/>
      <c r="S121" s="153"/>
    </row>
    <row r="122" spans="10:19" ht="13.5" thickBot="1">
      <c r="J122" s="138">
        <f>courbes!A121</f>
        <v>9.9166666666666661</v>
      </c>
      <c r="K122" s="139">
        <f t="shared" ca="1" si="5"/>
        <v>2.3209540187755209E+19</v>
      </c>
      <c r="L122" s="141">
        <f>courbes!J121</f>
        <v>9.9166666666666661</v>
      </c>
      <c r="M122" s="139">
        <f t="shared" ca="1" si="6"/>
        <v>2.3212726277991305E+19</v>
      </c>
      <c r="N122" s="139">
        <f>courbes!U121</f>
        <v>9.9166666666666661</v>
      </c>
      <c r="O122" s="139">
        <f t="shared" ca="1" si="7"/>
        <v>6.9111046223641426E+18</v>
      </c>
      <c r="P122" s="153"/>
      <c r="Q122" s="139">
        <f t="shared" ca="1" si="8"/>
        <v>0</v>
      </c>
      <c r="R122" s="153"/>
      <c r="S122" s="153"/>
    </row>
    <row r="123" spans="10:19" ht="13.5" thickBot="1">
      <c r="J123" s="138">
        <f>courbes!A122</f>
        <v>10</v>
      </c>
      <c r="K123" s="139">
        <f t="shared" ca="1" si="5"/>
        <v>2.315498557794075E+19</v>
      </c>
      <c r="L123" s="141">
        <f>courbes!J122</f>
        <v>10</v>
      </c>
      <c r="M123" s="139">
        <f t="shared" ca="1" si="6"/>
        <v>2.3159277089750217E+19</v>
      </c>
      <c r="N123" s="139">
        <f>courbes!U122</f>
        <v>10</v>
      </c>
      <c r="O123" s="139">
        <f t="shared" ca="1" si="7"/>
        <v>6.8292346158110372E+18</v>
      </c>
      <c r="P123" s="153"/>
      <c r="Q123" s="139">
        <f t="shared" ca="1" si="8"/>
        <v>0</v>
      </c>
      <c r="R123" s="153"/>
      <c r="S123" s="153"/>
    </row>
    <row r="124" spans="10:19" ht="13.5" thickBot="1">
      <c r="J124" s="138">
        <f>courbes!A123</f>
        <v>10.083333333333334</v>
      </c>
      <c r="K124" s="139">
        <f t="shared" ca="1" si="5"/>
        <v>2.3100518845810385E+19</v>
      </c>
      <c r="L124" s="149"/>
      <c r="M124" s="150"/>
      <c r="N124" s="139">
        <f>courbes!U123</f>
        <v>10.083333333333334</v>
      </c>
      <c r="O124" s="139">
        <f t="shared" ca="1" si="7"/>
        <v>6.7480344152633344E+18</v>
      </c>
      <c r="P124" s="153"/>
      <c r="Q124" s="139">
        <f t="shared" ca="1" si="8"/>
        <v>0</v>
      </c>
      <c r="R124" s="153"/>
      <c r="S124" s="153"/>
    </row>
    <row r="125" spans="10:19" ht="13.5" thickBot="1">
      <c r="J125" s="138">
        <f>courbes!A124</f>
        <v>10.166666666666666</v>
      </c>
      <c r="K125" s="139">
        <f t="shared" ca="1" si="5"/>
        <v>2.3046157026438935E+19</v>
      </c>
      <c r="L125" s="149"/>
      <c r="M125" s="150"/>
      <c r="N125" s="139">
        <f>courbes!U124</f>
        <v>10.166666666666666</v>
      </c>
      <c r="O125" s="139">
        <f t="shared" ca="1" si="7"/>
        <v>6.6675073911942339E+18</v>
      </c>
      <c r="P125" s="153"/>
      <c r="Q125" s="139">
        <f t="shared" ca="1" si="8"/>
        <v>0</v>
      </c>
      <c r="R125" s="153"/>
      <c r="S125" s="153"/>
    </row>
    <row r="126" spans="10:19" ht="13.5" thickBot="1">
      <c r="J126" s="138">
        <f>courbes!A125</f>
        <v>10.25</v>
      </c>
      <c r="K126" s="139">
        <f t="shared" ca="1" si="5"/>
        <v>2.2991916420327793E+19</v>
      </c>
      <c r="L126" s="149"/>
      <c r="M126" s="150"/>
      <c r="N126" s="139">
        <f>courbes!U125</f>
        <v>10.25</v>
      </c>
      <c r="O126" s="139">
        <f t="shared" ca="1" si="7"/>
        <v>6.5876565530302188E+18</v>
      </c>
      <c r="P126" s="153"/>
      <c r="Q126" s="139">
        <f t="shared" ca="1" si="8"/>
        <v>0</v>
      </c>
      <c r="R126" s="153"/>
      <c r="S126" s="153"/>
    </row>
    <row r="127" spans="10:19" ht="13.5" thickBot="1">
      <c r="J127" s="138">
        <f>courbes!A126</f>
        <v>10.333333333333334</v>
      </c>
      <c r="K127" s="139">
        <f t="shared" ca="1" si="5"/>
        <v>2.2937812613685064E+19</v>
      </c>
      <c r="L127" s="149"/>
      <c r="M127" s="150"/>
      <c r="N127" s="139">
        <f>courbes!U126</f>
        <v>10.333333333333334</v>
      </c>
      <c r="O127" s="139">
        <f t="shared" ca="1" si="7"/>
        <v>6.5084845615770634E+18</v>
      </c>
      <c r="P127" s="153"/>
      <c r="Q127" s="139">
        <f t="shared" ca="1" si="8"/>
        <v>0</v>
      </c>
      <c r="R127" s="153"/>
      <c r="S127" s="153"/>
    </row>
    <row r="128" spans="10:19" ht="13.5" thickBot="1">
      <c r="J128" s="138">
        <f>courbes!A127</f>
        <v>10.416666666666666</v>
      </c>
      <c r="K128" s="139">
        <f t="shared" ca="1" si="5"/>
        <v>2.2883860498266456E+19</v>
      </c>
      <c r="L128" s="149"/>
      <c r="M128" s="150"/>
      <c r="N128" s="139">
        <f>courbes!U127</f>
        <v>10.416666666666666</v>
      </c>
      <c r="O128" s="139">
        <f t="shared" ca="1" si="7"/>
        <v>6.4299937411039068E+18</v>
      </c>
      <c r="P128" s="153"/>
      <c r="Q128" s="139">
        <f t="shared" ca="1" si="8"/>
        <v>0</v>
      </c>
      <c r="R128" s="153"/>
      <c r="S128" s="153"/>
    </row>
    <row r="129" spans="10:19" ht="13.5" thickBot="1">
      <c r="J129" s="138">
        <f>courbes!A128</f>
        <v>10.5</v>
      </c>
      <c r="K129" s="139">
        <f t="shared" ca="1" si="5"/>
        <v>2.2830074290784399E+19</v>
      </c>
      <c r="L129" s="149"/>
      <c r="M129" s="150"/>
      <c r="N129" s="139">
        <f>courbes!U128</f>
        <v>10.5</v>
      </c>
      <c r="O129" s="139">
        <f t="shared" ca="1" si="7"/>
        <v>6.3521860910937334E+18</v>
      </c>
      <c r="P129" s="153"/>
      <c r="Q129" s="139">
        <f t="shared" ca="1" si="8"/>
        <v>0</v>
      </c>
      <c r="R129" s="153"/>
      <c r="S129" s="153"/>
    </row>
    <row r="130" spans="10:19" ht="13.5" thickBot="1">
      <c r="J130" s="138">
        <f>courbes!A129</f>
        <v>10.583333333333334</v>
      </c>
      <c r="K130" s="139">
        <f t="shared" ca="1" si="5"/>
        <v>2.2776467551892693E+19</v>
      </c>
      <c r="L130" s="149"/>
      <c r="M130" s="150"/>
      <c r="N130" s="139">
        <f>courbes!U129</f>
        <v>10.583333333333334</v>
      </c>
      <c r="O130" s="139">
        <f t="shared" ca="1" si="7"/>
        <v>6.2750632976687892E+18</v>
      </c>
      <c r="P130" s="153"/>
      <c r="Q130" s="139">
        <f t="shared" ca="1" si="8"/>
        <v>0</v>
      </c>
      <c r="R130" s="153"/>
      <c r="S130" s="153"/>
    </row>
    <row r="131" spans="10:19" ht="13.5" thickBot="1">
      <c r="J131" s="138">
        <f>courbes!A130</f>
        <v>10.666666666666666</v>
      </c>
      <c r="K131" s="139">
        <f t="shared" ref="K131:K137" ca="1" si="9">INDIRECT("courbes!"&amp;INDEX($D$3:$H$10,MATCH($B$2,$C$3:$C$10,0),MATCH(K$1,$D$2:$H$2,0))&amp;ROW($J130))</f>
        <v>2.2723053204753994E+19</v>
      </c>
      <c r="L131" s="149"/>
      <c r="M131" s="150"/>
      <c r="N131" s="139">
        <f>courbes!U130</f>
        <v>10.666666666666666</v>
      </c>
      <c r="O131" s="139">
        <f t="shared" ref="O131:O137" ca="1" si="10">INDIRECT("courbes!"&amp;INDEX($D$3:$H$10,MATCH($B$2,$C$3:$C$10,0),MATCH(O$1,$D$2:$H$2,0))&amp;ROW($J130))</f>
        <v>6.1986267446989373E+18</v>
      </c>
      <c r="P131" s="153"/>
      <c r="Q131" s="139">
        <f t="shared" ref="Q131:Q137" ca="1" si="11">INDIRECT("courbes!"&amp;INDEX($D$3:$H$10,MATCH($B$2,$C$3:$C$10,0),MATCH(Q$1,$D$2:$H$2,0))&amp;ROW($J130))</f>
        <v>0</v>
      </c>
      <c r="R131" s="153"/>
      <c r="S131" s="153"/>
    </row>
    <row r="132" spans="10:19" ht="13.5" thickBot="1">
      <c r="J132" s="138">
        <f>courbes!A131</f>
        <v>10.75</v>
      </c>
      <c r="K132" s="139">
        <f t="shared" ca="1" si="9"/>
        <v>2.2669843553197351E+19</v>
      </c>
      <c r="L132" s="149"/>
      <c r="M132" s="150"/>
      <c r="N132" s="139">
        <f>courbes!U131</f>
        <v>10.75</v>
      </c>
      <c r="O132" s="139">
        <f t="shared" ca="1" si="10"/>
        <v>6.1228775246009846E+18</v>
      </c>
      <c r="P132" s="153"/>
      <c r="Q132" s="139">
        <f t="shared" ca="1" si="11"/>
        <v>0</v>
      </c>
      <c r="R132" s="153"/>
      <c r="S132" s="153"/>
    </row>
    <row r="133" spans="10:19" ht="13.5" thickBot="1">
      <c r="J133" s="138">
        <f>courbes!A132</f>
        <v>10.833333333333334</v>
      </c>
      <c r="K133" s="139">
        <f t="shared" ca="1" si="9"/>
        <v>2.2616850299472904E+19</v>
      </c>
      <c r="L133" s="149"/>
      <c r="M133" s="150"/>
      <c r="N133" s="139">
        <f>courbes!U132</f>
        <v>10.833333333333334</v>
      </c>
      <c r="O133" s="139">
        <f t="shared" ca="1" si="10"/>
        <v>6.0478164488367288E+18</v>
      </c>
      <c r="P133" s="153"/>
      <c r="Q133" s="139">
        <f t="shared" ca="1" si="11"/>
        <v>0</v>
      </c>
      <c r="R133" s="153"/>
      <c r="S133" s="153"/>
    </row>
    <row r="134" spans="10:19" ht="13.5" thickBot="1">
      <c r="J134" s="138">
        <f>courbes!A133</f>
        <v>10.916666666666666</v>
      </c>
      <c r="K134" s="139">
        <f t="shared" ca="1" si="9"/>
        <v>2.256408456161085E+19</v>
      </c>
      <c r="L134" s="149"/>
      <c r="M134" s="150"/>
      <c r="N134" s="139">
        <f>courbes!U133</f>
        <v>10.916666666666666</v>
      </c>
      <c r="O134" s="139">
        <f t="shared" ca="1" si="10"/>
        <v>5.9734440581172705E+18</v>
      </c>
      <c r="Q134" s="139">
        <f t="shared" ca="1" si="11"/>
        <v>0</v>
      </c>
    </row>
    <row r="135" spans="10:19" ht="13.5" thickBot="1">
      <c r="J135" s="138">
        <f>courbes!A134</f>
        <v>11</v>
      </c>
      <c r="K135" s="139">
        <f t="shared" ca="1" si="9"/>
        <v>2.2511556890391618E+19</v>
      </c>
      <c r="L135" s="149"/>
      <c r="M135" s="150"/>
      <c r="N135" s="139">
        <f>courbes!U134</f>
        <v>11</v>
      </c>
      <c r="O135" s="139">
        <f t="shared" ca="1" si="10"/>
        <v>5.8997606323210301E+18</v>
      </c>
      <c r="Q135" s="139">
        <f t="shared" ca="1" si="11"/>
        <v>0</v>
      </c>
    </row>
    <row r="136" spans="10:19" ht="13.5" thickBot="1">
      <c r="J136" s="138">
        <f>courbes!A135</f>
        <v>11.083333333333334</v>
      </c>
      <c r="K136" s="139">
        <f t="shared" ca="1" si="9"/>
        <v>2.2459277285934182E+19</v>
      </c>
      <c r="L136" s="149"/>
      <c r="M136" s="150"/>
      <c r="N136" s="139">
        <f>courbes!U135</f>
        <v>11.083333333333334</v>
      </c>
      <c r="O136" s="139">
        <f t="shared" ca="1" si="10"/>
        <v>5.8267662001326664E+18</v>
      </c>
      <c r="Q136" s="139">
        <f t="shared" ca="1" si="11"/>
        <v>0</v>
      </c>
    </row>
    <row r="137" spans="10:19">
      <c r="J137" s="138">
        <f>courbes!A136</f>
        <v>11.166666666666666</v>
      </c>
      <c r="K137" s="139">
        <f t="shared" ca="1" si="9"/>
        <v>2.2407255213909369E+19</v>
      </c>
      <c r="L137" s="149"/>
      <c r="M137" s="150"/>
      <c r="N137" s="139">
        <f>courbes!U136</f>
        <v>11.166666666666666</v>
      </c>
      <c r="O137" s="139">
        <f t="shared" ca="1" si="10"/>
        <v>5.7544605484099574E+18</v>
      </c>
      <c r="Q137" s="139">
        <f t="shared" ca="1" si="11"/>
        <v>0</v>
      </c>
    </row>
    <row r="178" spans="10:19">
      <c r="J178" s="145"/>
      <c r="K178" s="145"/>
      <c r="L178" s="145"/>
      <c r="M178" s="145"/>
      <c r="N178" s="149"/>
      <c r="O178" s="145"/>
      <c r="P178" s="145"/>
      <c r="Q178" s="145"/>
      <c r="R178" s="145"/>
      <c r="S178" s="145"/>
    </row>
    <row r="179" spans="10:19">
      <c r="J179" s="145"/>
      <c r="K179" s="145"/>
      <c r="L179" s="145"/>
      <c r="M179" s="145"/>
      <c r="N179" s="149"/>
      <c r="O179" s="145"/>
      <c r="P179" s="145"/>
      <c r="Q179" s="145"/>
      <c r="R179" s="145"/>
      <c r="S179" s="145"/>
    </row>
    <row r="180" spans="10:19">
      <c r="J180" s="145"/>
      <c r="K180" s="145"/>
      <c r="L180" s="145"/>
      <c r="M180" s="145"/>
      <c r="N180" s="149"/>
      <c r="O180" s="145"/>
      <c r="P180" s="145"/>
      <c r="Q180" s="145"/>
      <c r="R180" s="145"/>
      <c r="S180" s="145"/>
    </row>
    <row r="181" spans="10:19">
      <c r="J181" s="145"/>
      <c r="K181" s="145"/>
      <c r="L181" s="145"/>
      <c r="M181" s="145"/>
      <c r="N181" s="149"/>
      <c r="O181" s="145"/>
      <c r="P181" s="145"/>
      <c r="Q181" s="145"/>
      <c r="R181" s="145"/>
      <c r="S181" s="145"/>
    </row>
    <row r="182" spans="10:19">
      <c r="J182" s="145"/>
      <c r="K182" s="145"/>
      <c r="L182" s="145"/>
      <c r="M182" s="145"/>
      <c r="N182" s="149"/>
      <c r="O182" s="145"/>
      <c r="P182" s="145"/>
      <c r="Q182" s="145"/>
      <c r="R182" s="145"/>
      <c r="S182" s="145"/>
    </row>
    <row r="183" spans="10:19">
      <c r="J183" s="145"/>
      <c r="K183" s="145"/>
      <c r="L183" s="145"/>
      <c r="M183" s="145"/>
      <c r="N183" s="149"/>
      <c r="O183" s="145"/>
      <c r="P183" s="145"/>
      <c r="Q183" s="145"/>
      <c r="R183" s="145"/>
      <c r="S183" s="145"/>
    </row>
    <row r="184" spans="10:19">
      <c r="J184" s="145"/>
      <c r="K184" s="145"/>
      <c r="L184" s="145"/>
      <c r="M184" s="145"/>
      <c r="N184" s="149"/>
      <c r="O184" s="145"/>
      <c r="P184" s="145"/>
      <c r="Q184" s="145"/>
      <c r="R184" s="145"/>
      <c r="S184" s="145"/>
    </row>
    <row r="185" spans="10:19">
      <c r="J185" s="145"/>
      <c r="K185" s="145"/>
      <c r="L185" s="145"/>
      <c r="M185" s="145"/>
      <c r="N185" s="149"/>
      <c r="O185" s="145"/>
      <c r="P185" s="145"/>
      <c r="Q185" s="145"/>
      <c r="R185" s="145"/>
      <c r="S185" s="14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12" sqref="B12"/>
    </sheetView>
  </sheetViews>
  <sheetFormatPr baseColWidth="10" defaultColWidth="17.875" defaultRowHeight="12.75"/>
  <cols>
    <col min="1" max="1" width="5.25" style="145" bestFit="1" customWidth="1"/>
    <col min="2" max="2" width="33.75" style="137" bestFit="1" customWidth="1"/>
    <col min="3" max="4" width="9.125" style="137" customWidth="1"/>
    <col min="5" max="5" width="20.125" style="137" customWidth="1"/>
    <col min="6" max="8" width="9.125" style="145" customWidth="1"/>
    <col min="9" max="9" width="2.5" style="145" customWidth="1"/>
    <col min="10" max="10" width="11" style="146" customWidth="1"/>
    <col min="11" max="11" width="10.625" style="146" bestFit="1" customWidth="1"/>
    <col min="12" max="12" width="9.125" style="153" bestFit="1" customWidth="1"/>
    <col min="13" max="13" width="9.75" style="146" bestFit="1" customWidth="1"/>
    <col min="14" max="14" width="9.125" style="146" bestFit="1" customWidth="1"/>
    <col min="15" max="15" width="16.625" style="146" bestFit="1" customWidth="1"/>
    <col min="16" max="16" width="9.25" style="146" bestFit="1" customWidth="1"/>
    <col min="17" max="17" width="11.75" style="146" bestFit="1" customWidth="1"/>
    <col min="18" max="18" width="9.25" style="146" bestFit="1" customWidth="1"/>
    <col min="19" max="19" width="10.375" style="146" bestFit="1" customWidth="1"/>
    <col min="20" max="16384" width="17.875" style="145"/>
  </cols>
  <sheetData>
    <row r="1" spans="1:19" ht="13.5" thickBot="1">
      <c r="K1" s="146" t="s">
        <v>40</v>
      </c>
      <c r="M1" s="137" t="s">
        <v>258</v>
      </c>
      <c r="O1" s="145" t="s">
        <v>168</v>
      </c>
      <c r="Q1" s="145" t="s">
        <v>259</v>
      </c>
      <c r="S1" s="145" t="s">
        <v>260</v>
      </c>
    </row>
    <row r="2" spans="1:19" ht="24.75" thickBot="1">
      <c r="A2" s="145" t="s">
        <v>257</v>
      </c>
      <c r="B2" s="143" t="s">
        <v>9</v>
      </c>
      <c r="D2" s="137" t="s">
        <v>40</v>
      </c>
      <c r="E2" s="137" t="s">
        <v>258</v>
      </c>
      <c r="F2" s="145" t="s">
        <v>168</v>
      </c>
      <c r="G2" s="145" t="s">
        <v>259</v>
      </c>
      <c r="H2" s="145" t="s">
        <v>260</v>
      </c>
      <c r="J2" s="138" t="str">
        <f>courbes!A1</f>
        <v>t(y)</v>
      </c>
      <c r="K2" s="139" t="str">
        <f ca="1">INDIRECT("courbes!"&amp;INDEX($D$3:$H$10,MATCH($B$2,$C$3:$C$10,0),MATCH(K$1,$D$2:$H$2,0))&amp;ROW($J1))</f>
        <v>RK1 - Pu239</v>
      </c>
      <c r="L2" s="141" t="str">
        <f>courbes!J1</f>
        <v>t(y)</v>
      </c>
      <c r="M2" s="139" t="str">
        <f ca="1">INDIRECT("courbes!"&amp;INDEX($D$3:$H$10,MATCH($B$2,$C$3:$C$10,0),MATCH(M$1,$D$2:$H$2,0))&amp;ROW($J1))</f>
        <v>O5 - Pu239</v>
      </c>
      <c r="N2" s="139" t="str">
        <f>courbes!U1</f>
        <v>t(y)</v>
      </c>
      <c r="O2" s="139" t="str">
        <f ca="1">INDIRECT("courbes!"&amp;INDEX($D$3:$H$10,MATCH($B$2,$C$3:$C$10,0),MATCH(O$1,$D$2:$H$2,0))&amp;ROW($J1))</f>
        <v>Exact Simpl. - Pu239</v>
      </c>
      <c r="P2" s="138" t="str">
        <f>courbes!AE1</f>
        <v>t(y)</v>
      </c>
      <c r="Q2" s="139" t="str">
        <f ca="1">INDIRECT("courbes!"&amp;INDEX($D$3:$H$10,MATCH($B$2,$C$3:$C$10,0),MATCH(Q$1,$D$2:$H$2,0))&amp;ROW($J1))</f>
        <v>DRAGON - Pu239</v>
      </c>
      <c r="R2" s="138" t="str">
        <f>courbes!AO1</f>
        <v>t(y)</v>
      </c>
      <c r="S2" s="139" t="str">
        <f ca="1">INDIRECT("courbes!"&amp;INDEX($D$3:$H$10,MATCH($B$2,$C$3:$C$10,0),MATCH(S$1,$D$2:$H$2,0))&amp;ROW($J1))</f>
        <v xml:space="preserve">VESTA - Pu239 </v>
      </c>
    </row>
    <row r="3" spans="1:19" ht="13.5" thickBot="1">
      <c r="C3" s="143" t="s">
        <v>7</v>
      </c>
      <c r="D3" s="137" t="s">
        <v>261</v>
      </c>
      <c r="E3" s="137" t="s">
        <v>192</v>
      </c>
      <c r="F3" s="145" t="s">
        <v>128</v>
      </c>
      <c r="G3" s="145" t="s">
        <v>262</v>
      </c>
      <c r="H3" s="145" t="s">
        <v>263</v>
      </c>
      <c r="J3" s="138" t="e">
        <f>courbes!A2</f>
        <v>#NAME?</v>
      </c>
      <c r="K3" s="139">
        <f t="shared" ref="K3:K66" ca="1" si="0">INDIRECT("courbes!"&amp;INDEX($D$3:$H$10,MATCH($B$2,$C$3:$C$10,0),MATCH(K$1,$D$2:$H$2,0))&amp;ROW($J2))</f>
        <v>2.1782E+21</v>
      </c>
      <c r="L3" s="141">
        <f>courbes!J2</f>
        <v>0</v>
      </c>
      <c r="M3" s="139">
        <f t="shared" ref="M3:M66" ca="1" si="1">INDIRECT("courbes!"&amp;INDEX($D$3:$H$10,MATCH($B$2,$C$3:$C$10,0),MATCH(M$1,$D$2:$H$2,0))&amp;ROW($J2))</f>
        <v>2.1782E+21</v>
      </c>
      <c r="N3" s="139">
        <f>courbes!U2</f>
        <v>0</v>
      </c>
      <c r="O3" s="139">
        <f t="shared" ref="O3:O66" ca="1" si="2">INDIRECT("courbes!"&amp;INDEX($D$3:$H$10,MATCH($B$2,$C$3:$C$10,0),MATCH(O$1,$D$2:$H$2,0))&amp;ROW($J2))</f>
        <v>2.1782E+21</v>
      </c>
      <c r="P3" s="138">
        <f>courbes!AE2</f>
        <v>0</v>
      </c>
      <c r="Q3" s="139">
        <f t="shared" ref="Q3:Q66" ca="1" si="3">INDIRECT("courbes!"&amp;INDEX($D$3:$H$10,MATCH($B$2,$C$3:$C$10,0),MATCH(Q$1,$D$2:$H$2,0))&amp;ROW($J2))</f>
        <v>2.1782E+21</v>
      </c>
      <c r="R3" s="138">
        <f>courbes!AO2</f>
        <v>0</v>
      </c>
      <c r="S3" s="139">
        <f t="shared" ref="S3:S9" ca="1" si="4">INDIRECT("courbes!"&amp;INDEX($D$3:$H$10,MATCH($B$2,$C$3:$C$10,0),MATCH(S$1,$D$2:$H$2,0))&amp;ROW($J2))</f>
        <v>2.1782E+21</v>
      </c>
    </row>
    <row r="4" spans="1:19" ht="13.5" thickBot="1">
      <c r="C4" s="143" t="s">
        <v>9</v>
      </c>
      <c r="D4" s="137" t="s">
        <v>264</v>
      </c>
      <c r="E4" s="137" t="s">
        <v>265</v>
      </c>
      <c r="F4" s="145" t="s">
        <v>266</v>
      </c>
      <c r="G4" s="145" t="s">
        <v>268</v>
      </c>
      <c r="H4" s="145" t="s">
        <v>269</v>
      </c>
      <c r="J4" s="138">
        <f>courbes!A3</f>
        <v>8.3333333333333329E-2</v>
      </c>
      <c r="K4" s="139">
        <f t="shared" ca="1" si="0"/>
        <v>2.1746804294197565E+21</v>
      </c>
      <c r="L4" s="141">
        <f>courbes!J3</f>
        <v>8.3333333333333329E-2</v>
      </c>
      <c r="M4" s="139">
        <f t="shared" ca="1" si="1"/>
        <v>2.1746598337089951E+21</v>
      </c>
      <c r="N4" s="139">
        <f>courbes!U3</f>
        <v>8.3333333333333329E-2</v>
      </c>
      <c r="O4" s="139">
        <f t="shared" ca="1" si="2"/>
        <v>2.1746594988127137E+21</v>
      </c>
      <c r="P4" s="138">
        <f>courbes!AE3</f>
        <v>0.2</v>
      </c>
      <c r="Q4" s="139">
        <f t="shared" ca="1" si="3"/>
        <v>2.1667000000000004E+21</v>
      </c>
      <c r="R4" s="138">
        <f>courbes!AO3</f>
        <v>0.13689999999999999</v>
      </c>
      <c r="S4" s="139">
        <f t="shared" ca="1" si="4"/>
        <v>2.1686844320889595E+21</v>
      </c>
    </row>
    <row r="5" spans="1:19" ht="13.5" thickBot="1">
      <c r="C5" s="143" t="s">
        <v>10</v>
      </c>
      <c r="D5" s="137" t="s">
        <v>270</v>
      </c>
      <c r="E5" s="137" t="s">
        <v>276</v>
      </c>
      <c r="F5" s="145" t="s">
        <v>129</v>
      </c>
      <c r="G5" s="145" t="s">
        <v>287</v>
      </c>
      <c r="H5" s="145" t="s">
        <v>267</v>
      </c>
      <c r="J5" s="138">
        <f>courbes!A4</f>
        <v>0.16666666666666666</v>
      </c>
      <c r="K5" s="139">
        <f t="shared" ca="1" si="0"/>
        <v>2.1711193080469499E+21</v>
      </c>
      <c r="L5" s="141">
        <f>courbes!J4</f>
        <v>0.16666666666666666</v>
      </c>
      <c r="M5" s="139">
        <f t="shared" ca="1" si="1"/>
        <v>2.1710791878641288E+21</v>
      </c>
      <c r="N5" s="139">
        <f>courbes!U4</f>
        <v>0.16666666666666666</v>
      </c>
      <c r="O5" s="139">
        <f t="shared" ca="1" si="2"/>
        <v>2.1710769531702089E+21</v>
      </c>
      <c r="P5" s="138">
        <f>courbes!AE4</f>
        <v>0.4</v>
      </c>
      <c r="Q5" s="139">
        <f t="shared" ca="1" si="3"/>
        <v>2.1588000000000003E+21</v>
      </c>
      <c r="R5" s="138">
        <f>courbes!AO4</f>
        <v>0.41070000000000001</v>
      </c>
      <c r="S5" s="139">
        <f t="shared" ca="1" si="4"/>
        <v>2.1574387609213665E+21</v>
      </c>
    </row>
    <row r="6" spans="1:19" ht="13.5" thickBot="1">
      <c r="C6" s="143" t="s">
        <v>11</v>
      </c>
      <c r="D6" s="137" t="s">
        <v>271</v>
      </c>
      <c r="E6" s="137" t="s">
        <v>277</v>
      </c>
      <c r="F6" s="145" t="s">
        <v>282</v>
      </c>
      <c r="G6" s="145" t="s">
        <v>288</v>
      </c>
      <c r="H6" s="145" t="s">
        <v>293</v>
      </c>
      <c r="J6" s="138">
        <f>courbes!A5</f>
        <v>0.25</v>
      </c>
      <c r="K6" s="139">
        <f t="shared" ca="1" si="0"/>
        <v>2.167517719189603E+21</v>
      </c>
      <c r="L6" s="141">
        <f>courbes!J5</f>
        <v>0.25</v>
      </c>
      <c r="M6" s="139">
        <f t="shared" ca="1" si="1"/>
        <v>2.1674591149753316E+21</v>
      </c>
      <c r="N6" s="139">
        <f>courbes!U5</f>
        <v>0.25</v>
      </c>
      <c r="O6" s="139">
        <f t="shared" ca="1" si="2"/>
        <v>2.1674534724010474E+21</v>
      </c>
      <c r="P6" s="138">
        <f>courbes!AE5</f>
        <v>0.6</v>
      </c>
      <c r="Q6" s="139">
        <f t="shared" ca="1" si="3"/>
        <v>2.1508E+21</v>
      </c>
      <c r="R6" s="138">
        <f>courbes!AO5</f>
        <v>0.99929999999999997</v>
      </c>
      <c r="S6" s="139">
        <f t="shared" ca="1" si="4"/>
        <v>2.1323522637013506E+21</v>
      </c>
    </row>
    <row r="7" spans="1:19" ht="13.5" thickBot="1">
      <c r="C7" s="143" t="s">
        <v>13</v>
      </c>
      <c r="D7" s="137" t="s">
        <v>272</v>
      </c>
      <c r="E7" s="137" t="s">
        <v>278</v>
      </c>
      <c r="F7" s="145" t="s">
        <v>283</v>
      </c>
      <c r="G7" s="145" t="s">
        <v>289</v>
      </c>
      <c r="H7" s="145" t="s">
        <v>294</v>
      </c>
      <c r="J7" s="138">
        <f>courbes!A6</f>
        <v>0.33333333333333331</v>
      </c>
      <c r="K7" s="139">
        <f t="shared" ca="1" si="0"/>
        <v>2.1638767252979618E+21</v>
      </c>
      <c r="L7" s="141">
        <f>courbes!J6</f>
        <v>0.33333333333333331</v>
      </c>
      <c r="M7" s="139">
        <f t="shared" ca="1" si="1"/>
        <v>2.1638006474764777E+21</v>
      </c>
      <c r="N7" s="139">
        <f>courbes!U6</f>
        <v>0.33333333333333331</v>
      </c>
      <c r="O7" s="139">
        <f t="shared" ca="1" si="2"/>
        <v>2.1637901444719205E+21</v>
      </c>
      <c r="P7" s="138">
        <f>courbes!AE6</f>
        <v>0.8</v>
      </c>
      <c r="Q7" s="139">
        <f t="shared" ca="1" si="3"/>
        <v>2.1424999999999999E+21</v>
      </c>
      <c r="R7" s="138">
        <f>courbes!AO6</f>
        <v>1.9990000000000001</v>
      </c>
      <c r="S7" s="139">
        <f t="shared" ca="1" si="4"/>
        <v>2.0882346306592535E+21</v>
      </c>
    </row>
    <row r="8" spans="1:19" ht="13.5" thickBot="1">
      <c r="C8" s="143" t="s">
        <v>14</v>
      </c>
      <c r="D8" s="137" t="s">
        <v>273</v>
      </c>
      <c r="E8" s="137" t="s">
        <v>279</v>
      </c>
      <c r="F8" s="145" t="s">
        <v>284</v>
      </c>
      <c r="G8" s="145" t="s">
        <v>290</v>
      </c>
      <c r="H8" s="145" t="s">
        <v>295</v>
      </c>
      <c r="J8" s="138">
        <f>courbes!A7</f>
        <v>0.41666666666666669</v>
      </c>
      <c r="K8" s="139">
        <f t="shared" ca="1" si="0"/>
        <v>2.1601973683553546E+21</v>
      </c>
      <c r="L8" s="141">
        <f>courbes!J7</f>
        <v>0.41666666666666669</v>
      </c>
      <c r="M8" s="139">
        <f t="shared" ca="1" si="1"/>
        <v>2.160104798116242E+21</v>
      </c>
      <c r="N8" s="139">
        <f>courbes!U7</f>
        <v>0.41666666666666669</v>
      </c>
      <c r="O8" s="139">
        <f t="shared" ca="1" si="2"/>
        <v>2.1600880363712251E+21</v>
      </c>
      <c r="P8" s="138">
        <f>courbes!AE7</f>
        <v>1</v>
      </c>
      <c r="Q8" s="139">
        <f t="shared" ca="1" si="3"/>
        <v>2.134E+21</v>
      </c>
      <c r="R8" s="138">
        <f>courbes!AO7</f>
        <v>4.9989999999999997</v>
      </c>
      <c r="S8" s="139">
        <f t="shared" ca="1" si="4"/>
        <v>1.9446360603653696E+21</v>
      </c>
    </row>
    <row r="9" spans="1:19" ht="13.5" thickBot="1">
      <c r="C9" s="143" t="s">
        <v>15</v>
      </c>
      <c r="D9" s="137" t="s">
        <v>274</v>
      </c>
      <c r="E9" s="137" t="s">
        <v>280</v>
      </c>
      <c r="F9" s="145" t="s">
        <v>285</v>
      </c>
      <c r="G9" s="145" t="s">
        <v>291</v>
      </c>
      <c r="H9" s="145" t="s">
        <v>297</v>
      </c>
      <c r="J9" s="138">
        <f>courbes!A8</f>
        <v>0.5</v>
      </c>
      <c r="K9" s="139">
        <f t="shared" ca="1" si="0"/>
        <v>2.156480670261362E+21</v>
      </c>
      <c r="L9" s="141">
        <f>courbes!J8</f>
        <v>0.5</v>
      </c>
      <c r="M9" s="139">
        <f t="shared" ca="1" si="1"/>
        <v>2.1563725603489603E+21</v>
      </c>
      <c r="N9" s="139">
        <f>courbes!U8</f>
        <v>0.5</v>
      </c>
      <c r="O9" s="139">
        <f t="shared" ca="1" si="2"/>
        <v>2.1563481944860902E+21</v>
      </c>
      <c r="P9" s="138">
        <f>courbes!AE8</f>
        <v>1.2</v>
      </c>
      <c r="Q9" s="139">
        <f t="shared" ca="1" si="3"/>
        <v>2.1253000000000004E+21</v>
      </c>
      <c r="R9" s="138">
        <f>courbes!AO8</f>
        <v>9.9990000000000006</v>
      </c>
      <c r="S9" s="139">
        <f t="shared" ca="1" si="4"/>
        <v>1.705016759332804E+21</v>
      </c>
    </row>
    <row r="10" spans="1:19" ht="13.5" thickBot="1">
      <c r="A10" s="145" t="s">
        <v>253</v>
      </c>
      <c r="B10" s="161" t="str">
        <f>"Comparaison des modèles pour le "&amp;B2</f>
        <v>Comparaison des modèles pour le Pu239</v>
      </c>
      <c r="C10" s="143" t="s">
        <v>16</v>
      </c>
      <c r="D10" s="137" t="s">
        <v>275</v>
      </c>
      <c r="E10" s="137" t="s">
        <v>281</v>
      </c>
      <c r="F10" s="145" t="s">
        <v>286</v>
      </c>
      <c r="G10" s="145" t="s">
        <v>292</v>
      </c>
      <c r="H10" s="145" t="s">
        <v>296</v>
      </c>
      <c r="J10" s="138">
        <f>courbes!A9</f>
        <v>0.58333333333333337</v>
      </c>
      <c r="K10" s="139">
        <f t="shared" ca="1" si="0"/>
        <v>2.1527276332074646E+21</v>
      </c>
      <c r="L10" s="141">
        <f>courbes!J9</f>
        <v>0.58333333333333337</v>
      </c>
      <c r="M10" s="139">
        <f t="shared" ca="1" si="1"/>
        <v>2.1526049087254873E+21</v>
      </c>
      <c r="N10" s="139">
        <f>courbes!U9</f>
        <v>0.58333333333333337</v>
      </c>
      <c r="O10" s="139">
        <f t="shared" ca="1" si="2"/>
        <v>2.1525716449729619E+21</v>
      </c>
      <c r="P10" s="138">
        <f>courbes!AE9</f>
        <v>1.4</v>
      </c>
      <c r="Q10" s="139">
        <f t="shared" ca="1" si="3"/>
        <v>2.1164000000000003E+21</v>
      </c>
      <c r="S10" s="144"/>
    </row>
    <row r="11" spans="1:19" ht="13.5" thickBot="1">
      <c r="A11" s="145" t="s">
        <v>254</v>
      </c>
      <c r="B11" s="161" t="s">
        <v>256</v>
      </c>
      <c r="C11" s="161"/>
      <c r="D11" s="161"/>
      <c r="E11" s="161"/>
      <c r="J11" s="138">
        <f>courbes!A10</f>
        <v>0.66666666666666663</v>
      </c>
      <c r="K11" s="139">
        <f t="shared" ca="1" si="0"/>
        <v>2.1489392400453363E+21</v>
      </c>
      <c r="L11" s="141">
        <f>courbes!J10</f>
        <v>0.66666666666666663</v>
      </c>
      <c r="M11" s="139">
        <f t="shared" ca="1" si="1"/>
        <v>2.1488027992840575E+21</v>
      </c>
      <c r="N11" s="139">
        <f>courbes!U10</f>
        <v>0.66666666666666663</v>
      </c>
      <c r="O11" s="139">
        <f t="shared" ca="1" si="2"/>
        <v>2.1487593941218519E+21</v>
      </c>
      <c r="P11" s="138">
        <f>courbes!AE10</f>
        <v>1.6</v>
      </c>
      <c r="Q11" s="139">
        <f t="shared" ca="1" si="3"/>
        <v>2.1073000000000001E+21</v>
      </c>
    </row>
    <row r="12" spans="1:19" ht="18" thickBot="1">
      <c r="A12" s="145" t="s">
        <v>255</v>
      </c>
      <c r="B12" s="169" t="s">
        <v>299</v>
      </c>
      <c r="C12" s="161"/>
      <c r="D12" s="161"/>
      <c r="E12" s="161"/>
      <c r="J12" s="138">
        <f>courbes!A11</f>
        <v>0.75</v>
      </c>
      <c r="K12" s="139">
        <f t="shared" ca="1" si="0"/>
        <v>2.1451164546479418E+21</v>
      </c>
      <c r="L12" s="141">
        <f>courbes!J11</f>
        <v>0.75</v>
      </c>
      <c r="M12" s="139">
        <f t="shared" ca="1" si="1"/>
        <v>2.1449671699411454E+21</v>
      </c>
      <c r="N12" s="139">
        <f>courbes!U11</f>
        <v>0.75</v>
      </c>
      <c r="O12" s="139">
        <f t="shared" ca="1" si="2"/>
        <v>2.1449124287143451E+21</v>
      </c>
      <c r="P12" s="138">
        <f>courbes!AE11</f>
        <v>1.8</v>
      </c>
      <c r="Q12" s="139">
        <f t="shared" ca="1" si="3"/>
        <v>2.0981000000000001E+21</v>
      </c>
    </row>
    <row r="13" spans="1:19" ht="13.5" thickBot="1">
      <c r="J13" s="138">
        <f>courbes!A12</f>
        <v>0.83333333333333337</v>
      </c>
      <c r="K13" s="139">
        <f t="shared" ca="1" si="0"/>
        <v>2.1412602222635951E+21</v>
      </c>
      <c r="L13" s="141">
        <f>courbes!J12</f>
        <v>0.83333333333333337</v>
      </c>
      <c r="M13" s="139">
        <f t="shared" ca="1" si="1"/>
        <v>2.1410989408823232E+21</v>
      </c>
      <c r="N13" s="139">
        <f>courbes!U12</f>
        <v>0.83333333333333337</v>
      </c>
      <c r="O13" s="139">
        <f t="shared" ca="1" si="2"/>
        <v>2.1410317163754716E+21</v>
      </c>
      <c r="P13" s="138">
        <f>courbes!AE12</f>
        <v>2</v>
      </c>
      <c r="Q13" s="139">
        <f t="shared" ca="1" si="3"/>
        <v>2.0887000000000004E+21</v>
      </c>
    </row>
    <row r="14" spans="1:19" ht="13.5" thickBot="1">
      <c r="J14" s="138">
        <f>courbes!A13</f>
        <v>0.91666666666666663</v>
      </c>
      <c r="K14" s="139">
        <f t="shared" ca="1" si="0"/>
        <v>2.1373714698631315E+21</v>
      </c>
      <c r="L14" s="141">
        <f>courbes!J13</f>
        <v>0.91666666666666663</v>
      </c>
      <c r="M14" s="139">
        <f t="shared" ca="1" si="1"/>
        <v>2.1371990149531194E+21</v>
      </c>
      <c r="N14" s="139">
        <f>courbes!U13</f>
        <v>0.91666666666666663</v>
      </c>
      <c r="O14" s="139">
        <f t="shared" ca="1" si="2"/>
        <v>2.1371182059195403E+21</v>
      </c>
      <c r="P14" s="138">
        <f>courbes!AE13</f>
        <v>2.2000000000000002</v>
      </c>
      <c r="Q14" s="139">
        <f t="shared" ca="1" si="3"/>
        <v>2.0790999999999999E+21</v>
      </c>
    </row>
    <row r="15" spans="1:19" ht="13.5" thickBot="1">
      <c r="J15" s="138">
        <f>courbes!A14</f>
        <v>1</v>
      </c>
      <c r="K15" s="139">
        <f t="shared" ca="1" si="0"/>
        <v>2.1334511064803437E+21</v>
      </c>
      <c r="L15" s="141">
        <f>courbes!J14</f>
        <v>1</v>
      </c>
      <c r="M15" s="139">
        <f t="shared" ca="1" si="1"/>
        <v>2.1332682780498812E+21</v>
      </c>
      <c r="N15" s="139">
        <f>courbes!U14</f>
        <v>1</v>
      </c>
      <c r="O15" s="139">
        <f t="shared" ca="1" si="2"/>
        <v>2.1331728276900298E+21</v>
      </c>
      <c r="P15" s="138">
        <f>courbes!AE14</f>
        <v>2.4</v>
      </c>
      <c r="Q15" s="139">
        <f t="shared" ca="1" si="3"/>
        <v>2.0694E+21</v>
      </c>
    </row>
    <row r="16" spans="1:19" ht="13.5" thickBot="1">
      <c r="J16" s="138">
        <f>courbes!A15</f>
        <v>1.0833333333333333</v>
      </c>
      <c r="K16" s="139">
        <f t="shared" ca="1" si="0"/>
        <v>2.1295000235458243E+21</v>
      </c>
      <c r="L16" s="141">
        <f>courbes!J15</f>
        <v>1.0833333333333333</v>
      </c>
      <c r="M16" s="139">
        <f t="shared" ca="1" si="1"/>
        <v>2.129307580049966E+21</v>
      </c>
      <c r="N16" s="139">
        <f>courbes!U15</f>
        <v>1.0833333333333333</v>
      </c>
      <c r="O16" s="139">
        <f t="shared" ca="1" si="2"/>
        <v>2.1291964938936344E+21</v>
      </c>
      <c r="P16" s="138">
        <f>courbes!AE15</f>
        <v>2.6</v>
      </c>
      <c r="Q16" s="139">
        <f t="shared" ca="1" si="3"/>
        <v>2.0595000000000001E+21</v>
      </c>
    </row>
    <row r="17" spans="10:19" ht="13.5" thickBot="1">
      <c r="J17" s="138">
        <f>courbes!A16</f>
        <v>1.1666666666666667</v>
      </c>
      <c r="K17" s="139">
        <f t="shared" ca="1" si="0"/>
        <v>2.1255190952143581E+21</v>
      </c>
      <c r="L17" s="141">
        <f>courbes!J16</f>
        <v>1.1666666666666667</v>
      </c>
      <c r="M17" s="139">
        <f t="shared" ca="1" si="1"/>
        <v>2.1253177848968239E+21</v>
      </c>
      <c r="N17" s="139">
        <f>courbes!U16</f>
        <v>1.1666666666666667</v>
      </c>
      <c r="O17" s="139">
        <f t="shared" ca="1" si="2"/>
        <v>2.1251900989285576E+21</v>
      </c>
      <c r="P17" s="138">
        <f>courbes!AE16</f>
        <v>2.8</v>
      </c>
      <c r="Q17" s="139">
        <f t="shared" ca="1" si="3"/>
        <v>2.0495000000000001E+21</v>
      </c>
    </row>
    <row r="18" spans="10:19" ht="13.5" thickBot="1">
      <c r="J18" s="138">
        <f>courbes!A17</f>
        <v>1.25</v>
      </c>
      <c r="K18" s="139">
        <f t="shared" ca="1" si="0"/>
        <v>2.1215091786860022E+21</v>
      </c>
      <c r="L18" s="141">
        <f>courbes!J17</f>
        <v>1.25</v>
      </c>
      <c r="M18" s="139">
        <f t="shared" ca="1" si="1"/>
        <v>2.1212997270427148E+21</v>
      </c>
      <c r="N18" s="139">
        <f>courbes!U17</f>
        <v>1.25</v>
      </c>
      <c r="O18" s="139">
        <f t="shared" ca="1" si="2"/>
        <v>2.1211545197071497E+21</v>
      </c>
      <c r="P18" s="138">
        <f>courbes!AE17</f>
        <v>3</v>
      </c>
      <c r="Q18" s="139">
        <f t="shared" ca="1" si="3"/>
        <v>2.0394E+21</v>
      </c>
      <c r="R18" s="145"/>
      <c r="S18" s="145"/>
    </row>
    <row r="19" spans="10:19" ht="13.5" thickBot="1">
      <c r="J19" s="138">
        <f>courbes!A18</f>
        <v>1.3333333333333333</v>
      </c>
      <c r="K19" s="139">
        <f t="shared" ca="1" si="0"/>
        <v>2.1174711145209861E+21</v>
      </c>
      <c r="L19" s="141">
        <f>courbes!J18</f>
        <v>1.3333333333333333</v>
      </c>
      <c r="M19" s="139">
        <f t="shared" ca="1" si="1"/>
        <v>2.117254224883242E+21</v>
      </c>
      <c r="N19" s="139">
        <f>courbes!U18</f>
        <v>1.3333333333333333</v>
      </c>
      <c r="O19" s="139">
        <f t="shared" ca="1" si="2"/>
        <v>2.1170906159729727E+21</v>
      </c>
      <c r="P19" s="138">
        <f>courbes!AE18</f>
        <v>3.2</v>
      </c>
      <c r="Q19" s="139">
        <f t="shared" ca="1" si="3"/>
        <v>2.0290999999999999E+21</v>
      </c>
      <c r="R19" s="145"/>
      <c r="S19" s="145"/>
    </row>
    <row r="20" spans="10:19" ht="13.5" thickBot="1">
      <c r="J20" s="138">
        <f>courbes!A19</f>
        <v>1.4166666666666667</v>
      </c>
      <c r="K20" s="139">
        <f t="shared" ca="1" si="0"/>
        <v>2.1134057269485673E+21</v>
      </c>
      <c r="L20" s="141">
        <f>courbes!J19</f>
        <v>1.4166666666666667</v>
      </c>
      <c r="M20" s="139">
        <f t="shared" ca="1" si="1"/>
        <v>2.113182081066967E+21</v>
      </c>
      <c r="N20" s="139">
        <f>courbes!U19</f>
        <v>1.4166666666666667</v>
      </c>
      <c r="O20" s="139">
        <f t="shared" ca="1" si="2"/>
        <v>2.1129992306123987E+21</v>
      </c>
      <c r="P20" s="138">
        <f>courbes!AE19</f>
        <v>3.4</v>
      </c>
      <c r="Q20" s="139">
        <f t="shared" ca="1" si="3"/>
        <v>2.0188E+21</v>
      </c>
      <c r="R20" s="145"/>
      <c r="S20" s="145"/>
    </row>
    <row r="21" spans="10:19" ht="13.5" thickBot="1">
      <c r="J21" s="138">
        <f>courbes!A20</f>
        <v>1.5</v>
      </c>
      <c r="K21" s="139">
        <f t="shared" ca="1" si="0"/>
        <v>2.1093138241699654E+21</v>
      </c>
      <c r="L21" s="141">
        <f>courbes!J20</f>
        <v>1.5</v>
      </c>
      <c r="M21" s="139">
        <f t="shared" ca="1" si="1"/>
        <v>2.1090840828050284E+21</v>
      </c>
      <c r="N21" s="139">
        <f>courbes!U20</f>
        <v>1.5</v>
      </c>
      <c r="O21" s="139">
        <f t="shared" ca="1" si="2"/>
        <v>2.1088811899608092E+21</v>
      </c>
      <c r="P21" s="138">
        <f>courbes!AE20</f>
        <v>3.6</v>
      </c>
      <c r="Q21" s="139">
        <f t="shared" ca="1" si="3"/>
        <v>2.0083000000000004E+21</v>
      </c>
      <c r="R21" s="145"/>
      <c r="S21" s="145"/>
    </row>
    <row r="22" spans="10:19" ht="13.5" thickBot="1">
      <c r="J22" s="138">
        <f>courbes!A21</f>
        <v>1.5833333333333333</v>
      </c>
      <c r="K22" s="139">
        <f t="shared" ca="1" si="0"/>
        <v>2.1051961986555039E+21</v>
      </c>
      <c r="L22" s="141">
        <f>courbes!J21</f>
        <v>1.5833333333333333</v>
      </c>
      <c r="M22" s="139">
        <f t="shared" ca="1" si="1"/>
        <v>2.1049610021807587E+21</v>
      </c>
      <c r="N22" s="139">
        <f>courbes!U21</f>
        <v>1.5833333333333333</v>
      </c>
      <c r="O22" s="139">
        <f t="shared" ca="1" si="2"/>
        <v>2.1047373041035059E+21</v>
      </c>
      <c r="P22" s="138">
        <f>courbes!AE21</f>
        <v>3.8</v>
      </c>
      <c r="Q22" s="139">
        <f t="shared" ca="1" si="3"/>
        <v>1.9976999999999999E+21</v>
      </c>
      <c r="R22" s="145"/>
      <c r="S22" s="145"/>
    </row>
    <row r="23" spans="10:19" ht="13.5" thickBot="1">
      <c r="J23" s="138">
        <f>courbes!A22</f>
        <v>1.6666666666666667</v>
      </c>
      <c r="K23" s="139">
        <f t="shared" ca="1" si="0"/>
        <v>2.1010536274360787E+21</v>
      </c>
      <c r="L23" s="141">
        <f>courbes!J22</f>
        <v>1.6666666666666667</v>
      </c>
      <c r="M23" s="139">
        <f t="shared" ca="1" si="1"/>
        <v>2.1008135964593003E+21</v>
      </c>
      <c r="N23" s="139">
        <f>courbes!U22</f>
        <v>1.6666666666666667</v>
      </c>
      <c r="O23" s="139">
        <f t="shared" ca="1" si="2"/>
        <v>2.1005683671713983E+21</v>
      </c>
      <c r="P23" s="138">
        <f>courbes!AE22</f>
        <v>4</v>
      </c>
      <c r="Q23" s="139">
        <f t="shared" ca="1" si="3"/>
        <v>1.987E+21</v>
      </c>
      <c r="R23" s="145"/>
      <c r="S23" s="145"/>
    </row>
    <row r="24" spans="10:19" ht="13.5" thickBot="1">
      <c r="J24" s="138">
        <f>courbes!A23</f>
        <v>1.75</v>
      </c>
      <c r="K24" s="139">
        <f t="shared" ca="1" si="0"/>
        <v>2.0968868723890735E+21</v>
      </c>
      <c r="L24" s="141">
        <f>courbes!J23</f>
        <v>1.75</v>
      </c>
      <c r="M24" s="139">
        <f t="shared" ca="1" si="1"/>
        <v>2.0966426083972235E+21</v>
      </c>
      <c r="N24" s="139">
        <f>courbes!U23</f>
        <v>1.75</v>
      </c>
      <c r="O24" s="139">
        <f t="shared" ca="1" si="2"/>
        <v>2.0963751576315715E+21</v>
      </c>
      <c r="P24" s="138">
        <f>courbes!AE23</f>
        <v>4.2</v>
      </c>
      <c r="Q24" s="139">
        <f t="shared" ca="1" si="3"/>
        <v>1.9762E+21</v>
      </c>
      <c r="R24" s="145"/>
      <c r="S24" s="145"/>
    </row>
    <row r="25" spans="10:19" ht="13.5" thickBot="1">
      <c r="J25" s="138">
        <f>courbes!A24</f>
        <v>1.8333333333333333</v>
      </c>
      <c r="K25" s="139">
        <f t="shared" ca="1" si="0"/>
        <v>2.0926966805188371E+21</v>
      </c>
      <c r="L25" s="141">
        <f>courbes!J24</f>
        <v>1.8333333333333333</v>
      </c>
      <c r="M25" s="139">
        <f t="shared" ca="1" si="1"/>
        <v>2.0924487665521428E+21</v>
      </c>
      <c r="N25" s="139">
        <f>courbes!U24</f>
        <v>1.8333333333333333</v>
      </c>
      <c r="O25" s="139">
        <f t="shared" ca="1" si="2"/>
        <v>2.0921584385728019E+21</v>
      </c>
      <c r="P25" s="138">
        <f>courbes!AE24</f>
        <v>4.4000000000000004</v>
      </c>
      <c r="Q25" s="139">
        <f t="shared" ca="1" si="3"/>
        <v>1.9653000000000001E+21</v>
      </c>
      <c r="R25" s="145"/>
      <c r="S25" s="145"/>
    </row>
    <row r="26" spans="10:19" ht="13.5" thickBot="1">
      <c r="J26" s="138">
        <f>courbes!A25</f>
        <v>1.9166666666666667</v>
      </c>
      <c r="K26" s="139">
        <f t="shared" ca="1" si="0"/>
        <v>2.0884837842318375E+21</v>
      </c>
      <c r="L26" s="141">
        <f>courbes!J25</f>
        <v>1.9166666666666667</v>
      </c>
      <c r="M26" s="139">
        <f t="shared" ca="1" si="1"/>
        <v>2.0882327855923336E+21</v>
      </c>
      <c r="N26" s="139">
        <f>courbes!U25</f>
        <v>1.9166666666666667</v>
      </c>
      <c r="O26" s="139">
        <f t="shared" ca="1" si="2"/>
        <v>2.0879189579861181E+21</v>
      </c>
      <c r="P26" s="138">
        <f>courbes!AE25</f>
        <v>4.5999999999999996</v>
      </c>
      <c r="Q26" s="139">
        <f t="shared" ca="1" si="3"/>
        <v>1.9542999999999999E+21</v>
      </c>
      <c r="R26" s="145"/>
      <c r="S26" s="145"/>
    </row>
    <row r="27" spans="10:19" ht="13.5" thickBot="1">
      <c r="J27" s="138">
        <f>courbes!A26</f>
        <v>2</v>
      </c>
      <c r="K27" s="139">
        <f t="shared" ca="1" si="0"/>
        <v>2.0842489016066019E+21</v>
      </c>
      <c r="L27" s="141">
        <f>courbes!J26</f>
        <v>2</v>
      </c>
      <c r="M27" s="139">
        <f t="shared" ca="1" si="1"/>
        <v>2.0839953666063511E+21</v>
      </c>
      <c r="N27" s="139">
        <f>courbes!U26</f>
        <v>2</v>
      </c>
      <c r="O27" s="139">
        <f t="shared" ca="1" si="2"/>
        <v>2.0836574490404764E+21</v>
      </c>
      <c r="P27" s="138">
        <f>courbes!AE26</f>
        <v>4.8</v>
      </c>
      <c r="Q27" s="139">
        <f t="shared" ca="1" si="3"/>
        <v>1.9432E+21</v>
      </c>
      <c r="R27" s="145"/>
      <c r="S27" s="145"/>
    </row>
    <row r="28" spans="10:19" ht="13.5" thickBot="1">
      <c r="J28" s="138">
        <f>courbes!A27</f>
        <v>2.0833333333333335</v>
      </c>
      <c r="K28" s="139">
        <f t="shared" ca="1" si="0"/>
        <v>2.0799927366585494E+21</v>
      </c>
      <c r="L28" s="141">
        <f>courbes!J27</f>
        <v>2.0833333333333335</v>
      </c>
      <c r="M28" s="139">
        <f t="shared" ca="1" si="1"/>
        <v>2.0797371823802873E+21</v>
      </c>
      <c r="N28" s="139">
        <f>courbes!U27</f>
        <v>2.0833333333333335</v>
      </c>
      <c r="O28" s="139">
        <f t="shared" ca="1" si="2"/>
        <v>2.079374630353639E+21</v>
      </c>
      <c r="P28" s="138">
        <f>courbes!AE27</f>
        <v>5</v>
      </c>
      <c r="Q28" s="139">
        <f t="shared" ca="1" si="3"/>
        <v>1.9320999999999999E+21</v>
      </c>
      <c r="R28" s="145"/>
      <c r="S28" s="145"/>
    </row>
    <row r="29" spans="10:19" ht="13.5" thickBot="1">
      <c r="J29" s="138">
        <f>courbes!A28</f>
        <v>2.1666666666666665</v>
      </c>
      <c r="K29" s="139">
        <f t="shared" ca="1" si="0"/>
        <v>2.0757159795998251E+21</v>
      </c>
      <c r="L29" s="141">
        <f>courbes!J28</f>
        <v>2.1666666666666665</v>
      </c>
      <c r="M29" s="139">
        <f t="shared" ca="1" si="1"/>
        <v>2.0754589160807643E+21</v>
      </c>
      <c r="N29" s="139">
        <f>courbes!U28</f>
        <v>2.1666666666666665</v>
      </c>
      <c r="O29" s="139">
        <f t="shared" ca="1" si="2"/>
        <v>2.0750712062583279E+21</v>
      </c>
      <c r="P29" s="138">
        <f>courbes!AE28</f>
        <v>5.2</v>
      </c>
      <c r="Q29" s="139">
        <f t="shared" ca="1" si="3"/>
        <v>1.9208999999999999E+21</v>
      </c>
      <c r="R29" s="145"/>
      <c r="S29" s="145"/>
    </row>
    <row r="30" spans="10:19" ht="13.5" thickBot="1">
      <c r="J30" s="138">
        <f>courbes!A29</f>
        <v>2.25</v>
      </c>
      <c r="K30" s="139">
        <f t="shared" ca="1" si="0"/>
        <v>2.0714193070942349E+21</v>
      </c>
      <c r="L30" s="141">
        <f>courbes!J29</f>
        <v>2.25</v>
      </c>
      <c r="M30" s="139">
        <f t="shared" ca="1" si="1"/>
        <v>2.0711612276372283E+21</v>
      </c>
      <c r="N30" s="139">
        <f>courbes!U29</f>
        <v>2.25</v>
      </c>
      <c r="O30" s="139">
        <f t="shared" ca="1" si="2"/>
        <v>2.070747867063739E+21</v>
      </c>
      <c r="P30" s="138">
        <f>courbes!AE29</f>
        <v>5.4</v>
      </c>
      <c r="Q30" s="139">
        <f t="shared" ca="1" si="3"/>
        <v>1.9096000000000003E+21</v>
      </c>
      <c r="R30" s="145"/>
      <c r="S30" s="145"/>
    </row>
    <row r="31" spans="10:19" ht="13.5" thickBot="1">
      <c r="J31" s="138">
        <f>courbes!A30</f>
        <v>2.3333333333333335</v>
      </c>
      <c r="K31" s="139">
        <f t="shared" ca="1" si="0"/>
        <v>2.0671033825073826E+21</v>
      </c>
      <c r="L31" s="141">
        <f>courbes!J30</f>
        <v>2.3333333333333335</v>
      </c>
      <c r="M31" s="139">
        <f t="shared" ca="1" si="1"/>
        <v>2.0668447641179343E+21</v>
      </c>
      <c r="N31" s="139">
        <f>courbes!U30</f>
        <v>2.3333333333333335</v>
      </c>
      <c r="O31" s="139">
        <f t="shared" ca="1" si="2"/>
        <v>2.0664052893124859E+21</v>
      </c>
      <c r="P31" s="138">
        <f>courbes!AE30</f>
        <v>5.6</v>
      </c>
      <c r="Q31" s="139">
        <f t="shared" ca="1" si="3"/>
        <v>1.8982000000000003E+21</v>
      </c>
      <c r="R31" s="145"/>
      <c r="S31" s="145"/>
    </row>
    <row r="32" spans="10:19" ht="13.5" thickBot="1">
      <c r="J32" s="138">
        <f>courbes!A31</f>
        <v>2.4166666666666665</v>
      </c>
      <c r="K32" s="139">
        <f t="shared" ca="1" si="0"/>
        <v>2.062768856152109E+21</v>
      </c>
      <c r="L32" s="141">
        <f>courbes!J31</f>
        <v>2.4166666666666665</v>
      </c>
      <c r="M32" s="139">
        <f t="shared" ca="1" si="1"/>
        <v>2.0625101599765268E+21</v>
      </c>
      <c r="N32" s="139">
        <f>courbes!U31</f>
        <v>2.4166666666666665</v>
      </c>
      <c r="O32" s="139">
        <f t="shared" ca="1" si="2"/>
        <v>2.0620441360330544E+21</v>
      </c>
      <c r="P32" s="138">
        <f>courbes!AE31</f>
        <v>5.8</v>
      </c>
      <c r="Q32" s="139">
        <f t="shared" ca="1" si="3"/>
        <v>1.8867999999999997E+21</v>
      </c>
      <c r="R32" s="145"/>
      <c r="S32" s="145"/>
    </row>
    <row r="33" spans="10:19" ht="13.5" thickBot="1">
      <c r="J33" s="138">
        <f>courbes!A32</f>
        <v>2.5</v>
      </c>
      <c r="K33" s="139">
        <f t="shared" ca="1" si="0"/>
        <v>2.0584163655293241E+21</v>
      </c>
      <c r="L33" s="141">
        <f>courbes!J32</f>
        <v>2.5</v>
      </c>
      <c r="M33" s="139">
        <f t="shared" ca="1" si="1"/>
        <v>2.0581580372986212E+21</v>
      </c>
      <c r="N33" s="139">
        <f>courbes!U32</f>
        <v>2.5</v>
      </c>
      <c r="O33" s="139">
        <f t="shared" ca="1" si="2"/>
        <v>2.0576650569878379E+21</v>
      </c>
      <c r="P33" s="138">
        <f>courbes!AE32</f>
        <v>6</v>
      </c>
      <c r="Q33" s="139">
        <f t="shared" ca="1" si="3"/>
        <v>1.8753000000000001E+21</v>
      </c>
      <c r="R33" s="145"/>
      <c r="S33" s="145"/>
    </row>
    <row r="34" spans="10:19" ht="13.5" thickBot="1">
      <c r="J34" s="138">
        <f>courbes!A33</f>
        <v>2.5833333333333335</v>
      </c>
      <c r="K34" s="139">
        <f t="shared" ca="1" si="0"/>
        <v>2.0540465355643324E+21</v>
      </c>
      <c r="L34" s="141">
        <f>courbes!J33</f>
        <v>2.5833333333333335</v>
      </c>
      <c r="M34" s="139">
        <f t="shared" ca="1" si="1"/>
        <v>2.053789006048385E+21</v>
      </c>
      <c r="N34" s="139">
        <f>courbes!U33</f>
        <v>2.5833333333333335</v>
      </c>
      <c r="O34" s="139">
        <f t="shared" ca="1" si="2"/>
        <v>2.0532686889168302E+21</v>
      </c>
      <c r="P34" s="138">
        <f>courbes!AE33</f>
        <v>6.2</v>
      </c>
      <c r="Q34" s="139">
        <f t="shared" ca="1" si="3"/>
        <v>1.8638000000000003E+21</v>
      </c>
      <c r="R34" s="145"/>
      <c r="S34" s="145"/>
    </row>
    <row r="35" spans="10:19" ht="13.5" thickBot="1">
      <c r="J35" s="138">
        <f>courbes!A34</f>
        <v>2.6666666666666665</v>
      </c>
      <c r="K35" s="139">
        <f t="shared" ca="1" si="0"/>
        <v>2.0496599788387358E+21</v>
      </c>
      <c r="L35" s="141">
        <f>courbes!J34</f>
        <v>2.6666666666666665</v>
      </c>
      <c r="M35" s="139">
        <f t="shared" ca="1" si="1"/>
        <v>2.049403664315118E+21</v>
      </c>
      <c r="N35" s="139">
        <f>courbes!U34</f>
        <v>2.6666666666666665</v>
      </c>
      <c r="O35" s="139">
        <f t="shared" ca="1" si="2"/>
        <v>2.0488556557770451E+21</v>
      </c>
      <c r="P35" s="138">
        <f>courbes!AE34</f>
        <v>6.4</v>
      </c>
      <c r="Q35" s="139">
        <f t="shared" ca="1" si="3"/>
        <v>1.8522E+21</v>
      </c>
      <c r="R35" s="145"/>
      <c r="S35" s="145"/>
    </row>
    <row r="36" spans="10:19" ht="13.5" thickBot="1">
      <c r="J36" s="138">
        <f>courbes!A35</f>
        <v>2.75</v>
      </c>
      <c r="K36" s="139">
        <f t="shared" ca="1" si="0"/>
        <v>2.0452572958180088E+21</v>
      </c>
      <c r="L36" s="141">
        <f>courbes!J35</f>
        <v>2.75</v>
      </c>
      <c r="M36" s="139">
        <f t="shared" ca="1" si="1"/>
        <v>2.0450025985598313E+21</v>
      </c>
      <c r="N36" s="139">
        <f>courbes!U35</f>
        <v>2.75</v>
      </c>
      <c r="O36" s="139">
        <f t="shared" ca="1" si="2"/>
        <v>2.044426568977736E+21</v>
      </c>
      <c r="P36" s="138">
        <f>courbes!AE35</f>
        <v>6.6</v>
      </c>
      <c r="Q36" s="139">
        <f t="shared" ca="1" si="3"/>
        <v>1.8404999999999999E+21</v>
      </c>
      <c r="R36" s="145"/>
      <c r="S36" s="145"/>
    </row>
    <row r="37" spans="10:19" ht="13.5" thickBot="1">
      <c r="J37" s="138">
        <f>courbes!A36</f>
        <v>2.8333333333333335</v>
      </c>
      <c r="K37" s="139">
        <f t="shared" ca="1" si="0"/>
        <v>2.0408390750748284E+21</v>
      </c>
      <c r="L37" s="141">
        <f>courbes!J36</f>
        <v>2.8333333333333335</v>
      </c>
      <c r="M37" s="139">
        <f t="shared" ca="1" si="1"/>
        <v>2.0405863838618322E+21</v>
      </c>
      <c r="N37" s="139">
        <f>courbes!U36</f>
        <v>2.8333333333333335</v>
      </c>
      <c r="O37" s="139">
        <f t="shared" ca="1" si="2"/>
        <v>2.0399820276114839E+21</v>
      </c>
      <c r="P37" s="138">
        <f>courbes!AE36</f>
        <v>6.8</v>
      </c>
      <c r="Q37" s="139">
        <f t="shared" ca="1" si="3"/>
        <v>1.8288E+21</v>
      </c>
      <c r="R37" s="145"/>
      <c r="S37" s="145"/>
    </row>
    <row r="38" spans="10:19" ht="13.5" thickBot="1">
      <c r="J38" s="138">
        <f>courbes!A37</f>
        <v>2.9166666666666665</v>
      </c>
      <c r="K38" s="139">
        <f t="shared" ca="1" si="0"/>
        <v>2.0364058935082484E+21</v>
      </c>
      <c r="L38" s="141">
        <f>courbes!J37</f>
        <v>2.9166666666666665</v>
      </c>
      <c r="M38" s="139">
        <f t="shared" ca="1" si="1"/>
        <v>2.0361555841653004E+21</v>
      </c>
      <c r="N38" s="139">
        <f>courbes!U37</f>
        <v>2.9166666666666665</v>
      </c>
      <c r="O38" s="139">
        <f t="shared" ca="1" si="2"/>
        <v>2.0355226186812212E+21</v>
      </c>
      <c r="P38" s="138">
        <f>courbes!AE37</f>
        <v>7</v>
      </c>
      <c r="Q38" s="139">
        <f t="shared" ca="1" si="3"/>
        <v>1.8171000000000001E+21</v>
      </c>
      <c r="R38" s="145"/>
      <c r="S38" s="145"/>
    </row>
    <row r="39" spans="10:19" ht="13.5" thickBot="1">
      <c r="J39" s="138">
        <f>courbes!A38</f>
        <v>3</v>
      </c>
      <c r="K39" s="139">
        <f t="shared" ca="1" si="0"/>
        <v>2.0319583165587972E+21</v>
      </c>
      <c r="L39" s="141">
        <f>courbes!J38</f>
        <v>3</v>
      </c>
      <c r="M39" s="139">
        <f t="shared" ca="1" si="1"/>
        <v>2.0317107525258715E+21</v>
      </c>
      <c r="N39" s="139">
        <f>courbes!U38</f>
        <v>3</v>
      </c>
      <c r="O39" s="139">
        <f t="shared" ca="1" si="2"/>
        <v>2.031048917323264E+21</v>
      </c>
      <c r="P39" s="138">
        <f>courbes!AE38</f>
        <v>7.2</v>
      </c>
      <c r="Q39" s="139">
        <f t="shared" ca="1" si="3"/>
        <v>1.8052999999999999E+21</v>
      </c>
      <c r="R39" s="145"/>
      <c r="S39" s="145"/>
    </row>
    <row r="40" spans="10:19" ht="13.5" thickBot="1">
      <c r="J40" s="138">
        <f>courbes!A39</f>
        <v>3.0833333333333335</v>
      </c>
      <c r="K40" s="139">
        <f t="shared" ca="1" si="0"/>
        <v>2.0274968984195831E+21</v>
      </c>
      <c r="L40" s="141">
        <f>courbes!J39</f>
        <v>3.0833333333333335</v>
      </c>
      <c r="M40" s="139">
        <f t="shared" ca="1" si="1"/>
        <v>2.0272524196295853E+21</v>
      </c>
      <c r="N40" s="139">
        <f>courbes!U39</f>
        <v>3.0833333333333335</v>
      </c>
      <c r="O40" s="139">
        <f t="shared" ca="1" si="2"/>
        <v>2.0265614870264134E+21</v>
      </c>
      <c r="P40" s="138">
        <f>courbes!AE39</f>
        <v>7.4</v>
      </c>
      <c r="Q40" s="139">
        <f t="shared" ca="1" si="3"/>
        <v>1.7934999999999999E+21</v>
      </c>
      <c r="R40" s="145"/>
      <c r="S40" s="145"/>
    </row>
    <row r="41" spans="10:19" ht="13.5" thickBot="1">
      <c r="J41" s="138">
        <f>courbes!A40</f>
        <v>3.1666666666666665</v>
      </c>
      <c r="K41" s="139">
        <f t="shared" ca="1" si="0"/>
        <v>2.0230221822434843E+21</v>
      </c>
      <c r="L41" s="141">
        <f>courbes!J40</f>
        <v>3.1666666666666665</v>
      </c>
      <c r="M41" s="139">
        <f t="shared" ca="1" si="1"/>
        <v>2.0227811239678734E+21</v>
      </c>
      <c r="N41" s="139">
        <f>courbes!U40</f>
        <v>3.1666666666666665</v>
      </c>
      <c r="O41" s="139">
        <f t="shared" ca="1" si="2"/>
        <v>2.0220608798471954E+21</v>
      </c>
      <c r="P41" s="138">
        <f>courbes!AE40</f>
        <v>7.6</v>
      </c>
      <c r="Q41" s="139">
        <f t="shared" ca="1" si="3"/>
        <v>1.7816999999999999E+21</v>
      </c>
      <c r="R41" s="145"/>
      <c r="S41" s="145"/>
    </row>
    <row r="42" spans="10:19" ht="13.5" thickBot="1">
      <c r="J42" s="138">
        <f>courbes!A41</f>
        <v>3.25</v>
      </c>
      <c r="K42" s="139">
        <f t="shared" ca="1" si="0"/>
        <v>2.0185347003465039E+21</v>
      </c>
      <c r="L42" s="141">
        <f>courbes!J41</f>
        <v>3.25</v>
      </c>
      <c r="M42" s="139">
        <f t="shared" ca="1" si="1"/>
        <v>2.0182973856295879E+21</v>
      </c>
      <c r="N42" s="139">
        <f>courbes!U41</f>
        <v>3.25</v>
      </c>
      <c r="O42" s="139">
        <f t="shared" ca="1" si="2"/>
        <v>2.0175476366213047E+21</v>
      </c>
      <c r="P42" s="138">
        <f>courbes!AE41</f>
        <v>7.8</v>
      </c>
      <c r="Q42" s="139">
        <f t="shared" ca="1" si="3"/>
        <v>1.7698E+21</v>
      </c>
      <c r="R42" s="145"/>
      <c r="S42" s="145"/>
    </row>
    <row r="43" spans="10:19" ht="13.5" thickBot="1">
      <c r="J43" s="138">
        <f>courbes!A42</f>
        <v>3.3333333333333335</v>
      </c>
      <c r="K43" s="139">
        <f t="shared" ca="1" si="0"/>
        <v>2.0140349744073626E+21</v>
      </c>
      <c r="L43" s="141">
        <f>courbes!J42</f>
        <v>3.3333333333333335</v>
      </c>
      <c r="M43" s="139">
        <f t="shared" ca="1" si="1"/>
        <v>2.0138017143945513E+21</v>
      </c>
      <c r="N43" s="139">
        <f>courbes!U42</f>
        <v>3.3333333333333335</v>
      </c>
      <c r="O43" s="139">
        <f t="shared" ca="1" si="2"/>
        <v>2.0130222871713106E+21</v>
      </c>
      <c r="P43" s="138">
        <f>courbes!AE42</f>
        <v>8</v>
      </c>
      <c r="Q43" s="139">
        <f t="shared" ca="1" si="3"/>
        <v>1.7579000000000001E+21</v>
      </c>
      <c r="R43" s="145"/>
      <c r="S43" s="145"/>
    </row>
    <row r="44" spans="10:19" ht="13.5" thickBot="1">
      <c r="J44" s="138">
        <f>courbes!A43</f>
        <v>3.4166666666666665</v>
      </c>
      <c r="K44" s="139">
        <f t="shared" ca="1" si="0"/>
        <v>2.0095235156634058E+21</v>
      </c>
      <c r="L44" s="141">
        <f>courbes!J43</f>
        <v>3.4166666666666665</v>
      </c>
      <c r="M44" s="139">
        <f t="shared" ca="1" si="1"/>
        <v>2.0092946099307639E+21</v>
      </c>
      <c r="N44" s="139">
        <f>courbes!U43</f>
        <v>3.4166666666666665</v>
      </c>
      <c r="O44" s="139">
        <f t="shared" ca="1" si="2"/>
        <v>2.0084853505106971E+21</v>
      </c>
      <c r="P44" s="138">
        <f>courbes!AE43</f>
        <v>8.1999999999999993</v>
      </c>
      <c r="Q44" s="139">
        <f t="shared" ca="1" si="3"/>
        <v>1.7459000000000001E+21</v>
      </c>
      <c r="R44" s="145"/>
      <c r="S44" s="145"/>
    </row>
    <row r="45" spans="10:19" ht="13.5" thickBot="1">
      <c r="J45" s="138">
        <f>courbes!A44</f>
        <v>3.5</v>
      </c>
      <c r="K45" s="139">
        <f t="shared" ca="1" si="0"/>
        <v>2.0050008251028959E+21</v>
      </c>
      <c r="L45" s="141">
        <f>courbes!J44</f>
        <v>3.5</v>
      </c>
      <c r="M45" s="139">
        <f t="shared" ca="1" si="1"/>
        <v>2.0047765619916118E+21</v>
      </c>
      <c r="N45" s="139">
        <f>courbes!U44</f>
        <v>3.5</v>
      </c>
      <c r="O45" s="139">
        <f t="shared" ca="1" si="2"/>
        <v>2.0039373350442867E+21</v>
      </c>
      <c r="P45" s="138">
        <f>courbes!AE44</f>
        <v>8.4</v>
      </c>
      <c r="Q45" s="139">
        <f t="shared" ca="1" si="3"/>
        <v>1.7339000000000001E+21</v>
      </c>
      <c r="R45" s="145"/>
      <c r="S45" s="145"/>
    </row>
    <row r="46" spans="10:19" ht="13.5" thickBot="1">
      <c r="J46" s="138">
        <f>courbes!A45</f>
        <v>3.5833333333333335</v>
      </c>
      <c r="K46" s="139">
        <f t="shared" ca="1" si="0"/>
        <v>2.0004673936537627E+21</v>
      </c>
      <c r="L46" s="141">
        <f>courbes!J45</f>
        <v>3.5833333333333335</v>
      </c>
      <c r="M46" s="139">
        <f t="shared" ca="1" si="1"/>
        <v>2.0002480506130745E+21</v>
      </c>
      <c r="N46" s="139">
        <f>courbes!U45</f>
        <v>3.5833333333333335</v>
      </c>
      <c r="O46" s="139">
        <f t="shared" ca="1" si="2"/>
        <v>1.9993787387651194E+21</v>
      </c>
      <c r="P46" s="138">
        <f>courbes!AE45</f>
        <v>8.6</v>
      </c>
      <c r="Q46" s="139">
        <f t="shared" ca="1" si="3"/>
        <v>1.7218999999999999E+21</v>
      </c>
      <c r="R46" s="145"/>
      <c r="S46" s="145"/>
    </row>
    <row r="47" spans="10:19" ht="13.5" thickBot="1">
      <c r="J47" s="138">
        <f>courbes!A46</f>
        <v>3.6666666666666665</v>
      </c>
      <c r="K47" s="139">
        <f t="shared" ca="1" si="0"/>
        <v>1.9959237023688774E+21</v>
      </c>
      <c r="L47" s="141">
        <f>courbes!J46</f>
        <v>3.6666666666666665</v>
      </c>
      <c r="M47" s="139">
        <f t="shared" ca="1" si="1"/>
        <v>1.9957095463109334E+21</v>
      </c>
      <c r="N47" s="139">
        <f>courbes!U46</f>
        <v>3.6666666666666665</v>
      </c>
      <c r="O47" s="139">
        <f t="shared" ca="1" si="2"/>
        <v>1.9948100494478431E+21</v>
      </c>
      <c r="P47" s="138">
        <f>courbes!AE46</f>
        <v>8.8000000000000007</v>
      </c>
      <c r="Q47" s="139">
        <f t="shared" ca="1" si="3"/>
        <v>1.7099000000000001E+21</v>
      </c>
      <c r="R47" s="145"/>
      <c r="S47" s="145"/>
    </row>
    <row r="48" spans="10:19" ht="13.5" thickBot="1">
      <c r="J48" s="138">
        <f>courbes!A47</f>
        <v>3.75</v>
      </c>
      <c r="K48" s="139">
        <f t="shared" ca="1" si="0"/>
        <v>1.9913702226079232E+21</v>
      </c>
      <c r="L48" s="141">
        <f>courbes!J47</f>
        <v>3.75</v>
      </c>
      <c r="M48" s="139">
        <f t="shared" ca="1" si="1"/>
        <v>1.9911615102779783E+21</v>
      </c>
      <c r="N48" s="139">
        <f>courbes!U47</f>
        <v>3.75</v>
      </c>
      <c r="O48" s="139">
        <f t="shared" ca="1" si="2"/>
        <v>1.9902317448386692E+21</v>
      </c>
      <c r="P48" s="138">
        <f>courbes!AE47</f>
        <v>9</v>
      </c>
      <c r="Q48" s="139">
        <f t="shared" ca="1" si="3"/>
        <v>1.6979000000000001E+21</v>
      </c>
      <c r="R48" s="145"/>
      <c r="S48" s="145"/>
    </row>
    <row r="49" spans="10:19" ht="13.5" thickBot="1">
      <c r="J49" s="138">
        <f>courbes!A48</f>
        <v>3.8333333333333335</v>
      </c>
      <c r="K49" s="139">
        <f t="shared" ca="1" si="0"/>
        <v>1.9868074162159231E+21</v>
      </c>
      <c r="L49" s="141">
        <f>courbes!J48</f>
        <v>3.8333333333333335</v>
      </c>
      <c r="M49" s="139">
        <f t="shared" ca="1" si="1"/>
        <v>1.9866043945812149E+21</v>
      </c>
      <c r="N49" s="139">
        <f>courbes!U48</f>
        <v>3.8333333333333335</v>
      </c>
      <c r="O49" s="139">
        <f t="shared" ca="1" si="2"/>
        <v>1.9856442928419606E+21</v>
      </c>
      <c r="P49" s="138">
        <f>courbes!AE48</f>
        <v>9.1999999999999993</v>
      </c>
      <c r="Q49" s="139">
        <f t="shared" ca="1" si="3"/>
        <v>1.6858000000000003E+21</v>
      </c>
      <c r="R49" s="145"/>
      <c r="S49" s="145"/>
    </row>
    <row r="50" spans="10:19" ht="13.5" thickBot="1">
      <c r="J50" s="138">
        <f>courbes!A49</f>
        <v>3.9166666666666665</v>
      </c>
      <c r="K50" s="139">
        <f t="shared" ca="1" si="0"/>
        <v>1.982235735698495E+21</v>
      </c>
      <c r="L50" s="141">
        <f>courbes!J49</f>
        <v>3.9166666666666665</v>
      </c>
      <c r="M50" s="139">
        <f t="shared" ca="1" si="1"/>
        <v>1.9820386423590751E+21</v>
      </c>
      <c r="N50" s="139">
        <f>courbes!U49</f>
        <v>3.9166666666666665</v>
      </c>
      <c r="O50" s="139">
        <f t="shared" ca="1" si="2"/>
        <v>1.9810481517035004E+21</v>
      </c>
      <c r="P50" s="138">
        <f>courbes!AE49</f>
        <v>9.4</v>
      </c>
      <c r="Q50" s="139">
        <f t="shared" ca="1" si="3"/>
        <v>1.6736999999999999E+21</v>
      </c>
      <c r="R50" s="145"/>
      <c r="S50" s="145"/>
    </row>
    <row r="51" spans="10:19" ht="13.5" thickBot="1">
      <c r="J51" s="138">
        <f>courbes!A50</f>
        <v>4</v>
      </c>
      <c r="K51" s="139">
        <f t="shared" ca="1" si="0"/>
        <v>1.9776556243938936E+21</v>
      </c>
      <c r="L51" s="141">
        <f>courbes!J50</f>
        <v>4</v>
      </c>
      <c r="M51" s="139">
        <f t="shared" ca="1" si="1"/>
        <v>1.9774646880186233E+21</v>
      </c>
      <c r="N51" s="139">
        <f>courbes!U50</f>
        <v>4</v>
      </c>
      <c r="O51" s="139">
        <f t="shared" ca="1" si="2"/>
        <v>1.9764437701905039E+21</v>
      </c>
      <c r="P51" s="138">
        <f>courbes!AE50</f>
        <v>9.6</v>
      </c>
      <c r="Q51" s="139">
        <f t="shared" ca="1" si="3"/>
        <v>1.6616000000000003E+21</v>
      </c>
      <c r="R51" s="145"/>
      <c r="S51" s="145"/>
    </row>
    <row r="52" spans="10:19" ht="13.5" thickBot="1">
      <c r="J52" s="138">
        <f>courbes!A51</f>
        <v>4.083333333333333</v>
      </c>
      <c r="K52" s="139">
        <f t="shared" ca="1" si="0"/>
        <v>1.9730675166419029E+21</v>
      </c>
      <c r="L52" s="141">
        <f>courbes!J51</f>
        <v>4.083333333333333</v>
      </c>
      <c r="M52" s="139">
        <f t="shared" ca="1" si="1"/>
        <v>1.9728829482031815E+21</v>
      </c>
      <c r="N52" s="139">
        <f>courbes!U51</f>
        <v>4.083333333333333</v>
      </c>
      <c r="O52" s="139">
        <f t="shared" ca="1" si="2"/>
        <v>1.9718315877684242E+21</v>
      </c>
      <c r="P52" s="138">
        <f>courbes!AE51</f>
        <v>9.8000000000000007</v>
      </c>
      <c r="Q52" s="139">
        <f t="shared" ca="1" si="3"/>
        <v>1.6494999999999999E+21</v>
      </c>
      <c r="R52" s="145"/>
      <c r="S52" s="145"/>
    </row>
    <row r="53" spans="10:19" ht="13.5" thickBot="1">
      <c r="J53" s="138">
        <f>courbes!A52</f>
        <v>4.166666666666667</v>
      </c>
      <c r="K53" s="139">
        <f t="shared" ca="1" si="0"/>
        <v>1.9684718379496393E+21</v>
      </c>
      <c r="L53" s="141">
        <f>courbes!J52</f>
        <v>4.166666666666667</v>
      </c>
      <c r="M53" s="139">
        <f t="shared" ca="1" si="1"/>
        <v>1.9682938455369599E+21</v>
      </c>
      <c r="N53" s="139">
        <f>courbes!U52</f>
        <v>4.166666666666667</v>
      </c>
      <c r="O53" s="139">
        <f t="shared" ca="1" si="2"/>
        <v>1.9672120347746105E+21</v>
      </c>
      <c r="Q53" s="139">
        <f t="shared" ca="1" si="3"/>
        <v>0</v>
      </c>
      <c r="R53" s="145"/>
      <c r="S53" s="145"/>
    </row>
    <row r="54" spans="10:19" ht="13.5" thickBot="1">
      <c r="J54" s="138">
        <f>courbes!A53</f>
        <v>4.25</v>
      </c>
      <c r="K54" s="139">
        <f t="shared" ca="1" si="0"/>
        <v>1.9638690051543254E+21</v>
      </c>
      <c r="L54" s="141">
        <f>courbes!J53</f>
        <v>4.25</v>
      </c>
      <c r="M54" s="139">
        <f t="shared" ca="1" si="1"/>
        <v>1.9636977880123058E+21</v>
      </c>
      <c r="N54" s="139">
        <f>courbes!U53</f>
        <v>4.25</v>
      </c>
      <c r="O54" s="139">
        <f t="shared" ca="1" si="2"/>
        <v>1.9625855325888661E+21</v>
      </c>
      <c r="Q54" s="139">
        <f t="shared" ca="1" si="3"/>
        <v>0</v>
      </c>
      <c r="R54" s="145"/>
      <c r="S54" s="145"/>
    </row>
    <row r="55" spans="10:19" ht="13.5" thickBot="1">
      <c r="J55" s="138">
        <f>courbes!A54</f>
        <v>4.333333333333333</v>
      </c>
      <c r="K55" s="139">
        <f t="shared" ca="1" si="0"/>
        <v>1.9592594265830919E+21</v>
      </c>
      <c r="L55" s="141">
        <f>courbes!J54</f>
        <v>4.333333333333333</v>
      </c>
      <c r="M55" s="139">
        <f t="shared" ca="1" si="1"/>
        <v>1.9590951753580806E+21</v>
      </c>
      <c r="N55" s="139">
        <f>courbes!U54</f>
        <v>4.333333333333333</v>
      </c>
      <c r="O55" s="139">
        <f t="shared" ca="1" si="2"/>
        <v>1.9579524938009687E+21</v>
      </c>
      <c r="Q55" s="139">
        <f t="shared" ca="1" si="3"/>
        <v>0</v>
      </c>
      <c r="R55" s="145"/>
      <c r="S55" s="145"/>
    </row>
    <row r="56" spans="10:19" ht="13.5" thickBot="1">
      <c r="J56" s="138">
        <f>courbes!A55</f>
        <v>4.416666666666667</v>
      </c>
      <c r="K56" s="139">
        <f t="shared" ca="1" si="0"/>
        <v>1.9546435022098643E+21</v>
      </c>
      <c r="L56" s="141">
        <f>courbes!J55</f>
        <v>4.416666666666667</v>
      </c>
      <c r="M56" s="139">
        <f t="shared" ca="1" si="1"/>
        <v>1.9544863991978779E+21</v>
      </c>
      <c r="N56" s="139">
        <f>courbes!U55</f>
        <v>4.416666666666667</v>
      </c>
      <c r="O56" s="139">
        <f t="shared" ca="1" si="2"/>
        <v>1.953313322375192E+21</v>
      </c>
      <c r="Q56" s="139">
        <f t="shared" ca="1" si="3"/>
        <v>0</v>
      </c>
      <c r="R56" s="145"/>
      <c r="S56" s="145"/>
    </row>
    <row r="57" spans="10:19" ht="13.5" thickBot="1">
      <c r="J57" s="138">
        <f>courbes!A56</f>
        <v>4.5</v>
      </c>
      <c r="K57" s="139">
        <f t="shared" ca="1" si="0"/>
        <v>1.9500216238093907E+21</v>
      </c>
      <c r="L57" s="141">
        <f>courbes!J56</f>
        <v>4.5</v>
      </c>
      <c r="M57" s="139">
        <f t="shared" ca="1" si="1"/>
        <v>1.9498718432082445E+21</v>
      </c>
      <c r="N57" s="139">
        <f>courbes!U56</f>
        <v>4.5</v>
      </c>
      <c r="O57" s="139">
        <f t="shared" ca="1" si="2"/>
        <v>1.9486684138118911E+21</v>
      </c>
      <c r="Q57" s="139">
        <f t="shared" ca="1" si="3"/>
        <v>0</v>
      </c>
      <c r="R57" s="145"/>
      <c r="S57" s="145"/>
    </row>
    <row r="58" spans="10:19" ht="13.5" thickBot="1">
      <c r="J58" s="138">
        <f>courbes!A57</f>
        <v>4.583333333333333</v>
      </c>
      <c r="K58" s="139">
        <f t="shared" ca="1" si="0"/>
        <v>1.945394175108464E+21</v>
      </c>
      <c r="L58" s="141">
        <f>courbes!J57</f>
        <v>4.583333333333333</v>
      </c>
      <c r="M58" s="139">
        <f t="shared" ca="1" si="1"/>
        <v>1.9452518832768984E+21</v>
      </c>
      <c r="N58" s="139">
        <f>courbes!U57</f>
        <v>4.583333333333333</v>
      </c>
      <c r="O58" s="139">
        <f t="shared" ca="1" si="2"/>
        <v>1.9440181553061956E+21</v>
      </c>
      <c r="Q58" s="139">
        <f t="shared" ca="1" si="3"/>
        <v>0</v>
      </c>
      <c r="R58" s="145"/>
      <c r="S58" s="145"/>
    </row>
    <row r="59" spans="10:19" ht="13.5" thickBot="1">
      <c r="J59" s="138">
        <f>courbes!A58</f>
        <v>4.666666666666667</v>
      </c>
      <c r="K59" s="139">
        <f t="shared" ca="1" si="0"/>
        <v>1.9407615319343938E+21</v>
      </c>
      <c r="L59" s="141">
        <f>courbes!J58</f>
        <v>4.666666666666667</v>
      </c>
      <c r="M59" s="139">
        <f t="shared" ca="1" si="1"/>
        <v>1.94062688766095E+21</v>
      </c>
      <c r="N59" s="139">
        <f>courbes!U58</f>
        <v>4.666666666666667</v>
      </c>
      <c r="O59" s="139">
        <f t="shared" ca="1" si="2"/>
        <v>1.9393629259038615E+21</v>
      </c>
      <c r="Q59" s="139">
        <f t="shared" ca="1" si="3"/>
        <v>0</v>
      </c>
      <c r="R59" s="145"/>
      <c r="S59" s="145"/>
    </row>
    <row r="60" spans="10:19" ht="13.5" thickBot="1">
      <c r="J60" s="138">
        <f>courbes!A59</f>
        <v>4.75</v>
      </c>
      <c r="K60" s="139">
        <f t="shared" ca="1" si="0"/>
        <v>1.9361240623607775E+21</v>
      </c>
      <c r="L60" s="141">
        <f>courbes!J59</f>
        <v>4.75</v>
      </c>
      <c r="M60" s="139">
        <f t="shared" ca="1" si="1"/>
        <v>1.9359972171451227E+21</v>
      </c>
      <c r="N60" s="139">
        <f>courbes!U59</f>
        <v>4.75</v>
      </c>
      <c r="O60" s="139">
        <f t="shared" ca="1" si="2"/>
        <v>1.9347030966543298E+21</v>
      </c>
      <c r="Q60" s="139">
        <f t="shared" ca="1" si="3"/>
        <v>0</v>
      </c>
      <c r="R60" s="145"/>
      <c r="S60" s="145"/>
    </row>
    <row r="61" spans="10:19" ht="13.5" thickBot="1">
      <c r="J61" s="138">
        <f>courbes!A60</f>
        <v>4.833333333333333</v>
      </c>
      <c r="K61" s="139">
        <f t="shared" ca="1" si="0"/>
        <v>1.9314821268506238E+21</v>
      </c>
      <c r="L61" s="141">
        <f>courbes!J60</f>
        <v>4.833333333333333</v>
      </c>
      <c r="M61" s="139">
        <f t="shared" ca="1" si="1"/>
        <v>1.9313632251999717E+21</v>
      </c>
      <c r="N61" s="139">
        <f>courbes!U60</f>
        <v>4.833333333333333</v>
      </c>
      <c r="O61" s="139">
        <f t="shared" ca="1" si="2"/>
        <v>1.9300390307610406E+21</v>
      </c>
      <c r="Q61" s="139">
        <f t="shared" ca="1" si="3"/>
        <v>0</v>
      </c>
      <c r="R61" s="145"/>
      <c r="S61" s="145"/>
    </row>
    <row r="62" spans="10:19" ht="13.5" thickBot="1">
      <c r="J62" s="138">
        <f>courbes!A61</f>
        <v>4.916666666666667</v>
      </c>
      <c r="K62" s="139">
        <f t="shared" ca="1" si="0"/>
        <v>1.926836078396877E+21</v>
      </c>
      <c r="L62" s="141">
        <f>courbes!J61</f>
        <v>4.916666666666667</v>
      </c>
      <c r="M62" s="139">
        <f t="shared" ca="1" si="1"/>
        <v>1.9267252581401022E+21</v>
      </c>
      <c r="N62" s="139">
        <f>courbes!U61</f>
        <v>4.916666666666667</v>
      </c>
      <c r="O62" s="139">
        <f t="shared" ca="1" si="2"/>
        <v>1.9253710837290492E+21</v>
      </c>
      <c r="Q62" s="139">
        <f t="shared" ca="1" si="3"/>
        <v>0</v>
      </c>
      <c r="R62" s="145"/>
      <c r="S62" s="145"/>
    </row>
    <row r="63" spans="10:19" ht="13.5" thickBot="1">
      <c r="J63" s="138">
        <f>courbes!A62</f>
        <v>5</v>
      </c>
      <c r="K63" s="139">
        <f t="shared" ca="1" si="0"/>
        <v>1.9221862626603927E+21</v>
      </c>
      <c r="L63" s="141">
        <f>courbes!J62</f>
        <v>5</v>
      </c>
      <c r="M63" s="139">
        <f t="shared" ca="1" si="1"/>
        <v>1.9220836552823928E+21</v>
      </c>
      <c r="N63" s="139">
        <f>courbes!U62</f>
        <v>5</v>
      </c>
      <c r="O63" s="139">
        <f t="shared" ca="1" si="2"/>
        <v>1.9206996035099896E+21</v>
      </c>
      <c r="Q63" s="139">
        <f t="shared" ca="1" si="3"/>
        <v>0</v>
      </c>
      <c r="R63" s="145"/>
      <c r="S63" s="145"/>
    </row>
    <row r="64" spans="10:19" ht="13.5" thickBot="1">
      <c r="J64" s="138">
        <f>courbes!A63</f>
        <v>5.083333333333333</v>
      </c>
      <c r="K64" s="139">
        <f t="shared" ca="1" si="0"/>
        <v>1.917533018105411E+21</v>
      </c>
      <c r="L64" s="141">
        <f>courbes!J63</f>
        <v>5.083333333333333</v>
      </c>
      <c r="M64" s="139">
        <f t="shared" ca="1" si="1"/>
        <v>1.9174387417865084E+21</v>
      </c>
      <c r="N64" s="139">
        <f>courbes!U63</f>
        <v>5.083333333333333</v>
      </c>
      <c r="O64" s="139">
        <f t="shared" ca="1" si="2"/>
        <v>1.9160249306444338E+21</v>
      </c>
      <c r="Q64" s="139">
        <f t="shared" ca="1" si="3"/>
        <v>0</v>
      </c>
      <c r="R64" s="145"/>
      <c r="S64" s="145"/>
    </row>
    <row r="65" spans="10:19" ht="13.5" thickBot="1">
      <c r="J65" s="138">
        <f>courbes!A64</f>
        <v>5.166666666666667</v>
      </c>
      <c r="K65" s="139">
        <f t="shared" ca="1" si="0"/>
        <v>1.9128766761325751E+21</v>
      </c>
      <c r="L65" s="141">
        <f>courbes!J64</f>
        <v>5.166666666666667</v>
      </c>
      <c r="M65" s="139">
        <f t="shared" ca="1" si="1"/>
        <v>1.9127908474787529E+21</v>
      </c>
      <c r="N65" s="139">
        <f>courbes!U64</f>
        <v>5.166666666666667</v>
      </c>
      <c r="O65" s="139">
        <f t="shared" ca="1" si="2"/>
        <v>1.9113473984016878E+21</v>
      </c>
      <c r="Q65" s="139">
        <f t="shared" ca="1" si="3"/>
        <v>0</v>
      </c>
      <c r="R65" s="145"/>
      <c r="S65" s="145"/>
    </row>
    <row r="66" spans="10:19" ht="13.5" thickBot="1">
      <c r="J66" s="138">
        <f>courbes!A65</f>
        <v>5.25</v>
      </c>
      <c r="K66" s="139">
        <f t="shared" ca="1" si="0"/>
        <v>1.9082175612095418E+21</v>
      </c>
      <c r="L66" s="141">
        <f>courbes!J65</f>
        <v>5.25</v>
      </c>
      <c r="M66" s="139">
        <f t="shared" ca="1" si="1"/>
        <v>1.9081402905174257E+21</v>
      </c>
      <c r="N66" s="139">
        <f>courbes!U65</f>
        <v>5.25</v>
      </c>
      <c r="O66" s="139">
        <f t="shared" ca="1" si="2"/>
        <v>1.9066673329170709E+21</v>
      </c>
      <c r="Q66" s="139">
        <f t="shared" ca="1" si="3"/>
        <v>0</v>
      </c>
      <c r="R66" s="145"/>
      <c r="S66" s="145"/>
    </row>
    <row r="67" spans="10:19" ht="13.5" thickBot="1">
      <c r="J67" s="138">
        <f>courbes!A66</f>
        <v>5.333333333333333</v>
      </c>
      <c r="K67" s="139">
        <f t="shared" ref="K67:K130" ca="1" si="5">INDIRECT("courbes!"&amp;INDEX($D$3:$H$10,MATCH($B$2,$C$3:$C$10,0),MATCH(K$1,$D$2:$H$2,0))&amp;ROW($J66))</f>
        <v>1.9035559909992272E+21</v>
      </c>
      <c r="L67" s="141">
        <f>courbes!J66</f>
        <v>5.333333333333333</v>
      </c>
      <c r="M67" s="139">
        <f t="shared" ref="M67:M123" ca="1" si="6">INDIRECT("courbes!"&amp;INDEX($D$3:$H$10,MATCH($B$2,$C$3:$C$10,0),MATCH(M$1,$D$2:$H$2,0))&amp;ROW($J66))</f>
        <v>1.9034873824409876E+21</v>
      </c>
      <c r="N67" s="139">
        <f>courbes!U66</f>
        <v>5.333333333333333</v>
      </c>
      <c r="O67" s="139">
        <f t="shared" ref="O67:O130" ca="1" si="7">INDIRECT("courbes!"&amp;INDEX($D$3:$H$10,MATCH($B$2,$C$3:$C$10,0),MATCH(O$1,$D$2:$H$2,0))&amp;ROW($J66))</f>
        <v>1.9019850533267204E+21</v>
      </c>
      <c r="Q67" s="139">
        <f t="shared" ref="Q67:Q130" ca="1" si="8">INDIRECT("courbes!"&amp;INDEX($D$3:$H$10,MATCH($B$2,$C$3:$C$10,0),MATCH(Q$1,$D$2:$H$2,0))&amp;ROW($J66))</f>
        <v>0</v>
      </c>
      <c r="R67" s="145"/>
      <c r="S67" s="145"/>
    </row>
    <row r="68" spans="10:19" ht="13.5" thickBot="1">
      <c r="J68" s="138">
        <f>courbes!A67</f>
        <v>5.416666666666667</v>
      </c>
      <c r="K68" s="139">
        <f t="shared" ca="1" si="5"/>
        <v>1.8988922764857327E+21</v>
      </c>
      <c r="L68" s="141">
        <f>courbes!J67</f>
        <v>5.416666666666667</v>
      </c>
      <c r="M68" s="139">
        <f t="shared" ca="1" si="6"/>
        <v>1.8988324282952791E+21</v>
      </c>
      <c r="N68" s="139">
        <f>courbes!U67</f>
        <v>5.416666666666667</v>
      </c>
      <c r="O68" s="139">
        <f t="shared" ca="1" si="7"/>
        <v>1.8973008718999671E+21</v>
      </c>
      <c r="Q68" s="139">
        <f t="shared" ca="1" si="8"/>
        <v>0</v>
      </c>
      <c r="R68" s="145"/>
      <c r="S68" s="145"/>
    </row>
    <row r="69" spans="10:19" ht="13.5" thickBot="1">
      <c r="J69" s="138">
        <f>courbes!A68</f>
        <v>5.5</v>
      </c>
      <c r="K69" s="139">
        <f t="shared" ca="1" si="5"/>
        <v>1.894226722097996E+21</v>
      </c>
      <c r="L69" s="141">
        <f>courbes!J68</f>
        <v>5.5</v>
      </c>
      <c r="M69" s="139">
        <f t="shared" ca="1" si="6"/>
        <v>1.8941757267607455E+21</v>
      </c>
      <c r="N69" s="139">
        <f>courbes!U68</f>
        <v>5.5</v>
      </c>
      <c r="O69" s="139">
        <f t="shared" ca="1" si="7"/>
        <v>1.8926150941693198E+21</v>
      </c>
      <c r="Q69" s="139">
        <f t="shared" ca="1" si="8"/>
        <v>0</v>
      </c>
      <c r="R69" s="145"/>
      <c r="S69" s="145"/>
    </row>
    <row r="70" spans="10:19" ht="13.5" thickBot="1">
      <c r="J70" s="138">
        <f>courbes!A69</f>
        <v>5.583333333333333</v>
      </c>
      <c r="K70" s="139">
        <f t="shared" ca="1" si="5"/>
        <v>1.889559625831205E+21</v>
      </c>
      <c r="L70" s="141">
        <f>courbes!J69</f>
        <v>5.583333333333333</v>
      </c>
      <c r="M70" s="139">
        <f t="shared" ca="1" si="6"/>
        <v>1.8895175702796535E+21</v>
      </c>
      <c r="N70" s="139">
        <f>courbes!U69</f>
        <v>5.583333333333333</v>
      </c>
      <c r="O70" s="139">
        <f t="shared" ca="1" si="7"/>
        <v>1.8879280190580997E+21</v>
      </c>
      <c r="Q70" s="139">
        <f t="shared" ca="1" si="8"/>
        <v>0</v>
      </c>
      <c r="R70" s="145"/>
      <c r="S70" s="145"/>
    </row>
    <row r="71" spans="10:19" ht="13.5" thickBot="1">
      <c r="J71" s="138">
        <f>courbes!A70</f>
        <v>5.666666666666667</v>
      </c>
      <c r="K71" s="139">
        <f t="shared" ca="1" si="5"/>
        <v>1.884891279366022E+21</v>
      </c>
      <c r="L71" s="141">
        <f>courbes!J70</f>
        <v>5.666666666666667</v>
      </c>
      <c r="M71" s="139">
        <f t="shared" ca="1" si="6"/>
        <v>1.8848582451833162E+21</v>
      </c>
      <c r="N71" s="139">
        <f>courbes!U70</f>
        <v>5.666666666666667</v>
      </c>
      <c r="O71" s="139">
        <f t="shared" ca="1" si="7"/>
        <v>1.8832399390057733E+21</v>
      </c>
      <c r="Q71" s="139">
        <f t="shared" ca="1" si="8"/>
        <v>0</v>
      </c>
      <c r="R71" s="145"/>
      <c r="S71" s="145"/>
    </row>
    <row r="72" spans="10:19" ht="13.5" thickBot="1">
      <c r="J72" s="138">
        <f>courbes!A71</f>
        <v>5.75</v>
      </c>
      <c r="K72" s="139">
        <f t="shared" ca="1" si="5"/>
        <v>1.8802219681856524E+21</v>
      </c>
      <c r="L72" s="141">
        <f>courbes!J71</f>
        <v>5.75</v>
      </c>
      <c r="M72" s="139">
        <f t="shared" ca="1" si="6"/>
        <v>1.8801980318193138E+21</v>
      </c>
      <c r="N72" s="139">
        <f>courbes!U71</f>
        <v>5.75</v>
      </c>
      <c r="O72" s="139">
        <f t="shared" ca="1" si="7"/>
        <v>1.8785511400910102E+21</v>
      </c>
      <c r="Q72" s="139">
        <f t="shared" ca="1" si="8"/>
        <v>0</v>
      </c>
      <c r="R72" s="145"/>
      <c r="S72" s="145"/>
    </row>
    <row r="73" spans="10:19" ht="13.5" thickBot="1">
      <c r="J73" s="138">
        <f>courbes!A72</f>
        <v>5.833333333333333</v>
      </c>
      <c r="K73" s="139">
        <f t="shared" ca="1" si="5"/>
        <v>1.8755519716908034E+21</v>
      </c>
      <c r="L73" s="141">
        <f>courbes!J72</f>
        <v>5.833333333333333</v>
      </c>
      <c r="M73" s="139">
        <f t="shared" ca="1" si="6"/>
        <v>1.8755372046787137E+21</v>
      </c>
      <c r="N73" s="139">
        <f>courbes!U72</f>
        <v>5.833333333333333</v>
      </c>
      <c r="O73" s="139">
        <f t="shared" ca="1" si="7"/>
        <v>1.8738619021525191E+21</v>
      </c>
      <c r="Q73" s="139">
        <f t="shared" ca="1" si="8"/>
        <v>0</v>
      </c>
      <c r="R73" s="145"/>
      <c r="S73" s="145"/>
    </row>
    <row r="74" spans="10:19" ht="13.5" thickBot="1">
      <c r="J74" s="138">
        <f>courbes!A73</f>
        <v>5.916666666666667</v>
      </c>
      <c r="K74" s="139">
        <f t="shared" ca="1" si="5"/>
        <v>1.8708815633125679E+21</v>
      </c>
      <c r="L74" s="141">
        <f>courbes!J73</f>
        <v>5.916666666666667</v>
      </c>
      <c r="M74" s="139">
        <f t="shared" ca="1" si="6"/>
        <v>1.8708760325232929E+21</v>
      </c>
      <c r="N74" s="139">
        <f>courbes!U73</f>
        <v>5.916666666666667</v>
      </c>
      <c r="O74" s="139">
        <f t="shared" ca="1" si="7"/>
        <v>1.8691724989076917E+21</v>
      </c>
      <c r="Q74" s="139">
        <f t="shared" ca="1" si="8"/>
        <v>0</v>
      </c>
      <c r="R74" s="145"/>
      <c r="S74" s="145"/>
    </row>
    <row r="75" spans="10:19" ht="13.5" thickBot="1">
      <c r="J75" s="138">
        <f>courbes!A74</f>
        <v>6</v>
      </c>
      <c r="K75" s="139">
        <f t="shared" ca="1" si="5"/>
        <v>1.8662110106232726E+21</v>
      </c>
      <c r="L75" s="141">
        <f>courbes!J74</f>
        <v>6</v>
      </c>
      <c r="M75" s="139">
        <f t="shared" ca="1" si="6"/>
        <v>1.8662147785127588E+21</v>
      </c>
      <c r="N75" s="139">
        <f>courbes!U74</f>
        <v>6</v>
      </c>
      <c r="O75" s="139">
        <f t="shared" ca="1" si="7"/>
        <v>1.8644831980690926E+21</v>
      </c>
      <c r="Q75" s="139">
        <f t="shared" ca="1" si="8"/>
        <v>0</v>
      </c>
      <c r="R75" s="145"/>
      <c r="S75" s="145"/>
    </row>
    <row r="76" spans="10:19" ht="13.5" thickBot="1">
      <c r="J76" s="138">
        <f>courbes!A75</f>
        <v>6.083333333333333</v>
      </c>
      <c r="K76" s="139">
        <f t="shared" ca="1" si="5"/>
        <v>1.8615405754453299E+21</v>
      </c>
      <c r="L76" s="141">
        <f>courbes!J75</f>
        <v>6.083333333333333</v>
      </c>
      <c r="M76" s="139">
        <f t="shared" ca="1" si="6"/>
        <v>1.8615536944946078E+21</v>
      </c>
      <c r="N76" s="139">
        <f>courbes!U75</f>
        <v>6.083333333333333</v>
      </c>
      <c r="O76" s="139">
        <f t="shared" ca="1" si="7"/>
        <v>1.8597942614588405E+21</v>
      </c>
      <c r="Q76" s="139">
        <f t="shared" ca="1" si="8"/>
        <v>0</v>
      </c>
      <c r="R76" s="145"/>
      <c r="S76" s="145"/>
    </row>
    <row r="77" spans="10:19" ht="13.5" thickBot="1">
      <c r="J77" s="138">
        <f>courbes!A76</f>
        <v>6.166666666666667</v>
      </c>
      <c r="K77" s="139">
        <f t="shared" ca="1" si="5"/>
        <v>1.8568705139581261E+21</v>
      </c>
      <c r="L77" s="141">
        <f>courbes!J76</f>
        <v>6.166666666666667</v>
      </c>
      <c r="M77" s="139">
        <f t="shared" ca="1" si="6"/>
        <v>1.8568930360184115E+21</v>
      </c>
      <c r="N77" s="139">
        <f>courbes!U76</f>
        <v>6.166666666666667</v>
      </c>
      <c r="O77" s="139">
        <f t="shared" ca="1" si="7"/>
        <v>1.8551059451209056E+21</v>
      </c>
      <c r="Q77" s="139">
        <f t="shared" ca="1" si="8"/>
        <v>0</v>
      </c>
      <c r="R77" s="145"/>
      <c r="S77" s="145"/>
    </row>
    <row r="78" spans="10:19" ht="13.5" thickBot="1">
      <c r="J78" s="138">
        <f>courbes!A77</f>
        <v>6.25</v>
      </c>
      <c r="K78" s="139">
        <f t="shared" ca="1" si="5"/>
        <v>1.8522010768029857E+21</v>
      </c>
      <c r="L78" s="141">
        <f>courbes!J77</f>
        <v>6.25</v>
      </c>
      <c r="M78" s="139">
        <f t="shared" ca="1" si="6"/>
        <v>1.8522330493107257E+21</v>
      </c>
      <c r="N78" s="139">
        <f>courbes!U77</f>
        <v>6.25</v>
      </c>
      <c r="O78" s="139">
        <f t="shared" ca="1" si="7"/>
        <v>1.8504184994313722E+21</v>
      </c>
      <c r="Q78" s="139">
        <f t="shared" ca="1" si="8"/>
        <v>0</v>
      </c>
      <c r="R78" s="145"/>
      <c r="S78" s="145"/>
    </row>
    <row r="79" spans="10:19" ht="13.5" thickBot="1">
      <c r="J79" s="138">
        <f>courbes!A78</f>
        <v>6.333333333333333</v>
      </c>
      <c r="K79" s="139">
        <f t="shared" ca="1" si="5"/>
        <v>1.8475325091862455E+21</v>
      </c>
      <c r="L79" s="141">
        <f>courbes!J78</f>
        <v>6.333333333333333</v>
      </c>
      <c r="M79" s="139">
        <f t="shared" ca="1" si="6"/>
        <v>1.8475739753011814E+21</v>
      </c>
      <c r="N79" s="139">
        <f>courbes!U78</f>
        <v>6.333333333333333</v>
      </c>
      <c r="O79" s="139">
        <f t="shared" ca="1" si="7"/>
        <v>1.8457321692066905E+21</v>
      </c>
      <c r="Q79" s="139">
        <f t="shared" ca="1" si="8"/>
        <v>0</v>
      </c>
      <c r="R79" s="145"/>
      <c r="S79" s="145"/>
    </row>
    <row r="80" spans="10:19" ht="13.5" thickBot="1">
      <c r="J80" s="138">
        <f>courbes!A79</f>
        <v>6.416666666666667</v>
      </c>
      <c r="K80" s="139">
        <f t="shared" ca="1" si="5"/>
        <v>1.8428650509804726E+21</v>
      </c>
      <c r="L80" s="141">
        <f>courbes!J79</f>
        <v>6.416666666666667</v>
      </c>
      <c r="M80" s="139">
        <f t="shared" ca="1" si="6"/>
        <v>1.8429160497249182E+21</v>
      </c>
      <c r="N80" s="139">
        <f>courbes!U79</f>
        <v>6.416666666666667</v>
      </c>
      <c r="O80" s="139">
        <f t="shared" ca="1" si="7"/>
        <v>1.8410471938099614E+21</v>
      </c>
      <c r="Q80" s="139">
        <f t="shared" ca="1" si="8"/>
        <v>0</v>
      </c>
      <c r="R80" s="145"/>
      <c r="S80" s="145"/>
    </row>
    <row r="81" spans="10:19" ht="13.5" thickBot="1">
      <c r="J81" s="138">
        <f>courbes!A80</f>
        <v>6.5</v>
      </c>
      <c r="K81" s="139">
        <f t="shared" ca="1" si="5"/>
        <v>1.8381989368238608E+21</v>
      </c>
      <c r="L81" s="141">
        <f>courbes!J80</f>
        <v>6.5</v>
      </c>
      <c r="M81" s="139">
        <f t="shared" ca="1" si="6"/>
        <v>1.8382595032250277E+21</v>
      </c>
      <c r="N81" s="139">
        <f>courbes!U80</f>
        <v>6.5</v>
      </c>
      <c r="O81" s="139">
        <f t="shared" ca="1" si="7"/>
        <v>1.8363638072552818E+21</v>
      </c>
      <c r="Q81" s="139">
        <f t="shared" ca="1" si="8"/>
        <v>0</v>
      </c>
      <c r="R81" s="145"/>
      <c r="S81" s="145"/>
    </row>
    <row r="82" spans="10:19" ht="13.5" thickBot="1">
      <c r="J82" s="138">
        <f>courbes!A81</f>
        <v>6.583333333333333</v>
      </c>
      <c r="K82" s="139">
        <f t="shared" ca="1" si="5"/>
        <v>1.8335343962178383E+21</v>
      </c>
      <c r="L82" s="141">
        <f>courbes!J81</f>
        <v>6.583333333333333</v>
      </c>
      <c r="M82" s="139">
        <f t="shared" ca="1" si="6"/>
        <v>1.8336045614549875E+21</v>
      </c>
      <c r="N82" s="139">
        <f>courbes!U81</f>
        <v>6.583333333333333</v>
      </c>
      <c r="O82" s="139">
        <f t="shared" ca="1" si="7"/>
        <v>1.8316822383101902E+21</v>
      </c>
      <c r="Q82" s="139">
        <f t="shared" ca="1" si="8"/>
        <v>0</v>
      </c>
    </row>
    <row r="83" spans="10:19" ht="13.5" thickBot="1">
      <c r="J83" s="138">
        <f>courbes!A82</f>
        <v>6.666666666666667</v>
      </c>
      <c r="K83" s="139">
        <f t="shared" ca="1" si="5"/>
        <v>1.8288716536229195E+21</v>
      </c>
      <c r="L83" s="141">
        <f>courbes!J82</f>
        <v>6.666666666666667</v>
      </c>
      <c r="M83" s="139">
        <f t="shared" ca="1" si="6"/>
        <v>1.828951445181102E+21</v>
      </c>
      <c r="N83" s="139">
        <f>courbes!U82</f>
        <v>6.666666666666667</v>
      </c>
      <c r="O83" s="139">
        <f t="shared" ca="1" si="7"/>
        <v>1.8270027105962411E+21</v>
      </c>
      <c r="Q83" s="139">
        <f t="shared" ca="1" si="8"/>
        <v>0</v>
      </c>
    </row>
    <row r="84" spans="10:19" ht="13.5" thickBot="1">
      <c r="J84" s="138">
        <f>courbes!A83</f>
        <v>6.75</v>
      </c>
      <c r="K84" s="139">
        <f t="shared" ca="1" si="5"/>
        <v>1.8242109285528327E+21</v>
      </c>
      <c r="L84" s="141">
        <f>courbes!J83</f>
        <v>6.75</v>
      </c>
      <c r="M84" s="139">
        <f t="shared" ca="1" si="6"/>
        <v>1.8243003703849407E+21</v>
      </c>
      <c r="N84" s="139">
        <f>courbes!U83</f>
        <v>6.75</v>
      </c>
      <c r="O84" s="139">
        <f t="shared" ca="1" si="7"/>
        <v>1.8223254426877467E+21</v>
      </c>
      <c r="Q84" s="139">
        <f t="shared" ca="1" si="8"/>
        <v>0</v>
      </c>
    </row>
    <row r="85" spans="10:19" ht="13.5" thickBot="1">
      <c r="J85" s="138">
        <f>courbes!A84</f>
        <v>6.833333333333333</v>
      </c>
      <c r="K85" s="139">
        <f t="shared" ca="1" si="5"/>
        <v>1.819552435666955E+21</v>
      </c>
      <c r="L85" s="141">
        <f>courbes!J84</f>
        <v>6.833333333333333</v>
      </c>
      <c r="M85" s="139">
        <f t="shared" ca="1" si="6"/>
        <v>1.8196515483657754E+21</v>
      </c>
      <c r="N85" s="139">
        <f>courbes!U84</f>
        <v>6.833333333333333</v>
      </c>
      <c r="O85" s="139">
        <f t="shared" ca="1" si="7"/>
        <v>1.8176506482087079E+21</v>
      </c>
      <c r="Q85" s="139">
        <f t="shared" ca="1" si="8"/>
        <v>0</v>
      </c>
    </row>
    <row r="86" spans="10:19" ht="13.5" thickBot="1">
      <c r="J86" s="138">
        <f>courbes!A85</f>
        <v>6.916666666666667</v>
      </c>
      <c r="K86" s="139">
        <f t="shared" ca="1" si="5"/>
        <v>1.8148963848610846E+21</v>
      </c>
      <c r="L86" s="141">
        <f>courbes!J85</f>
        <v>6.916666666666667</v>
      </c>
      <c r="M86" s="139">
        <f t="shared" ca="1" si="6"/>
        <v>1.815005185843017E+21</v>
      </c>
      <c r="N86" s="139">
        <f>courbes!U85</f>
        <v>6.916666666666667</v>
      </c>
      <c r="O86" s="139">
        <f t="shared" ca="1" si="7"/>
        <v>1.8129785359279805E+21</v>
      </c>
      <c r="Q86" s="139">
        <f t="shared" ca="1" si="8"/>
        <v>0</v>
      </c>
    </row>
    <row r="87" spans="10:19" ht="13.5" thickBot="1">
      <c r="J87" s="138">
        <f>courbes!A86</f>
        <v>7</v>
      </c>
      <c r="K87" s="139">
        <f t="shared" ca="1" si="5"/>
        <v>1.8102429813565812E+21</v>
      </c>
      <c r="L87" s="141">
        <f>courbes!J86</f>
        <v>7</v>
      </c>
      <c r="M87" s="139">
        <f t="shared" ca="1" si="6"/>
        <v>1.8103614850586591E+21</v>
      </c>
      <c r="N87" s="139">
        <f>courbes!U86</f>
        <v>7</v>
      </c>
      <c r="O87" s="139">
        <f t="shared" ca="1" si="7"/>
        <v>1.8083093098526923E+21</v>
      </c>
      <c r="Q87" s="139">
        <f t="shared" ca="1" si="8"/>
        <v>0</v>
      </c>
    </row>
    <row r="88" spans="10:19" ht="13.5" thickBot="1">
      <c r="J88" s="138">
        <f>courbes!A87</f>
        <v>7.083333333333333</v>
      </c>
      <c r="K88" s="139">
        <f t="shared" ca="1" si="5"/>
        <v>1.8055924257879037E+21</v>
      </c>
      <c r="L88" s="141">
        <f>courbes!J87</f>
        <v>7.083333333333333</v>
      </c>
      <c r="M88" s="139">
        <f t="shared" ca="1" si="6"/>
        <v>1.8057206392006391E+21</v>
      </c>
      <c r="N88" s="139">
        <f>courbes!U87</f>
        <v>7.083333333333333</v>
      </c>
      <c r="O88" s="139">
        <f t="shared" ca="1" si="7"/>
        <v>1.8036431693199568E+21</v>
      </c>
      <c r="Q88" s="139">
        <f t="shared" ca="1" si="8"/>
        <v>0</v>
      </c>
    </row>
    <row r="89" spans="10:19" ht="13.5" thickBot="1">
      <c r="J89" s="138">
        <f>courbes!A88</f>
        <v>7.166666666666667</v>
      </c>
      <c r="K89" s="139">
        <f t="shared" ca="1" si="5"/>
        <v>1.8009449142885753E+21</v>
      </c>
      <c r="L89" s="141">
        <f>courbes!J88</f>
        <v>7.166666666666667</v>
      </c>
      <c r="M89" s="139">
        <f t="shared" ca="1" si="6"/>
        <v>1.8010828444367357E+21</v>
      </c>
      <c r="N89" s="139">
        <f>courbes!U88</f>
        <v>7.166666666666667</v>
      </c>
      <c r="O89" s="139">
        <f t="shared" ca="1" si="7"/>
        <v>1.7989803090868998E+21</v>
      </c>
      <c r="Q89" s="139">
        <f t="shared" ca="1" si="8"/>
        <v>0</v>
      </c>
    </row>
    <row r="90" spans="10:19" ht="13.5" thickBot="1">
      <c r="J90" s="138">
        <f>courbes!A89</f>
        <v>7.25</v>
      </c>
      <c r="K90" s="139">
        <f t="shared" ca="1" si="5"/>
        <v>1.7963006385756014E+21</v>
      </c>
      <c r="L90" s="141">
        <f>courbes!J89</f>
        <v>7.25</v>
      </c>
      <c r="M90" s="139">
        <f t="shared" ca="1" si="6"/>
        <v>1.7964482894770356E+21</v>
      </c>
      <c r="N90" s="139">
        <f>courbes!U89</f>
        <v>7.25</v>
      </c>
      <c r="O90" s="139">
        <f t="shared" ca="1" si="7"/>
        <v>1.7943209194190398E+21</v>
      </c>
      <c r="Q90" s="139">
        <f t="shared" ca="1" si="8"/>
        <v>0</v>
      </c>
    </row>
    <row r="91" spans="10:19" ht="13.5" thickBot="1">
      <c r="J91" s="138">
        <f>courbes!A90</f>
        <v>7.333333333333333</v>
      </c>
      <c r="K91" s="139">
        <f t="shared" ca="1" si="5"/>
        <v>1.7916597860323717E+21</v>
      </c>
      <c r="L91" s="141">
        <f>courbes!J90</f>
        <v>7.333333333333333</v>
      </c>
      <c r="M91" s="139">
        <f t="shared" ca="1" si="6"/>
        <v>1.7918171588004356E+21</v>
      </c>
      <c r="N91" s="139">
        <f>courbes!U90</f>
        <v>7.333333333333333</v>
      </c>
      <c r="O91" s="139">
        <f t="shared" ca="1" si="7"/>
        <v>1.7896651861770416E+21</v>
      </c>
      <c r="Q91" s="139">
        <f t="shared" ca="1" si="8"/>
        <v>0</v>
      </c>
    </row>
    <row r="92" spans="10:19" ht="13.5" thickBot="1">
      <c r="J92" s="138">
        <f>courbes!A91</f>
        <v>7.416666666666667</v>
      </c>
      <c r="K92" s="139">
        <f t="shared" ca="1" si="5"/>
        <v>1.7870225397900708E+21</v>
      </c>
      <c r="L92" s="141">
        <f>courbes!J91</f>
        <v>7.416666666666667</v>
      </c>
      <c r="M92" s="139">
        <f t="shared" ca="1" si="6"/>
        <v>1.7871896327371817E+21</v>
      </c>
      <c r="N92" s="139">
        <f>courbes!U91</f>
        <v>7.416666666666667</v>
      </c>
      <c r="O92" s="139">
        <f t="shared" ca="1" si="7"/>
        <v>1.7850132909018817E+21</v>
      </c>
      <c r="Q92" s="139">
        <f t="shared" ca="1" si="8"/>
        <v>0</v>
      </c>
    </row>
    <row r="93" spans="10:19" ht="13.5" thickBot="1">
      <c r="J93" s="138">
        <f>courbes!A92</f>
        <v>7.5</v>
      </c>
      <c r="K93" s="139">
        <f t="shared" ca="1" si="5"/>
        <v>1.7823890788076272E+21</v>
      </c>
      <c r="L93" s="141">
        <f>courbes!J92</f>
        <v>7.5</v>
      </c>
      <c r="M93" s="139">
        <f t="shared" ca="1" si="6"/>
        <v>1.7825658875514066E+21</v>
      </c>
      <c r="N93" s="139">
        <f>courbes!U92</f>
        <v>7.5</v>
      </c>
      <c r="O93" s="139">
        <f t="shared" ca="1" si="7"/>
        <v>1.780365410898444E+21</v>
      </c>
      <c r="Q93" s="139">
        <f t="shared" ca="1" si="8"/>
        <v>0</v>
      </c>
    </row>
    <row r="94" spans="10:19" ht="13.5" thickBot="1">
      <c r="J94" s="138">
        <f>courbes!A93</f>
        <v>7.583333333333333</v>
      </c>
      <c r="K94" s="139">
        <f t="shared" ca="1" si="5"/>
        <v>1.7777595779502231E+21</v>
      </c>
      <c r="L94" s="141">
        <f>courbes!J93</f>
        <v>7.583333333333333</v>
      </c>
      <c r="M94" s="139">
        <f t="shared" ca="1" si="6"/>
        <v>1.7779460955236705E+21</v>
      </c>
      <c r="N94" s="139">
        <f>courbes!U93</f>
        <v>7.583333333333333</v>
      </c>
      <c r="O94" s="139">
        <f t="shared" ca="1" si="7"/>
        <v>1.7757217193175802E+21</v>
      </c>
      <c r="Q94" s="139">
        <f t="shared" ca="1" si="8"/>
        <v>0</v>
      </c>
    </row>
    <row r="95" spans="10:19" ht="13.5" thickBot="1">
      <c r="J95" s="138">
        <f>courbes!A94</f>
        <v>7.666666666666667</v>
      </c>
      <c r="K95" s="139">
        <f t="shared" ca="1" si="5"/>
        <v>1.7731342080663948E+21</v>
      </c>
      <c r="L95" s="141">
        <f>courbes!J94</f>
        <v>7.666666666666667</v>
      </c>
      <c r="M95" s="139">
        <f t="shared" ca="1" si="6"/>
        <v>1.773330425033498E+21</v>
      </c>
      <c r="N95" s="139">
        <f>courbes!U94</f>
        <v>7.666666666666667</v>
      </c>
      <c r="O95" s="139">
        <f t="shared" ca="1" si="7"/>
        <v>1.7710823852366595E+21</v>
      </c>
      <c r="Q95" s="139">
        <f t="shared" ca="1" si="8"/>
        <v>0</v>
      </c>
    </row>
    <row r="96" spans="10:19" ht="13.5" thickBot="1">
      <c r="J96" s="138">
        <f>courbes!A95</f>
        <v>7.75</v>
      </c>
      <c r="K96" s="139">
        <f t="shared" ca="1" si="5"/>
        <v>1.7685131360637459E+21</v>
      </c>
      <c r="L96" s="141">
        <f>courbes!J95</f>
        <v>7.75</v>
      </c>
      <c r="M96" s="139">
        <f t="shared" ca="1" si="6"/>
        <v>1.7687190406419175E+21</v>
      </c>
      <c r="N96" s="139">
        <f>courbes!U95</f>
        <v>7.75</v>
      </c>
      <c r="O96" s="139">
        <f t="shared" ca="1" si="7"/>
        <v>1.7664475737386325E+21</v>
      </c>
      <c r="Q96" s="139">
        <f t="shared" ca="1" si="8"/>
        <v>0</v>
      </c>
      <c r="R96" s="153"/>
      <c r="S96" s="153"/>
    </row>
    <row r="97" spans="10:19" ht="13.5" thickBot="1">
      <c r="J97" s="138">
        <f>courbes!A96</f>
        <v>7.833333333333333</v>
      </c>
      <c r="K97" s="139">
        <f t="shared" ca="1" si="5"/>
        <v>1.7638965249833E+21</v>
      </c>
      <c r="L97" s="141">
        <f>courbes!J96</f>
        <v>7.833333333333333</v>
      </c>
      <c r="M97" s="139">
        <f t="shared" ca="1" si="6"/>
        <v>1.7641121031739998E+21</v>
      </c>
      <c r="N97" s="139">
        <f>courbes!U96</f>
        <v>7.833333333333333</v>
      </c>
      <c r="O97" s="139">
        <f t="shared" ca="1" si="7"/>
        <v>1.7618174459896424E+21</v>
      </c>
      <c r="Q97" s="139">
        <f t="shared" ca="1" si="8"/>
        <v>0</v>
      </c>
      <c r="R97" s="153"/>
      <c r="S97" s="153"/>
    </row>
    <row r="98" spans="10:19" ht="13.5" thickBot="1">
      <c r="J98" s="138">
        <f>courbes!A97</f>
        <v>7.916666666666667</v>
      </c>
      <c r="K98" s="139">
        <f t="shared" ca="1" si="5"/>
        <v>1.759284534072516E+21</v>
      </c>
      <c r="L98" s="141">
        <f>courbes!J97</f>
        <v>7.916666666666667</v>
      </c>
      <c r="M98" s="139">
        <f t="shared" ca="1" si="6"/>
        <v>1.7595097698013972E+21</v>
      </c>
      <c r="N98" s="139">
        <f>courbes!U97</f>
        <v>7.916666666666667</v>
      </c>
      <c r="O98" s="139">
        <f t="shared" ca="1" si="7"/>
        <v>1.7571921593151974E+21</v>
      </c>
      <c r="Q98" s="139">
        <f t="shared" ca="1" si="8"/>
        <v>0</v>
      </c>
      <c r="R98" s="153"/>
      <c r="S98" s="153"/>
    </row>
    <row r="99" spans="10:19" ht="13.5" thickBot="1">
      <c r="J99" s="138">
        <f>courbes!A98</f>
        <v>8</v>
      </c>
      <c r="K99" s="139">
        <f t="shared" ca="1" si="5"/>
        <v>1.754677318856991E+21</v>
      </c>
      <c r="L99" s="141">
        <f>courbes!J98</f>
        <v>8</v>
      </c>
      <c r="M99" s="139">
        <f t="shared" ca="1" si="6"/>
        <v>1.7549121941248811E+21</v>
      </c>
      <c r="N99" s="139">
        <f>courbes!U98</f>
        <v>8</v>
      </c>
      <c r="O99" s="139">
        <f t="shared" ca="1" si="7"/>
        <v>1.7525718672749463E+21</v>
      </c>
      <c r="Q99" s="139">
        <f t="shared" ca="1" si="8"/>
        <v>0</v>
      </c>
      <c r="R99" s="153"/>
      <c r="S99" s="153"/>
    </row>
    <row r="100" spans="10:19" ht="13.5" thickBot="1">
      <c r="J100" s="138">
        <f>courbes!A99</f>
        <v>8.0833333333333339</v>
      </c>
      <c r="K100" s="139">
        <f t="shared" ca="1" si="5"/>
        <v>1.7500750312108736E+21</v>
      </c>
      <c r="L100" s="141">
        <f>courbes!J99</f>
        <v>8.0833333333333339</v>
      </c>
      <c r="M100" s="139">
        <f t="shared" ca="1" si="6"/>
        <v>1.7503195224924543E+21</v>
      </c>
      <c r="N100" s="139">
        <f>courbes!U99</f>
        <v>8.0833333333333339</v>
      </c>
      <c r="O100" s="139">
        <f t="shared" ca="1" si="7"/>
        <v>1.7479567197360617E+21</v>
      </c>
      <c r="Q100" s="139">
        <f t="shared" ca="1" si="8"/>
        <v>0</v>
      </c>
      <c r="R100" s="153"/>
      <c r="S100" s="153"/>
    </row>
    <row r="101" spans="10:19" ht="13.5" thickBot="1">
      <c r="J101" s="138">
        <f>courbes!A100</f>
        <v>8.1666666666666661</v>
      </c>
      <c r="K101" s="139">
        <f t="shared" ca="1" si="5"/>
        <v>1.7454778194260103E+21</v>
      </c>
      <c r="L101" s="141">
        <f>courbes!J100</f>
        <v>8.1666666666666661</v>
      </c>
      <c r="M101" s="139">
        <f t="shared" ca="1" si="6"/>
        <v>1.7457319036800826E+21</v>
      </c>
      <c r="N101" s="139">
        <f>courbes!U100</f>
        <v>8.1666666666666661</v>
      </c>
      <c r="O101" s="139">
        <f t="shared" ca="1" si="7"/>
        <v>1.7433468629452768E+21</v>
      </c>
      <c r="Q101" s="139">
        <f t="shared" ca="1" si="8"/>
        <v>0</v>
      </c>
      <c r="R101" s="153"/>
      <c r="S101" s="153"/>
    </row>
    <row r="102" spans="10:19" ht="13.5" thickBot="1">
      <c r="J102" s="138">
        <f>courbes!A101</f>
        <v>8.25</v>
      </c>
      <c r="K102" s="139">
        <f t="shared" ca="1" si="5"/>
        <v>1.7408858282798489E+21</v>
      </c>
      <c r="L102" s="141">
        <f>courbes!J101</f>
        <v>8.25</v>
      </c>
      <c r="M102" s="139">
        <f t="shared" ca="1" si="6"/>
        <v>1.7411494804960929E+21</v>
      </c>
      <c r="N102" s="139">
        <f>courbes!U101</f>
        <v>8.25</v>
      </c>
      <c r="O102" s="139">
        <f t="shared" ca="1" si="7"/>
        <v>1.7387424395995833E+21</v>
      </c>
      <c r="Q102" s="139">
        <f t="shared" ca="1" si="8"/>
        <v>0</v>
      </c>
      <c r="R102" s="153"/>
      <c r="S102" s="153"/>
    </row>
    <row r="103" spans="10:19" ht="13.5" thickBot="1">
      <c r="J103" s="138">
        <f>courbes!A102</f>
        <v>8.3333333333333339</v>
      </c>
      <c r="K103" s="139">
        <f t="shared" ca="1" si="5"/>
        <v>1.7362991991021191E+21</v>
      </c>
      <c r="L103" s="141">
        <f>courbes!J102</f>
        <v>8.3333333333333339</v>
      </c>
      <c r="M103" s="139">
        <f t="shared" ca="1" si="6"/>
        <v>1.7365723923764079E+21</v>
      </c>
      <c r="N103" s="139">
        <f>courbes!U102</f>
        <v>8.3333333333333339</v>
      </c>
      <c r="O103" s="139">
        <f t="shared" ca="1" si="7"/>
        <v>1.7341435889156235E+21</v>
      </c>
      <c r="P103" s="153"/>
      <c r="Q103" s="139">
        <f t="shared" ca="1" si="8"/>
        <v>0</v>
      </c>
      <c r="R103" s="153"/>
      <c r="S103" s="153"/>
    </row>
    <row r="104" spans="10:19" ht="13.5" thickBot="1">
      <c r="J104" s="138">
        <f>courbes!A103</f>
        <v>8.4166666666666661</v>
      </c>
      <c r="K104" s="139">
        <f t="shared" ca="1" si="5"/>
        <v>1.7317180698403136E+21</v>
      </c>
      <c r="L104" s="141">
        <f>courbes!J103</f>
        <v>8.4166666666666661</v>
      </c>
      <c r="M104" s="139">
        <f t="shared" ca="1" si="6"/>
        <v>1.7320007754510544E+21</v>
      </c>
      <c r="N104" s="139">
        <f>courbes!U103</f>
        <v>8.4166666666666661</v>
      </c>
      <c r="O104" s="139">
        <f t="shared" ca="1" si="7"/>
        <v>1.7295504466977937E+21</v>
      </c>
      <c r="P104" s="153"/>
      <c r="Q104" s="139">
        <f t="shared" ca="1" si="8"/>
        <v>0</v>
      </c>
      <c r="R104" s="153"/>
      <c r="S104" s="153"/>
    </row>
    <row r="105" spans="10:19" ht="13.5" thickBot="1">
      <c r="J105" s="138">
        <f>courbes!A104</f>
        <v>8.5</v>
      </c>
      <c r="K105" s="139">
        <f t="shared" ca="1" si="5"/>
        <v>1.7271425751239914E+21</v>
      </c>
      <c r="L105" s="141">
        <f>courbes!J104</f>
        <v>8.5</v>
      </c>
      <c r="M105" s="139">
        <f t="shared" ca="1" si="6"/>
        <v>1.7274347626106729E+21</v>
      </c>
      <c r="N105" s="139">
        <f>courbes!U104</f>
        <v>8.5</v>
      </c>
      <c r="O105" s="139">
        <f t="shared" ca="1" si="7"/>
        <v>1.7249631454050892E+21</v>
      </c>
      <c r="P105" s="153"/>
      <c r="Q105" s="139">
        <f t="shared" ca="1" si="8"/>
        <v>0</v>
      </c>
      <c r="R105" s="153"/>
      <c r="S105" s="153"/>
    </row>
    <row r="106" spans="10:19" ht="13.5" thickBot="1">
      <c r="J106" s="138">
        <f>courbes!A105</f>
        <v>8.5833333333333339</v>
      </c>
      <c r="K106" s="139">
        <f t="shared" ca="1" si="5"/>
        <v>1.7225728463279222E+21</v>
      </c>
      <c r="L106" s="141">
        <f>courbes!J105</f>
        <v>8.5833333333333339</v>
      </c>
      <c r="M106" s="139">
        <f t="shared" ca="1" si="6"/>
        <v>1.7228744835730251E+21</v>
      </c>
      <c r="N106" s="139">
        <f>courbes!U105</f>
        <v>8.5833333333333339</v>
      </c>
      <c r="O106" s="139">
        <f t="shared" ca="1" si="7"/>
        <v>1.7203818142167057E+21</v>
      </c>
      <c r="P106" s="153"/>
      <c r="Q106" s="139">
        <f t="shared" ca="1" si="8"/>
        <v>0</v>
      </c>
      <c r="R106" s="153"/>
      <c r="S106" s="153"/>
    </row>
    <row r="107" spans="10:19" ht="13.5" thickBot="1">
      <c r="J107" s="138">
        <f>courbes!A106</f>
        <v>8.6666666666666661</v>
      </c>
      <c r="K107" s="139">
        <f t="shared" ca="1" si="5"/>
        <v>1.7180090116340945E+21</v>
      </c>
      <c r="L107" s="141">
        <f>courbes!J106</f>
        <v>8.6666666666666661</v>
      </c>
      <c r="M107" s="139">
        <f t="shared" ca="1" si="6"/>
        <v>1.718320064949505E+21</v>
      </c>
      <c r="N107" s="139">
        <f>courbes!U106</f>
        <v>8.6666666666666661</v>
      </c>
      <c r="O107" s="139">
        <f t="shared" ca="1" si="7"/>
        <v>1.7158065790964256E+21</v>
      </c>
      <c r="P107" s="153"/>
      <c r="Q107" s="139">
        <f t="shared" ca="1" si="8"/>
        <v>0</v>
      </c>
      <c r="R107" s="153"/>
      <c r="S107" s="153"/>
    </row>
    <row r="108" spans="10:19" ht="13.5" thickBot="1">
      <c r="J108" s="138">
        <f>courbes!A107</f>
        <v>8.75</v>
      </c>
      <c r="K108" s="139">
        <f t="shared" ca="1" si="5"/>
        <v>1.7134511960926063E+21</v>
      </c>
      <c r="L108" s="141">
        <f>courbes!J107</f>
        <v>8.75</v>
      </c>
      <c r="M108" s="139">
        <f t="shared" ca="1" si="6"/>
        <v>1.7137716303116449E+21</v>
      </c>
      <c r="N108" s="139">
        <f>courbes!U107</f>
        <v>8.75</v>
      </c>
      <c r="O108" s="139">
        <f t="shared" ca="1" si="7"/>
        <v>1.7112375628558049E+21</v>
      </c>
      <c r="P108" s="153"/>
      <c r="Q108" s="139">
        <f t="shared" ca="1" si="8"/>
        <v>0</v>
      </c>
      <c r="R108" s="153"/>
      <c r="S108" s="153"/>
    </row>
    <row r="109" spans="10:19" ht="13.5" thickBot="1">
      <c r="J109" s="138">
        <f>courbes!A108</f>
        <v>8.8333333333333339</v>
      </c>
      <c r="K109" s="139">
        <f t="shared" ca="1" si="5"/>
        <v>1.7088995216814592E+21</v>
      </c>
      <c r="L109" s="141">
        <f>courbes!J108</f>
        <v>8.8333333333333339</v>
      </c>
      <c r="M109" s="139">
        <f t="shared" ca="1" si="6"/>
        <v>1.7092293002576281E+21</v>
      </c>
      <c r="N109" s="139">
        <f>courbes!U108</f>
        <v>8.8333333333333339</v>
      </c>
      <c r="O109" s="139">
        <f t="shared" ca="1" si="7"/>
        <v>1.706674885216188E+21</v>
      </c>
      <c r="P109" s="153"/>
      <c r="Q109" s="139">
        <f t="shared" ca="1" si="8"/>
        <v>0</v>
      </c>
      <c r="R109" s="153"/>
      <c r="S109" s="153"/>
    </row>
    <row r="110" spans="10:19" ht="13.5" thickBot="1">
      <c r="J110" s="138">
        <f>courbes!A109</f>
        <v>8.9166666666666661</v>
      </c>
      <c r="K110" s="139">
        <f t="shared" ca="1" si="5"/>
        <v>1.7043541073652747E+21</v>
      </c>
      <c r="L110" s="141">
        <f>courbes!J109</f>
        <v>8.9166666666666661</v>
      </c>
      <c r="M110" s="139">
        <f t="shared" ca="1" si="6"/>
        <v>1.7046931924787939E+21</v>
      </c>
      <c r="N110" s="139">
        <f>courbes!U109</f>
        <v>8.9166666666666661</v>
      </c>
      <c r="O110" s="139">
        <f t="shared" ca="1" si="7"/>
        <v>1.7021186628695679E+21</v>
      </c>
      <c r="P110" s="153"/>
      <c r="Q110" s="139">
        <f t="shared" ca="1" si="8"/>
        <v>0</v>
      </c>
      <c r="R110" s="153"/>
      <c r="S110" s="153"/>
    </row>
    <row r="111" spans="10:19" ht="13.5" thickBot="1">
      <c r="J111" s="138">
        <f>courbes!A110</f>
        <v>9</v>
      </c>
      <c r="K111" s="139">
        <f t="shared" ca="1" si="5"/>
        <v>1.6998150691529522E+21</v>
      </c>
      <c r="L111" s="141">
        <f>courbes!J110</f>
        <v>9</v>
      </c>
      <c r="M111" s="139">
        <f t="shared" ca="1" si="6"/>
        <v>1.7001634218261514E+21</v>
      </c>
      <c r="N111" s="139">
        <f>courbes!U110</f>
        <v>9</v>
      </c>
      <c r="O111" s="139">
        <f t="shared" ca="1" si="7"/>
        <v>1.6975690095383137E+21</v>
      </c>
      <c r="P111" s="153"/>
      <c r="Q111" s="139">
        <f t="shared" ca="1" si="8"/>
        <v>0</v>
      </c>
      <c r="R111" s="153"/>
      <c r="S111" s="153"/>
    </row>
    <row r="112" spans="10:19" ht="13.5" thickBot="1">
      <c r="J112" s="138">
        <f>courbes!A111</f>
        <v>9.0833333333333339</v>
      </c>
      <c r="K112" s="139">
        <f t="shared" ca="1" si="5"/>
        <v>1.6952825201542871E+21</v>
      </c>
      <c r="L112" s="141">
        <f>courbes!J111</f>
        <v>9.0833333333333339</v>
      </c>
      <c r="M112" s="139">
        <f t="shared" ca="1" si="6"/>
        <v>1.6956400973403041E+21</v>
      </c>
      <c r="N112" s="139">
        <f>courbes!U111</f>
        <v>9.0833333333333339</v>
      </c>
      <c r="O112" s="139">
        <f t="shared" ca="1" si="7"/>
        <v>1.6930260360337841E+21</v>
      </c>
      <c r="P112" s="153"/>
      <c r="Q112" s="139">
        <f t="shared" ca="1" si="8"/>
        <v>0</v>
      </c>
      <c r="R112" s="153"/>
      <c r="S112" s="153"/>
    </row>
    <row r="113" spans="10:19" ht="13.5" thickBot="1">
      <c r="J113" s="138">
        <f>courbes!A112</f>
        <v>9.1666666666666661</v>
      </c>
      <c r="K113" s="139">
        <f t="shared" ca="1" si="5"/>
        <v>1.6907565706355671E+21</v>
      </c>
      <c r="L113" s="141">
        <f>courbes!J112</f>
        <v>9.1666666666666661</v>
      </c>
      <c r="M113" s="139">
        <f t="shared" ca="1" si="6"/>
        <v>1.691123330059823E+21</v>
      </c>
      <c r="N113" s="139">
        <f>courbes!U112</f>
        <v>9.1666666666666661</v>
      </c>
      <c r="O113" s="139">
        <f t="shared" ca="1" si="7"/>
        <v>1.6884898503138489E+21</v>
      </c>
      <c r="P113" s="153"/>
      <c r="Q113" s="139">
        <f t="shared" ca="1" si="8"/>
        <v>0</v>
      </c>
      <c r="R113" s="153"/>
      <c r="S113" s="153"/>
    </row>
    <row r="114" spans="10:19" ht="13.5" thickBot="1">
      <c r="J114" s="138">
        <f>courbes!A113</f>
        <v>9.25</v>
      </c>
      <c r="K114" s="139">
        <f t="shared" ca="1" si="5"/>
        <v>1.6862373280741668E+21</v>
      </c>
      <c r="L114" s="141">
        <f>courbes!J113</f>
        <v>9.25</v>
      </c>
      <c r="M114" s="139">
        <f t="shared" ca="1" si="6"/>
        <v>1.6866132262497058E+21</v>
      </c>
      <c r="N114" s="139">
        <f>courbes!U113</f>
        <v>9.25</v>
      </c>
      <c r="O114" s="139">
        <f t="shared" ca="1" si="7"/>
        <v>1.6839605575393395E+21</v>
      </c>
      <c r="P114" s="153"/>
      <c r="Q114" s="139">
        <f t="shared" ca="1" si="8"/>
        <v>0</v>
      </c>
      <c r="R114" s="153"/>
      <c r="S114" s="153"/>
    </row>
    <row r="115" spans="10:19" ht="13.5" thickBot="1">
      <c r="J115" s="138">
        <f>courbes!A114</f>
        <v>9.3333333333333339</v>
      </c>
      <c r="K115" s="139">
        <f t="shared" ca="1" si="5"/>
        <v>1.6817248972121545E+21</v>
      </c>
      <c r="L115" s="141">
        <f>courbes!J114</f>
        <v>9.3333333333333339</v>
      </c>
      <c r="M115" s="139">
        <f t="shared" ca="1" si="6"/>
        <v>1.6821098894943686E+21</v>
      </c>
      <c r="N115" s="139">
        <f>courbes!U114</f>
        <v>9.3333333333333339</v>
      </c>
      <c r="O115" s="139">
        <f t="shared" ca="1" si="7"/>
        <v>1.6794382601294402E+21</v>
      </c>
      <c r="P115" s="153"/>
      <c r="Q115" s="139">
        <f t="shared" ca="1" si="8"/>
        <v>0</v>
      </c>
      <c r="R115" s="153"/>
      <c r="S115" s="153"/>
    </row>
    <row r="116" spans="10:19" ht="13.5" thickBot="1">
      <c r="J116" s="138">
        <f>courbes!A115</f>
        <v>9.4166666666666661</v>
      </c>
      <c r="K116" s="139">
        <f t="shared" ca="1" si="5"/>
        <v>1.6772193801089337E+21</v>
      </c>
      <c r="L116" s="141">
        <f>courbes!J115</f>
        <v>9.4166666666666661</v>
      </c>
      <c r="M116" s="139">
        <f t="shared" ca="1" si="6"/>
        <v>1.677613420751212E+21</v>
      </c>
      <c r="N116" s="139">
        <f>courbes!U115</f>
        <v>9.4166666666666661</v>
      </c>
      <c r="O116" s="139">
        <f t="shared" ca="1" si="7"/>
        <v>1.6749230578160511E+21</v>
      </c>
      <c r="P116" s="153"/>
      <c r="Q116" s="139">
        <f t="shared" ca="1" si="8"/>
        <v>0</v>
      </c>
      <c r="R116" s="153"/>
      <c r="S116" s="153"/>
    </row>
    <row r="117" spans="10:19" ht="13.5" thickBot="1">
      <c r="J117" s="138">
        <f>courbes!A116</f>
        <v>9.5</v>
      </c>
      <c r="K117" s="139">
        <f t="shared" ca="1" si="5"/>
        <v>1.6727208761929315E+21</v>
      </c>
      <c r="L117" s="141">
        <f>courbes!J116</f>
        <v>9.5</v>
      </c>
      <c r="M117" s="139">
        <f t="shared" ca="1" si="6"/>
        <v>1.6731239184041892E+21</v>
      </c>
      <c r="N117" s="139">
        <f>courbes!U116</f>
        <v>9.5</v>
      </c>
      <c r="O117" s="139">
        <f t="shared" ca="1" si="7"/>
        <v>1.6704150476971282E+21</v>
      </c>
      <c r="P117" s="153"/>
      <c r="Q117" s="139">
        <f t="shared" ca="1" si="8"/>
        <v>0</v>
      </c>
      <c r="R117" s="153"/>
      <c r="S117" s="153"/>
    </row>
    <row r="118" spans="10:19" ht="13.5" thickBot="1">
      <c r="J118" s="138">
        <f>courbes!A117</f>
        <v>9.5833333333333339</v>
      </c>
      <c r="K118" s="139">
        <f t="shared" ca="1" si="5"/>
        <v>1.6682294823123534E+21</v>
      </c>
      <c r="L118" s="141">
        <f>courbes!J117</f>
        <v>9.5833333333333339</v>
      </c>
      <c r="M118" s="139">
        <f t="shared" ca="1" si="6"/>
        <v>1.6686414783173739E+21</v>
      </c>
      <c r="N118" s="139">
        <f>courbes!U117</f>
        <v>9.5833333333333339</v>
      </c>
      <c r="O118" s="139">
        <f t="shared" ca="1" si="7"/>
        <v>1.665914324289032E+21</v>
      </c>
      <c r="P118" s="153"/>
      <c r="Q118" s="139">
        <f t="shared" ca="1" si="8"/>
        <v>0</v>
      </c>
      <c r="R118" s="153"/>
      <c r="S118" s="153"/>
    </row>
    <row r="119" spans="10:19" ht="13.5" thickBot="1">
      <c r="J119" s="138">
        <f>courbes!A118</f>
        <v>9.6666666666666661</v>
      </c>
      <c r="K119" s="139">
        <f t="shared" ca="1" si="5"/>
        <v>1.6637452927850214E+21</v>
      </c>
      <c r="L119" s="141">
        <f>courbes!J118</f>
        <v>9.6666666666666661</v>
      </c>
      <c r="M119" s="139">
        <f t="shared" ca="1" si="6"/>
        <v>1.6641661938885282E+21</v>
      </c>
      <c r="N119" s="139">
        <f>courbes!U118</f>
        <v>9.6666666666666661</v>
      </c>
      <c r="O119" s="139">
        <f t="shared" ca="1" si="7"/>
        <v>1.6614209795778903E+21</v>
      </c>
      <c r="P119" s="153"/>
      <c r="Q119" s="139">
        <f t="shared" ca="1" si="8"/>
        <v>0</v>
      </c>
      <c r="R119" s="153"/>
      <c r="S119" s="153"/>
    </row>
    <row r="120" spans="10:19" ht="13.5" thickBot="1">
      <c r="J120" s="138">
        <f>courbes!A119</f>
        <v>9.75</v>
      </c>
      <c r="K120" s="139">
        <f t="shared" ca="1" si="5"/>
        <v>1.6592683994473095E+21</v>
      </c>
      <c r="L120" s="141">
        <f>courbes!J119</f>
        <v>9.75</v>
      </c>
      <c r="M120" s="139">
        <f t="shared" ca="1" si="6"/>
        <v>1.6596981561026696E+21</v>
      </c>
      <c r="N120" s="139">
        <f>courbes!U119</f>
        <v>9.75</v>
      </c>
      <c r="O120" s="139">
        <f t="shared" ca="1" si="7"/>
        <v>1.6569351030700025E+21</v>
      </c>
      <c r="P120" s="153"/>
      <c r="Q120" s="139">
        <f t="shared" ca="1" si="8"/>
        <v>0</v>
      </c>
      <c r="R120" s="153"/>
      <c r="S120" s="153"/>
    </row>
    <row r="121" spans="10:19" ht="13.5" thickBot="1">
      <c r="J121" s="138">
        <f>courbes!A120</f>
        <v>9.8333333333333339</v>
      </c>
      <c r="K121" s="139">
        <f t="shared" ca="1" si="5"/>
        <v>1.6547988917021956E+21</v>
      </c>
      <c r="L121" s="141">
        <f>courbes!J120</f>
        <v>9.8333333333333339</v>
      </c>
      <c r="M121" s="139">
        <f t="shared" ca="1" si="6"/>
        <v>1.6552374535856403E+21</v>
      </c>
      <c r="N121" s="139">
        <f>courbes!U120</f>
        <v>9.8333333333333339</v>
      </c>
      <c r="O121" s="139">
        <f t="shared" ca="1" si="7"/>
        <v>1.6524567818412978E+21</v>
      </c>
      <c r="P121" s="153"/>
      <c r="Q121" s="139">
        <f t="shared" ca="1" si="8"/>
        <v>0</v>
      </c>
      <c r="R121" s="153"/>
      <c r="S121" s="153"/>
    </row>
    <row r="122" spans="10:19" ht="13.5" thickBot="1">
      <c r="J122" s="138">
        <f>courbes!A121</f>
        <v>9.9166666666666661</v>
      </c>
      <c r="K122" s="139">
        <f t="shared" ca="1" si="5"/>
        <v>1.6503368565664401E+21</v>
      </c>
      <c r="L122" s="141">
        <f>courbes!J121</f>
        <v>9.9166666666666661</v>
      </c>
      <c r="M122" s="139">
        <f t="shared" ca="1" si="6"/>
        <v>1.6507841726576725E+21</v>
      </c>
      <c r="N122" s="139">
        <f>courbes!U121</f>
        <v>9.9166666666666661</v>
      </c>
      <c r="O122" s="139">
        <f t="shared" ca="1" si="7"/>
        <v>1.6479861005858644E+21</v>
      </c>
      <c r="P122" s="153"/>
      <c r="Q122" s="139">
        <f t="shared" ca="1" si="8"/>
        <v>0</v>
      </c>
      <c r="R122" s="153"/>
      <c r="S122" s="153"/>
    </row>
    <row r="123" spans="10:19" ht="13.5" thickBot="1">
      <c r="J123" s="138">
        <f>courbes!A122</f>
        <v>10</v>
      </c>
      <c r="K123" s="139">
        <f t="shared" ca="1" si="5"/>
        <v>1.6458823787169144E+21</v>
      </c>
      <c r="L123" s="141">
        <f>courbes!J122</f>
        <v>10</v>
      </c>
      <c r="M123" s="139">
        <f t="shared" ca="1" si="6"/>
        <v>1.646338397386959E+21</v>
      </c>
      <c r="N123" s="139">
        <f>courbes!U122</f>
        <v>10</v>
      </c>
      <c r="O123" s="139">
        <f t="shared" ca="1" si="7"/>
        <v>1.6435231416635695E+21</v>
      </c>
      <c r="P123" s="153"/>
      <c r="Q123" s="139">
        <f t="shared" ca="1" si="8"/>
        <v>0</v>
      </c>
      <c r="R123" s="153"/>
      <c r="S123" s="153"/>
    </row>
    <row r="124" spans="10:19" ht="13.5" thickBot="1">
      <c r="J124" s="138">
        <f>courbes!A123</f>
        <v>10.083333333333334</v>
      </c>
      <c r="K124" s="139">
        <f t="shared" ca="1" si="5"/>
        <v>1.6414355405360865E+21</v>
      </c>
      <c r="L124" s="149"/>
      <c r="M124" s="150"/>
      <c r="N124" s="139">
        <f>courbes!U123</f>
        <v>10.083333333333334</v>
      </c>
      <c r="O124" s="139">
        <f t="shared" ca="1" si="7"/>
        <v>1.6390679851467837E+21</v>
      </c>
      <c r="P124" s="153"/>
      <c r="Q124" s="139">
        <f t="shared" ca="1" si="8"/>
        <v>0</v>
      </c>
      <c r="R124" s="153"/>
      <c r="S124" s="153"/>
    </row>
    <row r="125" spans="10:19" ht="13.5" thickBot="1">
      <c r="J125" s="138">
        <f>courbes!A124</f>
        <v>10.166666666666666</v>
      </c>
      <c r="K125" s="139">
        <f t="shared" ca="1" si="5"/>
        <v>1.6369964221566838E+21</v>
      </c>
      <c r="L125" s="149"/>
      <c r="M125" s="150"/>
      <c r="N125" s="139">
        <f>courbes!U124</f>
        <v>10.166666666666666</v>
      </c>
      <c r="O125" s="139">
        <f t="shared" ca="1" si="7"/>
        <v>1.6346207088662269E+21</v>
      </c>
      <c r="P125" s="153"/>
      <c r="Q125" s="139">
        <f t="shared" ca="1" si="8"/>
        <v>0</v>
      </c>
      <c r="R125" s="153"/>
      <c r="S125" s="153"/>
    </row>
    <row r="126" spans="10:19" ht="13.5" thickBot="1">
      <c r="J126" s="138">
        <f>courbes!A125</f>
        <v>10.25</v>
      </c>
      <c r="K126" s="139">
        <f t="shared" ca="1" si="5"/>
        <v>1.6325651015055458E+21</v>
      </c>
      <c r="L126" s="149"/>
      <c r="M126" s="150"/>
      <c r="N126" s="139">
        <f>courbes!U125</f>
        <v>10.25</v>
      </c>
      <c r="O126" s="139">
        <f t="shared" ca="1" si="7"/>
        <v>1.630181388455952E+21</v>
      </c>
      <c r="P126" s="153"/>
      <c r="Q126" s="139">
        <f t="shared" ca="1" si="8"/>
        <v>0</v>
      </c>
      <c r="R126" s="153"/>
      <c r="S126" s="153"/>
    </row>
    <row r="127" spans="10:19" ht="13.5" thickBot="1">
      <c r="J127" s="138">
        <f>courbes!A126</f>
        <v>10.333333333333334</v>
      </c>
      <c r="K127" s="139">
        <f t="shared" ca="1" si="5"/>
        <v>1.6281416543466795E+21</v>
      </c>
      <c r="L127" s="149"/>
      <c r="M127" s="150"/>
      <c r="N127" s="139">
        <f>courbes!U126</f>
        <v>10.333333333333334</v>
      </c>
      <c r="O127" s="139">
        <f t="shared" ca="1" si="7"/>
        <v>1.6257500973974809E+21</v>
      </c>
      <c r="P127" s="153"/>
      <c r="Q127" s="139">
        <f t="shared" ca="1" si="8"/>
        <v>0</v>
      </c>
      <c r="R127" s="153"/>
      <c r="S127" s="153"/>
    </row>
    <row r="128" spans="10:19" ht="13.5" thickBot="1">
      <c r="J128" s="138">
        <f>courbes!A127</f>
        <v>10.416666666666666</v>
      </c>
      <c r="K128" s="139">
        <f t="shared" ca="1" si="5"/>
        <v>1.6237261543235356E+21</v>
      </c>
      <c r="L128" s="149"/>
      <c r="M128" s="150"/>
      <c r="N128" s="139">
        <f>courbes!U127</f>
        <v>10.416666666666666</v>
      </c>
      <c r="O128" s="139">
        <f t="shared" ca="1" si="7"/>
        <v>1.6213269070631107E+21</v>
      </c>
      <c r="P128" s="153"/>
      <c r="Q128" s="139">
        <f t="shared" ca="1" si="8"/>
        <v>0</v>
      </c>
      <c r="R128" s="153"/>
      <c r="S128" s="153"/>
    </row>
    <row r="129" spans="10:19" ht="13.5" thickBot="1">
      <c r="J129" s="138">
        <f>courbes!A128</f>
        <v>10.5</v>
      </c>
      <c r="K129" s="139">
        <f t="shared" ca="1" si="5"/>
        <v>1.6193186730005147E+21</v>
      </c>
      <c r="L129" s="149"/>
      <c r="M129" s="150"/>
      <c r="N129" s="139">
        <f>courbes!U128</f>
        <v>10.5</v>
      </c>
      <c r="O129" s="139">
        <f t="shared" ca="1" si="7"/>
        <v>1.6169118867584026E+21</v>
      </c>
      <c r="P129" s="153"/>
      <c r="Q129" s="139">
        <f t="shared" ca="1" si="8"/>
        <v>0</v>
      </c>
      <c r="R129" s="153"/>
      <c r="S129" s="153"/>
    </row>
    <row r="130" spans="10:19" ht="13.5" thickBot="1">
      <c r="J130" s="138">
        <f>courbes!A129</f>
        <v>10.583333333333334</v>
      </c>
      <c r="K130" s="139">
        <f t="shared" ca="1" si="5"/>
        <v>1.6149192799037201E+21</v>
      </c>
      <c r="L130" s="149"/>
      <c r="M130" s="150"/>
      <c r="N130" s="139">
        <f>courbes!U129</f>
        <v>10.583333333333334</v>
      </c>
      <c r="O130" s="139">
        <f t="shared" ca="1" si="7"/>
        <v>1.6125051037638682E+21</v>
      </c>
      <c r="P130" s="153"/>
      <c r="Q130" s="139">
        <f t="shared" ca="1" si="8"/>
        <v>0</v>
      </c>
      <c r="R130" s="153"/>
      <c r="S130" s="153"/>
    </row>
    <row r="131" spans="10:19" ht="13.5" thickBot="1">
      <c r="J131" s="138">
        <f>courbes!A130</f>
        <v>10.666666666666666</v>
      </c>
      <c r="K131" s="139">
        <f t="shared" ref="K131:K137" ca="1" si="9">INDIRECT("courbes!"&amp;INDEX($D$3:$H$10,MATCH($B$2,$C$3:$C$10,0),MATCH(K$1,$D$2:$H$2,0))&amp;ROW($J130))</f>
        <v>1.6105280425609692E+21</v>
      </c>
      <c r="L131" s="149"/>
      <c r="M131" s="150"/>
      <c r="N131" s="139">
        <f>courbes!U130</f>
        <v>10.666666666666666</v>
      </c>
      <c r="O131" s="139">
        <f t="shared" ref="O131:O137" ca="1" si="10">INDIRECT("courbes!"&amp;INDEX($D$3:$H$10,MATCH($B$2,$C$3:$C$10,0),MATCH(O$1,$D$2:$H$2,0))&amp;ROW($J130))</f>
        <v>1.6081066233758703E+21</v>
      </c>
      <c r="P131" s="153"/>
      <c r="Q131" s="139">
        <f t="shared" ref="Q131:Q137" ca="1" si="11">INDIRECT("courbes!"&amp;INDEX($D$3:$H$10,MATCH($B$2,$C$3:$C$10,0),MATCH(Q$1,$D$2:$H$2,0))&amp;ROW($J130))</f>
        <v>0</v>
      </c>
      <c r="R131" s="153"/>
      <c r="S131" s="153"/>
    </row>
    <row r="132" spans="10:19" ht="13.5" thickBot="1">
      <c r="J132" s="138">
        <f>courbes!A131</f>
        <v>10.75</v>
      </c>
      <c r="K132" s="139">
        <f t="shared" ca="1" si="9"/>
        <v>1.6061450265410771E+21</v>
      </c>
      <c r="L132" s="149"/>
      <c r="M132" s="150"/>
      <c r="N132" s="139">
        <f>courbes!U131</f>
        <v>10.75</v>
      </c>
      <c r="O132" s="139">
        <f t="shared" ca="1" si="10"/>
        <v>1.6037165089467502E+21</v>
      </c>
      <c r="P132" s="153"/>
      <c r="Q132" s="139">
        <f t="shared" ca="1" si="11"/>
        <v>0</v>
      </c>
      <c r="R132" s="153"/>
      <c r="S132" s="153"/>
    </row>
    <row r="133" spans="10:19" ht="13.5" thickBot="1">
      <c r="J133" s="138">
        <f>courbes!A132</f>
        <v>10.833333333333334</v>
      </c>
      <c r="K133" s="139">
        <f t="shared" ca="1" si="9"/>
        <v>1.601770295492425E+21</v>
      </c>
      <c r="L133" s="149"/>
      <c r="M133" s="150"/>
      <c r="N133" s="139">
        <f>courbes!U132</f>
        <v>10.833333333333334</v>
      </c>
      <c r="O133" s="139">
        <f t="shared" ca="1" si="10"/>
        <v>1.5993348219241976E+21</v>
      </c>
      <c r="P133" s="153"/>
      <c r="Q133" s="139">
        <f t="shared" ca="1" si="11"/>
        <v>0</v>
      </c>
      <c r="R133" s="153"/>
      <c r="S133" s="153"/>
    </row>
    <row r="134" spans="10:19" ht="13.5" thickBot="1">
      <c r="J134" s="138">
        <f>courbes!A133</f>
        <v>10.916666666666666</v>
      </c>
      <c r="K134" s="139">
        <f t="shared" ca="1" si="9"/>
        <v>1.5974039111808259E+21</v>
      </c>
      <c r="L134" s="149"/>
      <c r="M134" s="150"/>
      <c r="N134" s="139">
        <f>courbes!U133</f>
        <v>10.916666666666666</v>
      </c>
      <c r="O134" s="139">
        <f t="shared" ca="1" si="10"/>
        <v>1.5949616218898739E+21</v>
      </c>
      <c r="Q134" s="139">
        <f t="shared" ca="1" si="11"/>
        <v>0</v>
      </c>
    </row>
    <row r="135" spans="10:19" ht="13.5" thickBot="1">
      <c r="J135" s="138">
        <f>courbes!A134</f>
        <v>11</v>
      </c>
      <c r="K135" s="139">
        <f t="shared" ca="1" si="9"/>
        <v>1.5930459335266997E+21</v>
      </c>
      <c r="L135" s="149"/>
      <c r="M135" s="150"/>
      <c r="N135" s="139">
        <f>courbes!U134</f>
        <v>11</v>
      </c>
      <c r="O135" s="139">
        <f t="shared" ca="1" si="10"/>
        <v>1.5905969665973053E+21</v>
      </c>
      <c r="Q135" s="139">
        <f t="shared" ca="1" si="11"/>
        <v>0</v>
      </c>
    </row>
    <row r="136" spans="10:19" ht="13.5" thickBot="1">
      <c r="J136" s="138">
        <f>courbes!A135</f>
        <v>11.083333333333334</v>
      </c>
      <c r="K136" s="139">
        <f t="shared" ca="1" si="9"/>
        <v>1.5886964206415713E+21</v>
      </c>
      <c r="L136" s="149"/>
      <c r="M136" s="150"/>
      <c r="N136" s="139">
        <f>courbes!U135</f>
        <v>11.083333333333334</v>
      </c>
      <c r="O136" s="139">
        <f t="shared" ca="1" si="10"/>
        <v>1.5862409120090586E+21</v>
      </c>
      <c r="Q136" s="139">
        <f t="shared" ca="1" si="11"/>
        <v>0</v>
      </c>
    </row>
    <row r="137" spans="10:19">
      <c r="J137" s="138">
        <f>courbes!A136</f>
        <v>11.166666666666666</v>
      </c>
      <c r="K137" s="139">
        <f t="shared" ca="1" si="9"/>
        <v>1.5843554288639022E+21</v>
      </c>
      <c r="L137" s="149"/>
      <c r="M137" s="150"/>
      <c r="N137" s="139">
        <f>courbes!U136</f>
        <v>11.166666666666666</v>
      </c>
      <c r="O137" s="139">
        <f t="shared" ca="1" si="10"/>
        <v>1.5818935123332109E+21</v>
      </c>
      <c r="Q137" s="139">
        <f t="shared" ca="1" si="11"/>
        <v>0</v>
      </c>
    </row>
    <row r="178" spans="10:19">
      <c r="J178" s="145"/>
      <c r="K178" s="145"/>
      <c r="L178" s="145"/>
      <c r="M178" s="145"/>
      <c r="N178" s="149"/>
      <c r="O178" s="145"/>
      <c r="P178" s="145"/>
      <c r="Q178" s="145"/>
      <c r="R178" s="145"/>
      <c r="S178" s="145"/>
    </row>
    <row r="179" spans="10:19">
      <c r="J179" s="145"/>
      <c r="K179" s="145"/>
      <c r="L179" s="145"/>
      <c r="M179" s="145"/>
      <c r="N179" s="149"/>
      <c r="O179" s="145"/>
      <c r="P179" s="145"/>
      <c r="Q179" s="145"/>
      <c r="R179" s="145"/>
      <c r="S179" s="145"/>
    </row>
    <row r="180" spans="10:19">
      <c r="J180" s="145"/>
      <c r="K180" s="145"/>
      <c r="L180" s="145"/>
      <c r="M180" s="145"/>
      <c r="N180" s="149"/>
      <c r="O180" s="145"/>
      <c r="P180" s="145"/>
      <c r="Q180" s="145"/>
      <c r="R180" s="145"/>
      <c r="S180" s="145"/>
    </row>
    <row r="181" spans="10:19">
      <c r="J181" s="145"/>
      <c r="K181" s="145"/>
      <c r="L181" s="145"/>
      <c r="M181" s="145"/>
      <c r="N181" s="149"/>
      <c r="O181" s="145"/>
      <c r="P181" s="145"/>
      <c r="Q181" s="145"/>
      <c r="R181" s="145"/>
      <c r="S181" s="145"/>
    </row>
    <row r="182" spans="10:19">
      <c r="J182" s="145"/>
      <c r="K182" s="145"/>
      <c r="L182" s="145"/>
      <c r="M182" s="145"/>
      <c r="N182" s="149"/>
      <c r="O182" s="145"/>
      <c r="P182" s="145"/>
      <c r="Q182" s="145"/>
      <c r="R182" s="145"/>
      <c r="S182" s="145"/>
    </row>
    <row r="183" spans="10:19">
      <c r="J183" s="145"/>
      <c r="K183" s="145"/>
      <c r="L183" s="145"/>
      <c r="M183" s="145"/>
      <c r="N183" s="149"/>
      <c r="O183" s="145"/>
      <c r="P183" s="145"/>
      <c r="Q183" s="145"/>
      <c r="R183" s="145"/>
      <c r="S183" s="145"/>
    </row>
    <row r="184" spans="10:19">
      <c r="J184" s="145"/>
      <c r="K184" s="145"/>
      <c r="L184" s="145"/>
      <c r="M184" s="145"/>
      <c r="N184" s="149"/>
      <c r="O184" s="145"/>
      <c r="P184" s="145"/>
      <c r="Q184" s="145"/>
      <c r="R184" s="145"/>
      <c r="S184" s="145"/>
    </row>
    <row r="185" spans="10:19">
      <c r="J185" s="145"/>
      <c r="K185" s="145"/>
      <c r="L185" s="145"/>
      <c r="M185" s="145"/>
      <c r="N185" s="149"/>
      <c r="O185" s="145"/>
      <c r="P185" s="145"/>
      <c r="Q185" s="145"/>
      <c r="R185" s="145"/>
      <c r="S185" s="145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7" sqref="B27"/>
    </sheetView>
  </sheetViews>
  <sheetFormatPr baseColWidth="10" defaultColWidth="17.875" defaultRowHeight="12.75"/>
  <cols>
    <col min="1" max="1" width="5.25" style="145" bestFit="1" customWidth="1"/>
    <col min="2" max="2" width="33.75" style="137" bestFit="1" customWidth="1"/>
    <col min="3" max="4" width="9.125" style="137" customWidth="1"/>
    <col min="5" max="5" width="20.125" style="137" customWidth="1"/>
    <col min="6" max="8" width="9.125" style="145" customWidth="1"/>
    <col min="9" max="9" width="2.5" style="145" customWidth="1"/>
    <col min="10" max="10" width="11" style="146" customWidth="1"/>
    <col min="11" max="11" width="10.625" style="146" bestFit="1" customWidth="1"/>
    <col min="12" max="12" width="9.125" style="153" bestFit="1" customWidth="1"/>
    <col min="13" max="13" width="9.75" style="146" bestFit="1" customWidth="1"/>
    <col min="14" max="14" width="9.125" style="146" bestFit="1" customWidth="1"/>
    <col min="15" max="15" width="16.625" style="146" bestFit="1" customWidth="1"/>
    <col min="16" max="16" width="9.25" style="146" bestFit="1" customWidth="1"/>
    <col min="17" max="17" width="11.75" style="146" bestFit="1" customWidth="1"/>
    <col min="18" max="18" width="9.25" style="146" bestFit="1" customWidth="1"/>
    <col min="19" max="19" width="10.375" style="146" bestFit="1" customWidth="1"/>
    <col min="20" max="16384" width="17.875" style="145"/>
  </cols>
  <sheetData>
    <row r="1" spans="1:19" ht="13.5" thickBot="1">
      <c r="K1" s="146" t="s">
        <v>40</v>
      </c>
      <c r="M1" s="137" t="s">
        <v>258</v>
      </c>
      <c r="O1" s="145" t="s">
        <v>168</v>
      </c>
      <c r="Q1" s="145" t="s">
        <v>259</v>
      </c>
      <c r="S1" s="145" t="s">
        <v>260</v>
      </c>
    </row>
    <row r="2" spans="1:19" ht="24.75" thickBot="1">
      <c r="A2" s="145" t="s">
        <v>257</v>
      </c>
      <c r="B2" s="143" t="s">
        <v>10</v>
      </c>
      <c r="D2" s="137" t="s">
        <v>40</v>
      </c>
      <c r="E2" s="137" t="s">
        <v>258</v>
      </c>
      <c r="F2" s="145" t="s">
        <v>168</v>
      </c>
      <c r="G2" s="145" t="s">
        <v>259</v>
      </c>
      <c r="H2" s="145" t="s">
        <v>260</v>
      </c>
      <c r="J2" s="138" t="str">
        <f>courbes!A1</f>
        <v>t(y)</v>
      </c>
      <c r="K2" s="139" t="str">
        <f ca="1">INDIRECT("courbes!"&amp;INDEX($D$3:$H$10,MATCH($B$2,$C$3:$C$10,0),MATCH(K$1,$D$2:$H$2,0))&amp;ROW($J1))</f>
        <v>RK1 - Pu240</v>
      </c>
      <c r="L2" s="141" t="str">
        <f>courbes!J1</f>
        <v>t(y)</v>
      </c>
      <c r="M2" s="139" t="str">
        <f ca="1">INDIRECT("courbes!"&amp;INDEX($D$3:$H$10,MATCH($B$2,$C$3:$C$10,0),MATCH(M$1,$D$2:$H$2,0))&amp;ROW($J1))</f>
        <v>O5 - N(Pu240)</v>
      </c>
      <c r="N2" s="139" t="str">
        <f>courbes!U1</f>
        <v>t(y)</v>
      </c>
      <c r="O2" s="139" t="str">
        <f ca="1">INDIRECT("courbes!"&amp;INDEX($D$3:$H$10,MATCH($B$2,$C$3:$C$10,0),MATCH(O$1,$D$2:$H$2,0))&amp;ROW($J1))</f>
        <v>Exact Simpl. - Pu240</v>
      </c>
      <c r="P2" s="138" t="str">
        <f>courbes!AE1</f>
        <v>t(y)</v>
      </c>
      <c r="Q2" s="139" t="str">
        <f ca="1">INDIRECT("courbes!"&amp;INDEX($D$3:$H$10,MATCH($B$2,$C$3:$C$10,0),MATCH(Q$1,$D$2:$H$2,0))&amp;ROW($J1))</f>
        <v>DRAGON - Pu240</v>
      </c>
      <c r="R2" s="138" t="str">
        <f>courbes!AO1</f>
        <v>t(y)</v>
      </c>
      <c r="S2" s="139" t="str">
        <f ca="1">INDIRECT("courbes!"&amp;INDEX($D$3:$H$10,MATCH($B$2,$C$3:$C$10,0),MATCH(S$1,$D$2:$H$2,0))&amp;ROW($J1))</f>
        <v xml:space="preserve">VESTA - Pu240 </v>
      </c>
    </row>
    <row r="3" spans="1:19" ht="13.5" thickBot="1">
      <c r="C3" s="143" t="s">
        <v>7</v>
      </c>
      <c r="D3" s="137" t="s">
        <v>261</v>
      </c>
      <c r="E3" s="137" t="s">
        <v>192</v>
      </c>
      <c r="F3" s="145" t="s">
        <v>128</v>
      </c>
      <c r="G3" s="145" t="s">
        <v>262</v>
      </c>
      <c r="H3" s="145" t="s">
        <v>263</v>
      </c>
      <c r="J3" s="138" t="e">
        <f>courbes!A2</f>
        <v>#NAME?</v>
      </c>
      <c r="K3" s="139">
        <f t="shared" ref="K3:K66" ca="1" si="0">INDIRECT("courbes!"&amp;INDEX($D$3:$H$10,MATCH($B$2,$C$3:$C$10,0),MATCH(K$1,$D$2:$H$2,0))&amp;ROW($J2))</f>
        <v>7.2346005790387942E+20</v>
      </c>
      <c r="L3" s="141">
        <f>courbes!J2</f>
        <v>0</v>
      </c>
      <c r="M3" s="139">
        <f t="shared" ref="M3:M66" ca="1" si="1">INDIRECT("courbes!"&amp;INDEX($D$3:$H$10,MATCH($B$2,$C$3:$C$10,0),MATCH(M$1,$D$2:$H$2,0))&amp;ROW($J2))</f>
        <v>7.2346005790387942E+20</v>
      </c>
      <c r="N3" s="139">
        <f>courbes!U2</f>
        <v>0</v>
      </c>
      <c r="O3" s="139">
        <f t="shared" ref="O3:O66" ca="1" si="2">INDIRECT("courbes!"&amp;INDEX($D$3:$H$10,MATCH($B$2,$C$3:$C$10,0),MATCH(O$1,$D$2:$H$2,0))&amp;ROW($J2))</f>
        <v>7.2346005790387942E+20</v>
      </c>
      <c r="P3" s="138">
        <f>courbes!AE2</f>
        <v>0</v>
      </c>
      <c r="Q3" s="139">
        <f t="shared" ref="Q3:Q66" ca="1" si="3">INDIRECT("courbes!"&amp;INDEX($D$3:$H$10,MATCH($B$2,$C$3:$C$10,0),MATCH(Q$1,$D$2:$H$2,0))&amp;ROW($J2))</f>
        <v>7.2346005790387942E+20</v>
      </c>
      <c r="R3" s="138">
        <f>courbes!AO2</f>
        <v>0</v>
      </c>
      <c r="S3" s="139">
        <f t="shared" ref="S3:S9" ca="1" si="4">INDIRECT("courbes!"&amp;INDEX($D$3:$H$10,MATCH($B$2,$C$3:$C$10,0),MATCH(S$1,$D$2:$H$2,0))&amp;ROW($J2))</f>
        <v>7.2346005790387942E+20</v>
      </c>
    </row>
    <row r="4" spans="1:19" ht="13.5" thickBot="1">
      <c r="C4" s="143" t="s">
        <v>9</v>
      </c>
      <c r="D4" s="137" t="s">
        <v>264</v>
      </c>
      <c r="E4" s="137" t="s">
        <v>265</v>
      </c>
      <c r="F4" s="145" t="s">
        <v>266</v>
      </c>
      <c r="G4" s="145" t="s">
        <v>268</v>
      </c>
      <c r="H4" s="145" t="s">
        <v>269</v>
      </c>
      <c r="J4" s="138">
        <f>courbes!A3</f>
        <v>8.3333333333333329E-2</v>
      </c>
      <c r="K4" s="139">
        <f t="shared" ca="1" si="0"/>
        <v>7.2684881001631986E+20</v>
      </c>
      <c r="L4" s="141">
        <f>courbes!J3</f>
        <v>8.3333333333333329E-2</v>
      </c>
      <c r="M4" s="139">
        <f t="shared" ca="1" si="1"/>
        <v>7.2682807612617982E+20</v>
      </c>
      <c r="N4" s="139">
        <f>courbes!U3</f>
        <v>8.3333333333333329E-2</v>
      </c>
      <c r="O4" s="139">
        <f t="shared" ca="1" si="2"/>
        <v>7.2682807598096056E+20</v>
      </c>
      <c r="P4" s="138">
        <f>courbes!AE3</f>
        <v>0.2</v>
      </c>
      <c r="Q4" s="139">
        <f t="shared" ca="1" si="3"/>
        <v>7.3075116707940899E+20</v>
      </c>
      <c r="R4" s="138">
        <f>courbes!AO3</f>
        <v>0.13689999999999999</v>
      </c>
      <c r="S4" s="139">
        <f t="shared" ca="1" si="4"/>
        <v>7.3064015892098122E+20</v>
      </c>
    </row>
    <row r="5" spans="1:19" ht="13.5" thickBot="1">
      <c r="C5" s="143" t="s">
        <v>10</v>
      </c>
      <c r="D5" s="137" t="s">
        <v>270</v>
      </c>
      <c r="E5" s="137" t="s">
        <v>276</v>
      </c>
      <c r="F5" s="145" t="s">
        <v>129</v>
      </c>
      <c r="G5" s="145" t="s">
        <v>287</v>
      </c>
      <c r="H5" s="145" t="s">
        <v>267</v>
      </c>
      <c r="J5" s="138">
        <f>courbes!A4</f>
        <v>0.16666666666666666</v>
      </c>
      <c r="K5" s="139">
        <f t="shared" ca="1" si="0"/>
        <v>7.3019604255202043E+20</v>
      </c>
      <c r="L5" s="141">
        <f>courbes!J4</f>
        <v>0.16666666666666666</v>
      </c>
      <c r="M5" s="139">
        <f t="shared" ca="1" si="1"/>
        <v>7.3015473124125757E+20</v>
      </c>
      <c r="N5" s="139">
        <f>courbes!U4</f>
        <v>0.16666666666666666</v>
      </c>
      <c r="O5" s="139">
        <f t="shared" ca="1" si="2"/>
        <v>7.3015472627317447E+20</v>
      </c>
      <c r="P5" s="138">
        <f>courbes!AE4</f>
        <v>0.4</v>
      </c>
      <c r="Q5" s="139">
        <f t="shared" ca="1" si="3"/>
        <v>7.3788225191089393E+20</v>
      </c>
      <c r="R5" s="138">
        <f>courbes!AO4</f>
        <v>0.41070000000000001</v>
      </c>
      <c r="S5" s="139">
        <f t="shared" ca="1" si="4"/>
        <v>7.4439481026699539E+20</v>
      </c>
    </row>
    <row r="6" spans="1:19" ht="13.5" thickBot="1">
      <c r="C6" s="143" t="s">
        <v>11</v>
      </c>
      <c r="D6" s="137" t="s">
        <v>271</v>
      </c>
      <c r="E6" s="137" t="s">
        <v>277</v>
      </c>
      <c r="F6" s="145" t="s">
        <v>282</v>
      </c>
      <c r="G6" s="145" t="s">
        <v>288</v>
      </c>
      <c r="H6" s="145" t="s">
        <v>293</v>
      </c>
      <c r="J6" s="138">
        <f>courbes!A5</f>
        <v>0.25</v>
      </c>
      <c r="K6" s="139">
        <f t="shared" ca="1" si="0"/>
        <v>7.335019100789164E+20</v>
      </c>
      <c r="L6" s="141">
        <f>courbes!J5</f>
        <v>0.25</v>
      </c>
      <c r="M6" s="139">
        <f t="shared" ca="1" si="1"/>
        <v>7.3344018263798107E+20</v>
      </c>
      <c r="N6" s="139">
        <f>courbes!U5</f>
        <v>0.25</v>
      </c>
      <c r="O6" s="139">
        <f t="shared" ca="1" si="2"/>
        <v>7.3344016180784988E+20</v>
      </c>
      <c r="P6" s="138">
        <f>courbes!AE5</f>
        <v>0.6</v>
      </c>
      <c r="Q6" s="139">
        <f t="shared" ca="1" si="3"/>
        <v>7.4485331239833449E+20</v>
      </c>
      <c r="R6" s="138">
        <f>courbes!AO5</f>
        <v>0.99929999999999997</v>
      </c>
      <c r="S6" s="139">
        <f t="shared" ca="1" si="4"/>
        <v>7.7207712744136363E+20</v>
      </c>
    </row>
    <row r="7" spans="1:19" ht="13.5" thickBot="1">
      <c r="C7" s="143" t="s">
        <v>13</v>
      </c>
      <c r="D7" s="137" t="s">
        <v>272</v>
      </c>
      <c r="E7" s="137" t="s">
        <v>278</v>
      </c>
      <c r="F7" s="145" t="s">
        <v>283</v>
      </c>
      <c r="G7" s="145" t="s">
        <v>289</v>
      </c>
      <c r="H7" s="145" t="s">
        <v>294</v>
      </c>
      <c r="J7" s="138">
        <f>courbes!A6</f>
        <v>0.33333333333333331</v>
      </c>
      <c r="K7" s="139">
        <f t="shared" ca="1" si="0"/>
        <v>7.3676657047339794E+20</v>
      </c>
      <c r="L7" s="141">
        <f>courbes!J6</f>
        <v>0.33333333333333331</v>
      </c>
      <c r="M7" s="139">
        <f t="shared" ca="1" si="1"/>
        <v>7.3668459278687352E+20</v>
      </c>
      <c r="N7" s="139">
        <f>courbes!U6</f>
        <v>0.33333333333333331</v>
      </c>
      <c r="O7" s="139">
        <f t="shared" ca="1" si="2"/>
        <v>7.3668453898356916E+20</v>
      </c>
      <c r="P7" s="138">
        <f>courbes!AE6</f>
        <v>0.8</v>
      </c>
      <c r="Q7" s="139">
        <f t="shared" ca="1" si="3"/>
        <v>7.5166434854173016E+20</v>
      </c>
      <c r="R7" s="138">
        <f>courbes!AO6</f>
        <v>1.9990000000000001</v>
      </c>
      <c r="S7" s="139">
        <f t="shared" ca="1" si="4"/>
        <v>8.1351409596174592E+20</v>
      </c>
    </row>
    <row r="8" spans="1:19" ht="13.5" thickBot="1">
      <c r="C8" s="143" t="s">
        <v>14</v>
      </c>
      <c r="D8" s="137" t="s">
        <v>273</v>
      </c>
      <c r="E8" s="137" t="s">
        <v>279</v>
      </c>
      <c r="F8" s="145" t="s">
        <v>284</v>
      </c>
      <c r="G8" s="145" t="s">
        <v>290</v>
      </c>
      <c r="H8" s="145" t="s">
        <v>295</v>
      </c>
      <c r="J8" s="138">
        <f>courbes!A7</f>
        <v>0.41666666666666669</v>
      </c>
      <c r="K8" s="139">
        <f t="shared" ca="1" si="0"/>
        <v>7.3999018480691079E+20</v>
      </c>
      <c r="L8" s="141">
        <f>courbes!J7</f>
        <v>0.41666666666666669</v>
      </c>
      <c r="M8" s="139">
        <f t="shared" ca="1" si="1"/>
        <v>7.3988812712671406E+20</v>
      </c>
      <c r="N8" s="139">
        <f>courbes!U7</f>
        <v>0.41666666666666669</v>
      </c>
      <c r="O8" s="139">
        <f t="shared" ca="1" si="2"/>
        <v>7.3988801745542329E+20</v>
      </c>
      <c r="P8" s="138">
        <f>courbes!AE7</f>
        <v>1</v>
      </c>
      <c r="Q8" s="139">
        <f t="shared" ca="1" si="3"/>
        <v>7.5831536034108159E+20</v>
      </c>
      <c r="R8" s="138">
        <f>courbes!AO7</f>
        <v>4.9989999999999997</v>
      </c>
      <c r="S8" s="139">
        <f t="shared" ca="1" si="4"/>
        <v>9.0573081504886017E+20</v>
      </c>
    </row>
    <row r="9" spans="1:19" ht="13.5" thickBot="1">
      <c r="C9" s="143" t="s">
        <v>15</v>
      </c>
      <c r="D9" s="137" t="s">
        <v>274</v>
      </c>
      <c r="E9" s="137" t="s">
        <v>280</v>
      </c>
      <c r="F9" s="145" t="s">
        <v>285</v>
      </c>
      <c r="G9" s="145" t="s">
        <v>291</v>
      </c>
      <c r="H9" s="145" t="s">
        <v>297</v>
      </c>
      <c r="J9" s="138">
        <f>courbes!A8</f>
        <v>0.5</v>
      </c>
      <c r="K9" s="139">
        <f t="shared" ca="1" si="0"/>
        <v>7.4317291723508744E+20</v>
      </c>
      <c r="L9" s="141">
        <f>courbes!J8</f>
        <v>0.5</v>
      </c>
      <c r="M9" s="139">
        <f t="shared" ca="1" si="1"/>
        <v>7.4305095395113737E+20</v>
      </c>
      <c r="N9" s="139">
        <f>courbes!U8</f>
        <v>0.5</v>
      </c>
      <c r="O9" s="139">
        <f t="shared" ca="1" si="2"/>
        <v>7.4305076002275328E+20</v>
      </c>
      <c r="P9" s="138">
        <f>courbes!AE8</f>
        <v>1.2</v>
      </c>
      <c r="Q9" s="139">
        <f t="shared" ca="1" si="3"/>
        <v>7.6480634779638851E+20</v>
      </c>
      <c r="R9" s="138">
        <f>courbes!AO8</f>
        <v>9.9990000000000006</v>
      </c>
      <c r="S9" s="139">
        <f t="shared" ca="1" si="4"/>
        <v>9.7320646316138273E+20</v>
      </c>
    </row>
    <row r="10" spans="1:19" ht="13.5" thickBot="1">
      <c r="A10" s="145" t="s">
        <v>253</v>
      </c>
      <c r="B10" s="161" t="str">
        <f>"Comparaison des modèles pour le "&amp;B2</f>
        <v>Comparaison des modèles pour le Pu240</v>
      </c>
      <c r="C10" s="143" t="s">
        <v>16</v>
      </c>
      <c r="D10" s="137" t="s">
        <v>275</v>
      </c>
      <c r="E10" s="137" t="s">
        <v>281</v>
      </c>
      <c r="F10" s="145" t="s">
        <v>286</v>
      </c>
      <c r="G10" s="145" t="s">
        <v>292</v>
      </c>
      <c r="H10" s="145" t="s">
        <v>296</v>
      </c>
      <c r="J10" s="138">
        <f>courbes!A9</f>
        <v>0.58333333333333337</v>
      </c>
      <c r="K10" s="139">
        <f t="shared" ca="1" si="0"/>
        <v>7.463149348893583E+20</v>
      </c>
      <c r="L10" s="141">
        <f>courbes!J9</f>
        <v>0.58333333333333337</v>
      </c>
      <c r="M10" s="139">
        <f t="shared" ca="1" si="1"/>
        <v>7.4617324429523367E+20</v>
      </c>
      <c r="N10" s="139">
        <f>courbes!U9</f>
        <v>0.58333333333333337</v>
      </c>
      <c r="O10" s="139">
        <f t="shared" ca="1" si="2"/>
        <v>7.4617293251933753E+20</v>
      </c>
      <c r="P10" s="138">
        <f>courbes!AE9</f>
        <v>1.4</v>
      </c>
      <c r="Q10" s="139">
        <f t="shared" ca="1" si="3"/>
        <v>7.7113731090765054E+20</v>
      </c>
      <c r="S10" s="144"/>
    </row>
    <row r="11" spans="1:19" ht="13.5" thickBot="1">
      <c r="A11" s="145" t="s">
        <v>254</v>
      </c>
      <c r="B11" s="161" t="s">
        <v>256</v>
      </c>
      <c r="C11" s="161"/>
      <c r="D11" s="161"/>
      <c r="E11" s="161"/>
      <c r="J11" s="138">
        <f>courbes!A10</f>
        <v>0.66666666666666663</v>
      </c>
      <c r="K11" s="139">
        <f t="shared" ca="1" si="0"/>
        <v>7.4941640777099117E+20</v>
      </c>
      <c r="L11" s="141">
        <f>courbes!J10</f>
        <v>0.66666666666666663</v>
      </c>
      <c r="M11" s="139">
        <f t="shared" ca="1" si="1"/>
        <v>7.492551718221493E+20</v>
      </c>
      <c r="N11" s="139">
        <f>courbes!U10</f>
        <v>0.66666666666666663</v>
      </c>
      <c r="O11" s="139">
        <f t="shared" ca="1" si="2"/>
        <v>7.4925470370597044E+20</v>
      </c>
      <c r="P11" s="138">
        <f>courbes!AE10</f>
        <v>1.6</v>
      </c>
      <c r="Q11" s="139">
        <f t="shared" ca="1" si="3"/>
        <v>7.7729824815336561E+20</v>
      </c>
    </row>
    <row r="12" spans="1:19" ht="18" thickBot="1">
      <c r="A12" s="145" t="s">
        <v>255</v>
      </c>
      <c r="B12" s="169" t="s">
        <v>299</v>
      </c>
      <c r="C12" s="161"/>
      <c r="D12" s="161"/>
      <c r="E12" s="161"/>
      <c r="J12" s="138">
        <f>courbes!A11</f>
        <v>0.75</v>
      </c>
      <c r="K12" s="139">
        <f t="shared" ca="1" si="0"/>
        <v>7.5247750864750851E+20</v>
      </c>
      <c r="L12" s="141">
        <f>courbes!J11</f>
        <v>0.75</v>
      </c>
      <c r="M12" s="139">
        <f t="shared" ca="1" si="1"/>
        <v>7.5229691270968653E+20</v>
      </c>
      <c r="N12" s="139">
        <f>courbes!U11</f>
        <v>0.75</v>
      </c>
      <c r="O12" s="139">
        <f t="shared" ca="1" si="2"/>
        <v>7.52296245165392E+20</v>
      </c>
      <c r="P12" s="138">
        <f>courbes!AE11</f>
        <v>1.8</v>
      </c>
      <c r="Q12" s="139">
        <f t="shared" ca="1" si="3"/>
        <v>7.8329916105503592E+20</v>
      </c>
    </row>
    <row r="13" spans="1:19" ht="13.5" thickBot="1">
      <c r="J13" s="138">
        <f>courbes!A12</f>
        <v>0.83333333333333337</v>
      </c>
      <c r="K13" s="139">
        <f t="shared" ca="1" si="0"/>
        <v>7.5549841295143482E+20</v>
      </c>
      <c r="L13" s="141">
        <f>courbes!J12</f>
        <v>0.83333333333333337</v>
      </c>
      <c r="M13" s="139">
        <f t="shared" ca="1" si="1"/>
        <v>7.5529864553690431E+20</v>
      </c>
      <c r="N13" s="139">
        <f>courbes!U12</f>
        <v>0.83333333333333337</v>
      </c>
      <c r="O13" s="139">
        <f t="shared" ca="1" si="2"/>
        <v>7.5529773119952742E+20</v>
      </c>
      <c r="P13" s="138">
        <f>courbes!AE12</f>
        <v>2</v>
      </c>
      <c r="Q13" s="139">
        <f t="shared" ca="1" si="3"/>
        <v>7.8914004961266185E+20</v>
      </c>
    </row>
    <row r="14" spans="1:19" ht="13.5" thickBot="1">
      <c r="J14" s="138">
        <f>courbes!A13</f>
        <v>0.91666666666666663</v>
      </c>
      <c r="K14" s="139">
        <f t="shared" ca="1" si="0"/>
        <v>7.5847929868132509E+20</v>
      </c>
      <c r="L14" s="141">
        <f>courbes!J13</f>
        <v>0.91666666666666663</v>
      </c>
      <c r="M14" s="139">
        <f t="shared" ca="1" si="1"/>
        <v>7.582605511707166E+20</v>
      </c>
      <c r="N14" s="139">
        <f>courbes!U13</f>
        <v>0.91666666666666663</v>
      </c>
      <c r="O14" s="139">
        <f t="shared" ca="1" si="2"/>
        <v>7.5825933872898428E+20</v>
      </c>
      <c r="P14" s="138">
        <f>courbes!AE13</f>
        <v>2.2000000000000002</v>
      </c>
      <c r="Q14" s="139">
        <f t="shared" ca="1" si="3"/>
        <v>7.9481091230474043E+20</v>
      </c>
    </row>
    <row r="15" spans="1:19" ht="13.5" thickBot="1">
      <c r="J15" s="138">
        <f>courbes!A14</f>
        <v>1</v>
      </c>
      <c r="K15" s="139">
        <f t="shared" ca="1" si="0"/>
        <v>7.6142034630502777E+20</v>
      </c>
      <c r="L15" s="141">
        <f>courbes!J14</f>
        <v>1</v>
      </c>
      <c r="M15" s="139">
        <f t="shared" ca="1" si="1"/>
        <v>7.6118281265249518E+20</v>
      </c>
      <c r="N15" s="139">
        <f>courbes!U14</f>
        <v>1</v>
      </c>
      <c r="O15" s="139">
        <f t="shared" ca="1" si="2"/>
        <v>7.6118124719477306E+20</v>
      </c>
      <c r="P15" s="138">
        <f>courbes!AE14</f>
        <v>2.4</v>
      </c>
      <c r="Q15" s="139">
        <f t="shared" ca="1" si="3"/>
        <v>8.0031174913127154E+20</v>
      </c>
    </row>
    <row r="16" spans="1:19" ht="13.5" thickBot="1">
      <c r="J16" s="138">
        <f>courbes!A15</f>
        <v>1.0833333333333333</v>
      </c>
      <c r="K16" s="139">
        <f t="shared" ca="1" si="0"/>
        <v>7.6432173866513754E+20</v>
      </c>
      <c r="L16" s="141">
        <f>courbes!J15</f>
        <v>1.0833333333333333</v>
      </c>
      <c r="M16" s="139">
        <f t="shared" ca="1" si="1"/>
        <v>7.640656214951896E+20</v>
      </c>
      <c r="N16" s="139">
        <f>courbes!U15</f>
        <v>1.0833333333333333</v>
      </c>
      <c r="O16" s="139">
        <f t="shared" ca="1" si="2"/>
        <v>7.6406363846220487E+20</v>
      </c>
      <c r="P16" s="138">
        <f>courbes!AE15</f>
        <v>2.6</v>
      </c>
      <c r="Q16" s="139">
        <f t="shared" ca="1" si="3"/>
        <v>8.0565256161375814E+20</v>
      </c>
    </row>
    <row r="17" spans="10:19" ht="13.5" thickBot="1">
      <c r="J17" s="138">
        <f>courbes!A16</f>
        <v>1.1666666666666667</v>
      </c>
      <c r="K17" s="139">
        <f t="shared" ca="1" si="0"/>
        <v>7.6718366088659101E+20</v>
      </c>
      <c r="L17" s="141">
        <f>courbes!J16</f>
        <v>1.1666666666666667</v>
      </c>
      <c r="M17" s="139">
        <f t="shared" ca="1" si="1"/>
        <v>7.6690916120853873E+20</v>
      </c>
      <c r="N17" s="139">
        <f>courbes!U16</f>
        <v>1.1666666666666667</v>
      </c>
      <c r="O17" s="139">
        <f t="shared" ca="1" si="2"/>
        <v>7.6690669672692554E+20</v>
      </c>
      <c r="P17" s="138">
        <f>courbes!AE16</f>
        <v>2.8</v>
      </c>
      <c r="Q17" s="139">
        <f t="shared" ca="1" si="3"/>
        <v>8.1083334975220023E+20</v>
      </c>
    </row>
    <row r="18" spans="10:19" ht="13.5" thickBot="1">
      <c r="J18" s="138">
        <f>courbes!A17</f>
        <v>1.25</v>
      </c>
      <c r="K18" s="139">
        <f t="shared" ca="1" si="0"/>
        <v>7.7000630028636298E+20</v>
      </c>
      <c r="L18" s="141">
        <f>courbes!J17</f>
        <v>1.25</v>
      </c>
      <c r="M18" s="139">
        <f t="shared" ca="1" si="1"/>
        <v>7.6971362164908543E+20</v>
      </c>
      <c r="N18" s="139">
        <f>courbes!U17</f>
        <v>1.25</v>
      </c>
      <c r="O18" s="139">
        <f t="shared" ca="1" si="2"/>
        <v>7.6971060842304478E+20</v>
      </c>
      <c r="P18" s="138">
        <f>courbes!AE17</f>
        <v>3</v>
      </c>
      <c r="Q18" s="139">
        <f t="shared" ca="1" si="3"/>
        <v>8.1584411202509511E+20</v>
      </c>
      <c r="R18" s="145"/>
      <c r="S18" s="145"/>
    </row>
    <row r="19" spans="10:19" ht="13.5" thickBot="1">
      <c r="J19" s="138">
        <f>courbes!A18</f>
        <v>1.3333333333333333</v>
      </c>
      <c r="K19" s="139">
        <f t="shared" ca="1" si="0"/>
        <v>7.7278984628521966E+20</v>
      </c>
      <c r="L19" s="141">
        <f>courbes!J18</f>
        <v>1.3333333333333333</v>
      </c>
      <c r="M19" s="139">
        <f t="shared" ca="1" si="1"/>
        <v>7.7247919461622691E+20</v>
      </c>
      <c r="N19" s="139">
        <f>courbes!U18</f>
        <v>1.3333333333333333</v>
      </c>
      <c r="O19" s="139">
        <f t="shared" ca="1" si="2"/>
        <v>7.7247556213332273E+20</v>
      </c>
      <c r="P19" s="138">
        <f>courbes!AE18</f>
        <v>3.2</v>
      </c>
      <c r="Q19" s="139">
        <f t="shared" ca="1" si="3"/>
        <v>8.2069484995394522E+20</v>
      </c>
      <c r="R19" s="145"/>
      <c r="S19" s="145"/>
    </row>
    <row r="20" spans="10:19" ht="13.5" thickBot="1">
      <c r="J20" s="138">
        <f>courbes!A19</f>
        <v>1.4166666666666667</v>
      </c>
      <c r="K20" s="139">
        <f t="shared" ca="1" si="0"/>
        <v>7.75534490321487E+20</v>
      </c>
      <c r="L20" s="141">
        <f>courbes!J19</f>
        <v>1.4166666666666667</v>
      </c>
      <c r="M20" s="139">
        <f t="shared" ca="1" si="1"/>
        <v>7.7520607376573871E+20</v>
      </c>
      <c r="N20" s="139">
        <f>courbes!U19</f>
        <v>1.4166666666666667</v>
      </c>
      <c r="O20" s="139">
        <f t="shared" ca="1" si="2"/>
        <v>7.7520174850137365E+20</v>
      </c>
      <c r="P20" s="138">
        <f>courbes!AE19</f>
        <v>3.4</v>
      </c>
      <c r="Q20" s="139">
        <f t="shared" ca="1" si="3"/>
        <v>8.2538556353875083E+20</v>
      </c>
      <c r="R20" s="145"/>
      <c r="S20" s="145"/>
    </row>
    <row r="21" spans="10:19" ht="13.5" thickBot="1">
      <c r="J21" s="138">
        <f>courbes!A20</f>
        <v>1.5</v>
      </c>
      <c r="K21" s="139">
        <f t="shared" ca="1" si="0"/>
        <v>7.7824042576679233E+20</v>
      </c>
      <c r="L21" s="141">
        <f>courbes!J20</f>
        <v>1.5</v>
      </c>
      <c r="M21" s="139">
        <f t="shared" ca="1" si="1"/>
        <v>7.7789445452329412E+20</v>
      </c>
      <c r="N21" s="139">
        <f>courbes!U20</f>
        <v>1.5</v>
      </c>
      <c r="O21" s="139">
        <f t="shared" ca="1" si="2"/>
        <v>7.7788936014584676E+20</v>
      </c>
      <c r="P21" s="138">
        <f>courbes!AE20</f>
        <v>3.6</v>
      </c>
      <c r="Q21" s="139">
        <f t="shared" ca="1" si="3"/>
        <v>8.2990625125800949E+20</v>
      </c>
      <c r="R21" s="145"/>
      <c r="S21" s="145"/>
    </row>
    <row r="22" spans="10:19" ht="13.5" thickBot="1">
      <c r="J22" s="138">
        <f>courbes!A21</f>
        <v>1.5833333333333333</v>
      </c>
      <c r="K22" s="139">
        <f t="shared" ca="1" si="0"/>
        <v>7.8090784784373947E+20</v>
      </c>
      <c r="L22" s="141">
        <f>courbes!J21</f>
        <v>1.5833333333333333</v>
      </c>
      <c r="M22" s="139">
        <f t="shared" ca="1" si="1"/>
        <v>7.8054453399798966E+20</v>
      </c>
      <c r="N22" s="139">
        <f>courbes!U21</f>
        <v>1.5833333333333333</v>
      </c>
      <c r="O22" s="139">
        <f t="shared" ca="1" si="2"/>
        <v>7.8053859157654805E+20</v>
      </c>
      <c r="P22" s="138">
        <f>courbes!AE21</f>
        <v>3.8</v>
      </c>
      <c r="Q22" s="139">
        <f t="shared" ca="1" si="3"/>
        <v>8.3426691463322324E+20</v>
      </c>
      <c r="R22" s="145"/>
      <c r="S22" s="145"/>
    </row>
    <row r="23" spans="10:19" ht="13.5" thickBot="1">
      <c r="J23" s="138">
        <f>courbes!A22</f>
        <v>1.6666666666666667</v>
      </c>
      <c r="K23" s="139">
        <f t="shared" ca="1" si="0"/>
        <v>7.8353695354547785E+20</v>
      </c>
      <c r="L23" s="141">
        <f>courbes!J22</f>
        <v>1.6666666666666667</v>
      </c>
      <c r="M23" s="139">
        <f t="shared" ca="1" si="1"/>
        <v>7.8315651089586507E+20</v>
      </c>
      <c r="N23" s="139">
        <f>courbes!U22</f>
        <v>1.6666666666666667</v>
      </c>
      <c r="O23" s="139">
        <f t="shared" ca="1" si="2"/>
        <v>7.8314963911246597E+20</v>
      </c>
      <c r="P23" s="138">
        <f>courbes!AE22</f>
        <v>4</v>
      </c>
      <c r="Q23" s="139">
        <f t="shared" ca="1" si="3"/>
        <v>8.3845755214288965E+20</v>
      </c>
      <c r="R23" s="145"/>
      <c r="S23" s="145"/>
    </row>
    <row r="24" spans="10:19" ht="13.5" thickBot="1">
      <c r="J24" s="138">
        <f>courbes!A23</f>
        <v>1.75</v>
      </c>
      <c r="K24" s="139">
        <f t="shared" ca="1" si="0"/>
        <v>7.8612794155712669E+20</v>
      </c>
      <c r="L24" s="141">
        <f>courbes!J23</f>
        <v>1.75</v>
      </c>
      <c r="M24" s="139">
        <f t="shared" ca="1" si="1"/>
        <v>7.8573058543342636E+20</v>
      </c>
      <c r="N24" s="139">
        <f>courbes!U23</f>
        <v>1.75</v>
      </c>
      <c r="O24" s="139">
        <f t="shared" ca="1" si="2"/>
        <v>7.8572270080166343E+20</v>
      </c>
      <c r="P24" s="138">
        <f>courbes!AE23</f>
        <v>4.2</v>
      </c>
      <c r="Q24" s="139">
        <f t="shared" ca="1" si="3"/>
        <v>8.424981668300144E+20</v>
      </c>
      <c r="R24" s="145"/>
      <c r="S24" s="145"/>
    </row>
    <row r="25" spans="10:19" ht="13.5" thickBot="1">
      <c r="J25" s="138">
        <f>courbes!A24</f>
        <v>1.8333333333333333</v>
      </c>
      <c r="K25" s="139">
        <f t="shared" ca="1" si="0"/>
        <v>7.8868101217901622E+20</v>
      </c>
      <c r="L25" s="141">
        <f>courbes!J24</f>
        <v>1.8333333333333333</v>
      </c>
      <c r="M25" s="139">
        <f t="shared" ca="1" si="1"/>
        <v>7.882669592511679E+20</v>
      </c>
      <c r="N25" s="139">
        <f>courbes!U24</f>
        <v>1.8333333333333333</v>
      </c>
      <c r="O25" s="139">
        <f t="shared" ca="1" si="2"/>
        <v>7.8825797634300078E+20</v>
      </c>
      <c r="P25" s="138">
        <f>courbes!AE24</f>
        <v>4.4000000000000004</v>
      </c>
      <c r="Q25" s="139">
        <f t="shared" ca="1" si="3"/>
        <v>8.463687556515918E+20</v>
      </c>
      <c r="R25" s="145"/>
      <c r="S25" s="145"/>
    </row>
    <row r="26" spans="10:19" ht="13.5" thickBot="1">
      <c r="J26" s="138">
        <f>courbes!A25</f>
        <v>1.9166666666666667</v>
      </c>
      <c r="K26" s="139">
        <f t="shared" ca="1" si="0"/>
        <v>7.911963672517091E+20</v>
      </c>
      <c r="L26" s="141">
        <f>courbes!J25</f>
        <v>1.9166666666666667</v>
      </c>
      <c r="M26" s="139">
        <f t="shared" ca="1" si="1"/>
        <v>7.9076583532709544E+20</v>
      </c>
      <c r="N26" s="139">
        <f>courbes!U25</f>
        <v>1.9166666666666667</v>
      </c>
      <c r="O26" s="139">
        <f t="shared" ca="1" si="2"/>
        <v>7.9075566700965488E+20</v>
      </c>
      <c r="P26" s="138">
        <f>courbes!AE25</f>
        <v>4.5999999999999996</v>
      </c>
      <c r="Q26" s="139">
        <f t="shared" ca="1" si="3"/>
        <v>8.500793201291247E+20</v>
      </c>
      <c r="R26" s="145"/>
      <c r="S26" s="145"/>
    </row>
    <row r="27" spans="10:19" ht="13.5" thickBot="1">
      <c r="J27" s="138">
        <f>courbes!A26</f>
        <v>2</v>
      </c>
      <c r="K27" s="139">
        <f t="shared" ca="1" si="0"/>
        <v>7.9367421008276554E+20</v>
      </c>
      <c r="L27" s="141">
        <f>courbes!J26</f>
        <v>2</v>
      </c>
      <c r="M27" s="139">
        <f t="shared" ca="1" si="1"/>
        <v>7.9322741789024675E+20</v>
      </c>
      <c r="N27" s="139">
        <f>courbes!U26</f>
        <v>2</v>
      </c>
      <c r="O27" s="139">
        <f t="shared" ca="1" si="2"/>
        <v>7.9321597557439883E+20</v>
      </c>
      <c r="P27" s="138">
        <f>courbes!AE26</f>
        <v>4.8</v>
      </c>
      <c r="Q27" s="139">
        <f t="shared" ca="1" si="3"/>
        <v>8.5362986026261296E+20</v>
      </c>
      <c r="R27" s="145"/>
      <c r="S27" s="145"/>
    </row>
    <row r="28" spans="10:19" ht="13.5" thickBot="1">
      <c r="J28" s="138">
        <f>courbes!A27</f>
        <v>2.0833333333333335</v>
      </c>
      <c r="K28" s="139">
        <f t="shared" ca="1" si="0"/>
        <v>7.9611474537521676E+20</v>
      </c>
      <c r="L28" s="141">
        <f>courbes!J27</f>
        <v>2.0833333333333335</v>
      </c>
      <c r="M28" s="139">
        <f t="shared" ca="1" si="1"/>
        <v>7.9565191734551446E+20</v>
      </c>
      <c r="N28" s="139">
        <f>courbes!U27</f>
        <v>2.0833333333333335</v>
      </c>
      <c r="O28" s="139">
        <f t="shared" ca="1" si="2"/>
        <v>7.9563910623660763E+20</v>
      </c>
      <c r="P28" s="138">
        <f>courbes!AE27</f>
        <v>5</v>
      </c>
      <c r="Q28" s="139">
        <f t="shared" ca="1" si="3"/>
        <v>8.5702037605205672E+20</v>
      </c>
      <c r="R28" s="145"/>
      <c r="S28" s="145"/>
    </row>
    <row r="29" spans="10:19" ht="13.5" thickBot="1">
      <c r="J29" s="138">
        <f>courbes!A28</f>
        <v>2.1666666666666665</v>
      </c>
      <c r="K29" s="139">
        <f t="shared" ca="1" si="0"/>
        <v>7.9851817915771165E+20</v>
      </c>
      <c r="L29" s="141">
        <f>courbes!J28</f>
        <v>2.1666666666666665</v>
      </c>
      <c r="M29" s="139">
        <f t="shared" ca="1" si="1"/>
        <v>7.9803953739769446E+20</v>
      </c>
      <c r="N29" s="139">
        <f>courbes!U28</f>
        <v>2.1666666666666665</v>
      </c>
      <c r="O29" s="139">
        <f t="shared" ca="1" si="2"/>
        <v>7.9802526455096082E+20</v>
      </c>
      <c r="P29" s="138">
        <f>courbes!AE28</f>
        <v>5.2</v>
      </c>
      <c r="Q29" s="139">
        <f t="shared" ca="1" si="3"/>
        <v>8.6025086749745598E+20</v>
      </c>
      <c r="R29" s="145"/>
      <c r="S29" s="145"/>
    </row>
    <row r="30" spans="10:19" ht="13.5" thickBot="1">
      <c r="J30" s="138">
        <f>courbes!A29</f>
        <v>2.25</v>
      </c>
      <c r="K30" s="139">
        <f t="shared" ca="1" si="0"/>
        <v>8.0088471871630226E+20</v>
      </c>
      <c r="L30" s="141">
        <f>courbes!J29</f>
        <v>2.25</v>
      </c>
      <c r="M30" s="139">
        <f t="shared" ca="1" si="1"/>
        <v>8.0039048627031874E+20</v>
      </c>
      <c r="N30" s="139">
        <f>courbes!U29</f>
        <v>2.25</v>
      </c>
      <c r="O30" s="139">
        <f t="shared" ca="1" si="2"/>
        <v>8.0037465735780106E+20</v>
      </c>
      <c r="P30" s="138">
        <f>courbes!AE29</f>
        <v>5.4</v>
      </c>
      <c r="Q30" s="139">
        <f t="shared" ca="1" si="3"/>
        <v>8.6333133612031332E+20</v>
      </c>
      <c r="R30" s="145"/>
      <c r="S30" s="145"/>
    </row>
    <row r="31" spans="10:19" ht="13.5" thickBot="1">
      <c r="J31" s="138">
        <f>courbes!A30</f>
        <v>2.3333333333333335</v>
      </c>
      <c r="K31" s="139">
        <f t="shared" ca="1" si="0"/>
        <v>8.0321457252783568E+20</v>
      </c>
      <c r="L31" s="141">
        <f>courbes!J30</f>
        <v>2.3333333333333335</v>
      </c>
      <c r="M31" s="139">
        <f t="shared" ca="1" si="1"/>
        <v>8.0270497326566631E+20</v>
      </c>
      <c r="N31" s="139">
        <f>courbes!U30</f>
        <v>2.3333333333333335</v>
      </c>
      <c r="O31" s="139">
        <f t="shared" ca="1" si="2"/>
        <v>8.0268749271512488E+20</v>
      </c>
      <c r="P31" s="138">
        <f>courbes!AE30</f>
        <v>5.6</v>
      </c>
      <c r="Q31" s="139">
        <f t="shared" ca="1" si="3"/>
        <v>8.6624177887762357E+20</v>
      </c>
      <c r="R31" s="145"/>
      <c r="S31" s="145"/>
    </row>
    <row r="32" spans="10:19" ht="13.5" thickBot="1">
      <c r="J32" s="138">
        <f>courbes!A31</f>
        <v>2.4166666666666665</v>
      </c>
      <c r="K32" s="139">
        <f t="shared" ca="1" si="0"/>
        <v>8.0550795019491829E+20</v>
      </c>
      <c r="L32" s="141">
        <f>courbes!J31</f>
        <v>2.4166666666666665</v>
      </c>
      <c r="M32" s="139">
        <f t="shared" ca="1" si="1"/>
        <v>8.0498320869934144E+20</v>
      </c>
      <c r="N32" s="139">
        <f>courbes!U31</f>
        <v>2.4166666666666665</v>
      </c>
      <c r="O32" s="139">
        <f t="shared" ca="1" si="2"/>
        <v>8.0496397983216907E+20</v>
      </c>
      <c r="P32" s="138">
        <f>courbes!AE31</f>
        <v>5.8</v>
      </c>
      <c r="Q32" s="139">
        <f t="shared" ca="1" si="3"/>
        <v>8.690021988123919E+20</v>
      </c>
      <c r="R32" s="145"/>
      <c r="S32" s="145"/>
    </row>
    <row r="33" spans="10:19" ht="13.5" thickBot="1">
      <c r="J33" s="138">
        <f>courbes!A32</f>
        <v>2.5</v>
      </c>
      <c r="K33" s="139">
        <f t="shared" ca="1" si="0"/>
        <v>8.0776506238242089E+20</v>
      </c>
      <c r="L33" s="141">
        <f>courbes!J32</f>
        <v>2.5</v>
      </c>
      <c r="M33" s="139">
        <f t="shared" ca="1" si="1"/>
        <v>8.0722540383485729E+20</v>
      </c>
      <c r="N33" s="139">
        <f>courbes!U32</f>
        <v>2.5</v>
      </c>
      <c r="O33" s="139">
        <f t="shared" ca="1" si="2"/>
        <v>8.0720432900456173E+20</v>
      </c>
      <c r="P33" s="138">
        <f>courbes!AE32</f>
        <v>6</v>
      </c>
      <c r="Q33" s="139">
        <f t="shared" ca="1" si="3"/>
        <v>8.7161259592461858E+20</v>
      </c>
      <c r="R33" s="145"/>
      <c r="S33" s="145"/>
    </row>
    <row r="34" spans="10:19" ht="13.5" thickBot="1">
      <c r="J34" s="138">
        <f>courbes!A33</f>
        <v>2.5833333333333335</v>
      </c>
      <c r="K34" s="139">
        <f t="shared" ca="1" si="0"/>
        <v>8.0998612075549347E+20</v>
      </c>
      <c r="L34" s="141">
        <f>courbes!J33</f>
        <v>2.5833333333333335</v>
      </c>
      <c r="M34" s="139">
        <f t="shared" ca="1" si="1"/>
        <v>8.0943177081821633E+20</v>
      </c>
      <c r="N34" s="139">
        <f>courbes!U33</f>
        <v>2.5833333333333335</v>
      </c>
      <c r="O34" s="139">
        <f t="shared" ca="1" si="2"/>
        <v>8.0940875155100874E+20</v>
      </c>
      <c r="P34" s="138">
        <f>courbes!AE33</f>
        <v>6.2</v>
      </c>
      <c r="Q34" s="139">
        <f t="shared" ca="1" si="3"/>
        <v>8.7406296869280075E+20</v>
      </c>
      <c r="R34" s="145"/>
      <c r="S34" s="145"/>
    </row>
    <row r="35" spans="10:19" ht="13.5" thickBot="1">
      <c r="J35" s="138">
        <f>courbes!A34</f>
        <v>2.6666666666666665</v>
      </c>
      <c r="K35" s="139">
        <f t="shared" ca="1" si="0"/>
        <v>8.1217133791905867E+20</v>
      </c>
      <c r="L35" s="141">
        <f>courbes!J34</f>
        <v>2.6666666666666665</v>
      </c>
      <c r="M35" s="139">
        <f t="shared" ca="1" si="1"/>
        <v>8.1160252261248899E+20</v>
      </c>
      <c r="N35" s="139">
        <f>courbes!U34</f>
        <v>2.6666666666666665</v>
      </c>
      <c r="O35" s="139">
        <f t="shared" ca="1" si="2"/>
        <v>8.1157745975148741E+20</v>
      </c>
      <c r="P35" s="138">
        <f>courbes!AE34</f>
        <v>6.4</v>
      </c>
      <c r="Q35" s="139">
        <f t="shared" ca="1" si="3"/>
        <v>8.7636331863844101E+20</v>
      </c>
      <c r="R35" s="145"/>
      <c r="S35" s="145"/>
    </row>
    <row r="36" spans="10:19" ht="13.5" thickBot="1">
      <c r="J36" s="138">
        <f>courbes!A35</f>
        <v>2.75</v>
      </c>
      <c r="K36" s="139">
        <f t="shared" ca="1" si="0"/>
        <v>8.1432092735875318E+20</v>
      </c>
      <c r="L36" s="141">
        <f>courbes!J35</f>
        <v>2.75</v>
      </c>
      <c r="M36" s="139">
        <f t="shared" ca="1" si="1"/>
        <v>8.1373787293239843E+20</v>
      </c>
      <c r="N36" s="139">
        <f>courbes!U35</f>
        <v>2.75</v>
      </c>
      <c r="O36" s="139">
        <f t="shared" ca="1" si="2"/>
        <v>8.1371066678691155E+20</v>
      </c>
      <c r="P36" s="138">
        <f>courbes!AE35</f>
        <v>6.6</v>
      </c>
      <c r="Q36" s="139">
        <f t="shared" ca="1" si="3"/>
        <v>8.7850364424003663E+20</v>
      </c>
      <c r="R36" s="145"/>
      <c r="S36" s="145"/>
    </row>
    <row r="37" spans="10:19" ht="13.5" thickBot="1">
      <c r="J37" s="138">
        <f>courbes!A36</f>
        <v>2.8333333333333335</v>
      </c>
      <c r="K37" s="139">
        <f t="shared" ca="1" si="0"/>
        <v>8.1643510338328815E+20</v>
      </c>
      <c r="L37" s="141">
        <f>courbes!J36</f>
        <v>2.8333333333333335</v>
      </c>
      <c r="M37" s="139">
        <f t="shared" ca="1" si="1"/>
        <v>8.1583803617889826E+20</v>
      </c>
      <c r="N37" s="139">
        <f>courbes!U36</f>
        <v>2.8333333333333335</v>
      </c>
      <c r="O37" s="139">
        <f t="shared" ca="1" si="2"/>
        <v>8.1580858668024778E+20</v>
      </c>
      <c r="P37" s="138">
        <f>courbes!AE36</f>
        <v>6.8</v>
      </c>
      <c r="Q37" s="139">
        <f t="shared" ca="1" si="3"/>
        <v>8.8049394701909059E+20</v>
      </c>
      <c r="R37" s="145"/>
      <c r="S37" s="145"/>
    </row>
    <row r="38" spans="10:19" ht="13.5" thickBot="1">
      <c r="J38" s="138">
        <f>courbes!A37</f>
        <v>2.9166666666666665</v>
      </c>
      <c r="K38" s="139">
        <f t="shared" ca="1" si="0"/>
        <v>8.1851408106820023E+20</v>
      </c>
      <c r="L38" s="141">
        <f>courbes!J37</f>
        <v>2.9166666666666665</v>
      </c>
      <c r="M38" s="139">
        <f t="shared" ca="1" si="1"/>
        <v>8.179032273737557E+20</v>
      </c>
      <c r="N38" s="139">
        <f>courbes!U37</f>
        <v>2.9166666666666665</v>
      </c>
      <c r="O38" s="139">
        <f t="shared" ca="1" si="2"/>
        <v>8.1787143423904422E+20</v>
      </c>
      <c r="P38" s="138">
        <f>courbes!AE37</f>
        <v>7</v>
      </c>
      <c r="Q38" s="139">
        <f t="shared" ca="1" si="3"/>
        <v>8.8234422849710575E+20</v>
      </c>
      <c r="R38" s="145"/>
      <c r="S38" s="145"/>
    </row>
    <row r="39" spans="10:19" ht="13.5" thickBot="1">
      <c r="J39" s="138">
        <f>courbes!A38</f>
        <v>3</v>
      </c>
      <c r="K39" s="139">
        <f t="shared" ca="1" si="0"/>
        <v>8.2055807620096288E+20</v>
      </c>
      <c r="L39" s="141">
        <f>courbes!J38</f>
        <v>3</v>
      </c>
      <c r="M39" s="139">
        <f t="shared" ca="1" si="1"/>
        <v>8.1993366209413133E+20</v>
      </c>
      <c r="N39" s="139">
        <f>courbes!U38</f>
        <v>3</v>
      </c>
      <c r="O39" s="139">
        <f t="shared" ca="1" si="2"/>
        <v>8.1989942499935571E+20</v>
      </c>
      <c r="P39" s="138">
        <f>courbes!AE38</f>
        <v>7.2</v>
      </c>
      <c r="Q39" s="139">
        <f t="shared" ca="1" si="3"/>
        <v>8.8403448563107627E+20</v>
      </c>
      <c r="R39" s="145"/>
      <c r="S39" s="145"/>
    </row>
    <row r="40" spans="10:19" ht="13.5" thickBot="1">
      <c r="J40" s="138">
        <f>courbes!A39</f>
        <v>3.0833333333333335</v>
      </c>
      <c r="K40" s="139">
        <f t="shared" ca="1" si="0"/>
        <v>8.2256730522743236E+20</v>
      </c>
      <c r="L40" s="141">
        <f>courbes!J39</f>
        <v>3.0833333333333335</v>
      </c>
      <c r="M40" s="139">
        <f t="shared" ca="1" si="1"/>
        <v>8.2192956032911986E+20</v>
      </c>
      <c r="N40" s="139">
        <f>courbes!U39</f>
        <v>3.0833333333333335</v>
      </c>
      <c r="O40" s="139">
        <f t="shared" ca="1" si="2"/>
        <v>8.218927751710258E+20</v>
      </c>
      <c r="P40" s="138">
        <f>courbes!AE39</f>
        <v>7.4</v>
      </c>
      <c r="Q40" s="139">
        <f t="shared" ca="1" si="3"/>
        <v>8.8557471994250501E+20</v>
      </c>
      <c r="R40" s="145"/>
      <c r="S40" s="145"/>
    </row>
    <row r="41" spans="10:19" ht="13.5" thickBot="1">
      <c r="J41" s="138">
        <f>courbes!A40</f>
        <v>3.1666666666666665</v>
      </c>
      <c r="K41" s="139">
        <f t="shared" ca="1" si="0"/>
        <v>8.2454198519959978E+20</v>
      </c>
      <c r="L41" s="141">
        <f>courbes!J40</f>
        <v>3.1666666666666665</v>
      </c>
      <c r="M41" s="139">
        <f t="shared" ca="1" si="1"/>
        <v>8.2389113640512612E+20</v>
      </c>
      <c r="N41" s="139">
        <f>courbes!U40</f>
        <v>3.1666666666666665</v>
      </c>
      <c r="O41" s="139">
        <f t="shared" ca="1" si="2"/>
        <v>8.2385170158430899E+20</v>
      </c>
      <c r="P41" s="138">
        <f>courbes!AE40</f>
        <v>7.6</v>
      </c>
      <c r="Q41" s="139">
        <f t="shared" ca="1" si="3"/>
        <v>8.8697493295289467E+20</v>
      </c>
      <c r="R41" s="145"/>
      <c r="S41" s="145"/>
    </row>
    <row r="42" spans="10:19" ht="13.5" thickBot="1">
      <c r="J42" s="138">
        <f>courbes!A41</f>
        <v>3.25</v>
      </c>
      <c r="K42" s="139">
        <f t="shared" ca="1" si="0"/>
        <v>8.2648233372462272E+20</v>
      </c>
      <c r="L42" s="141">
        <f>courbes!J41</f>
        <v>3.25</v>
      </c>
      <c r="M42" s="139">
        <f t="shared" ca="1" si="1"/>
        <v>8.2581860776799909E+20</v>
      </c>
      <c r="N42" s="139">
        <f>courbes!U41</f>
        <v>3.25</v>
      </c>
      <c r="O42" s="139">
        <f t="shared" ca="1" si="2"/>
        <v>8.2577642163779863E+20</v>
      </c>
      <c r="P42" s="138">
        <f>courbes!AE41</f>
        <v>7.8</v>
      </c>
      <c r="Q42" s="139">
        <f t="shared" ca="1" si="3"/>
        <v>8.8822512314074281E+20</v>
      </c>
      <c r="R42" s="145"/>
      <c r="S42" s="145"/>
    </row>
    <row r="43" spans="10:19" ht="13.5" thickBot="1">
      <c r="J43" s="138">
        <f>courbes!A42</f>
        <v>3.3333333333333335</v>
      </c>
      <c r="K43" s="139">
        <f t="shared" ca="1" si="0"/>
        <v>8.2838856891511092E+20</v>
      </c>
      <c r="L43" s="141">
        <f>courbes!J42</f>
        <v>3.3333333333333335</v>
      </c>
      <c r="M43" s="139">
        <f t="shared" ca="1" si="1"/>
        <v>8.2771219229319365E+20</v>
      </c>
      <c r="N43" s="139">
        <f>courbes!U42</f>
        <v>3.3333333333333335</v>
      </c>
      <c r="O43" s="139">
        <f t="shared" ca="1" si="2"/>
        <v>8.2766715324764075E+20</v>
      </c>
      <c r="P43" s="138">
        <f>courbes!AE42</f>
        <v>8</v>
      </c>
      <c r="Q43" s="139">
        <f t="shared" ca="1" si="3"/>
        <v>8.8933529202755174E+20</v>
      </c>
      <c r="R43" s="145"/>
      <c r="S43" s="145"/>
    </row>
    <row r="44" spans="10:19" ht="13.5" thickBot="1">
      <c r="J44" s="138">
        <f>courbes!A43</f>
        <v>3.4166666666666665</v>
      </c>
      <c r="K44" s="139">
        <f t="shared" ca="1" si="0"/>
        <v>8.3026090934063949E+20</v>
      </c>
      <c r="L44" s="141">
        <f>courbes!J43</f>
        <v>3.4166666666666665</v>
      </c>
      <c r="M44" s="139">
        <f t="shared" ca="1" si="1"/>
        <v>8.2957210823683159E+20</v>
      </c>
      <c r="N44" s="139">
        <f>courbes!U43</f>
        <v>3.4166666666666665</v>
      </c>
      <c r="O44" s="139">
        <f t="shared" ca="1" si="2"/>
        <v>8.2952411479800414E+20</v>
      </c>
      <c r="P44" s="138">
        <f>courbes!AE43</f>
        <v>8.1999999999999993</v>
      </c>
      <c r="Q44" s="139">
        <f t="shared" ca="1" si="3"/>
        <v>8.9029543809181902E+20</v>
      </c>
      <c r="R44" s="145"/>
      <c r="S44" s="145"/>
    </row>
    <row r="45" spans="10:19" ht="13.5" thickBot="1">
      <c r="J45" s="138">
        <f>courbes!A44</f>
        <v>3.5</v>
      </c>
      <c r="K45" s="139">
        <f t="shared" ca="1" si="0"/>
        <v>8.320995739804652E+20</v>
      </c>
      <c r="L45" s="141">
        <f>courbes!J44</f>
        <v>3.5</v>
      </c>
      <c r="M45" s="139">
        <f t="shared" ca="1" si="1"/>
        <v>8.3139857418676575E+20</v>
      </c>
      <c r="N45" s="139">
        <f>courbes!U44</f>
        <v>3.5</v>
      </c>
      <c r="O45" s="139">
        <f t="shared" ca="1" si="2"/>
        <v>8.3134752509278251E+20</v>
      </c>
      <c r="P45" s="138">
        <f>courbes!AE44</f>
        <v>8.4</v>
      </c>
      <c r="Q45" s="139">
        <f t="shared" ca="1" si="3"/>
        <v>8.9111556285504723E+20</v>
      </c>
      <c r="R45" s="145"/>
      <c r="S45" s="145"/>
    </row>
    <row r="46" spans="10:19" ht="13.5" thickBot="1">
      <c r="J46" s="138">
        <f>courbes!A45</f>
        <v>3.5833333333333335</v>
      </c>
      <c r="K46" s="139">
        <f t="shared" ca="1" si="0"/>
        <v>8.3390478217742057E+20</v>
      </c>
      <c r="L46" s="141">
        <f>courbes!J45</f>
        <v>3.5833333333333335</v>
      </c>
      <c r="M46" s="139">
        <f t="shared" ca="1" si="1"/>
        <v>8.3319180901364086E+20</v>
      </c>
      <c r="N46" s="139">
        <f>courbes!U45</f>
        <v>3.5833333333333335</v>
      </c>
      <c r="O46" s="139">
        <f t="shared" ca="1" si="2"/>
        <v>8.3313760330850697E+20</v>
      </c>
      <c r="P46" s="138">
        <f>courbes!AE45</f>
        <v>8.6</v>
      </c>
      <c r="Q46" s="139">
        <f t="shared" ca="1" si="3"/>
        <v>8.9179566631723663E+20</v>
      </c>
      <c r="R46" s="145"/>
      <c r="S46" s="145"/>
    </row>
    <row r="47" spans="10:19" ht="13.5" thickBot="1">
      <c r="J47" s="138">
        <f>courbes!A46</f>
        <v>3.6666666666666665</v>
      </c>
      <c r="K47" s="139">
        <f t="shared" ca="1" si="0"/>
        <v>8.3567675359296265E+20</v>
      </c>
      <c r="L47" s="141">
        <f>courbes!J46</f>
        <v>3.6666666666666665</v>
      </c>
      <c r="M47" s="139">
        <f t="shared" ca="1" si="1"/>
        <v>8.3495203182195717E+20</v>
      </c>
      <c r="N47" s="139">
        <f>courbes!U46</f>
        <v>3.6666666666666665</v>
      </c>
      <c r="O47" s="139">
        <f t="shared" ca="1" si="2"/>
        <v>8.3489456894843945E+20</v>
      </c>
      <c r="P47" s="138">
        <f>courbes!AE46</f>
        <v>8.8000000000000007</v>
      </c>
      <c r="Q47" s="139">
        <f t="shared" ca="1" si="3"/>
        <v>8.9233574847838696E+20</v>
      </c>
      <c r="R47" s="145"/>
      <c r="S47" s="145"/>
    </row>
    <row r="48" spans="10:19" ht="13.5" thickBot="1">
      <c r="J48" s="138">
        <f>courbes!A47</f>
        <v>3.75</v>
      </c>
      <c r="K48" s="139">
        <f t="shared" ca="1" si="0"/>
        <v>8.3741570816335138E+20</v>
      </c>
      <c r="L48" s="141">
        <f>courbes!J47</f>
        <v>3.75</v>
      </c>
      <c r="M48" s="139">
        <f t="shared" ca="1" si="1"/>
        <v>8.3667946190113263E+20</v>
      </c>
      <c r="N48" s="139">
        <f>courbes!U47</f>
        <v>3.75</v>
      </c>
      <c r="O48" s="139">
        <f t="shared" ca="1" si="2"/>
        <v>8.3661864179782818E+20</v>
      </c>
      <c r="P48" s="138">
        <f>courbes!AE47</f>
        <v>9</v>
      </c>
      <c r="Q48" s="139">
        <f t="shared" ca="1" si="3"/>
        <v>8.9273580933849835E+20</v>
      </c>
      <c r="R48" s="145"/>
      <c r="S48" s="145"/>
    </row>
    <row r="49" spans="10:19" ht="13.5" thickBot="1">
      <c r="J49" s="138">
        <f>courbes!A48</f>
        <v>3.8333333333333335</v>
      </c>
      <c r="K49" s="139">
        <f t="shared" ca="1" si="0"/>
        <v>8.3912186605693593E+20</v>
      </c>
      <c r="L49" s="141">
        <f>courbes!J48</f>
        <v>3.8333333333333335</v>
      </c>
      <c r="M49" s="139">
        <f t="shared" ca="1" si="1"/>
        <v>8.3837431867656477E+20</v>
      </c>
      <c r="N49" s="139">
        <f>courbes!U48</f>
        <v>3.8333333333333335</v>
      </c>
      <c r="O49" s="139">
        <f t="shared" ca="1" si="2"/>
        <v>8.3831004188029839E+20</v>
      </c>
      <c r="P49" s="138">
        <f>courbes!AE48</f>
        <v>9.1999999999999993</v>
      </c>
      <c r="Q49" s="139">
        <f t="shared" ca="1" si="3"/>
        <v>8.9299584889757067E+20</v>
      </c>
      <c r="R49" s="145"/>
      <c r="S49" s="145"/>
    </row>
    <row r="50" spans="10:19" ht="13.5" thickBot="1">
      <c r="J50" s="138">
        <f>courbes!A49</f>
        <v>3.9166666666666665</v>
      </c>
      <c r="K50" s="139">
        <f t="shared" ca="1" si="0"/>
        <v>8.4079544763252487E+20</v>
      </c>
      <c r="L50" s="141">
        <f>courbes!J49</f>
        <v>3.9166666666666665</v>
      </c>
      <c r="M50" s="139">
        <f t="shared" ca="1" si="1"/>
        <v>8.4003682166069304E+20</v>
      </c>
      <c r="N50" s="139">
        <f>courbes!U49</f>
        <v>3.9166666666666665</v>
      </c>
      <c r="O50" s="139">
        <f t="shared" ca="1" si="2"/>
        <v>8.3996898941535951E+20</v>
      </c>
      <c r="P50" s="138">
        <f>courbes!AE49</f>
        <v>9.4</v>
      </c>
      <c r="Q50" s="139">
        <f t="shared" ca="1" si="3"/>
        <v>8.9311586715560418E+20</v>
      </c>
      <c r="R50" s="145"/>
      <c r="S50" s="145"/>
    </row>
    <row r="51" spans="10:19" ht="13.5" thickBot="1">
      <c r="J51" s="138">
        <f>courbes!A50</f>
        <v>4</v>
      </c>
      <c r="K51" s="139">
        <f t="shared" ca="1" si="0"/>
        <v>8.42436673398819E+20</v>
      </c>
      <c r="L51" s="141">
        <f>courbes!J50</f>
        <v>4</v>
      </c>
      <c r="M51" s="139">
        <f t="shared" ca="1" si="1"/>
        <v>8.4166719040406251E+20</v>
      </c>
      <c r="N51" s="139">
        <f>courbes!U50</f>
        <v>4</v>
      </c>
      <c r="O51" s="139">
        <f t="shared" ca="1" si="2"/>
        <v>8.4159570477699983E+20</v>
      </c>
      <c r="P51" s="138">
        <f>courbes!AE50</f>
        <v>9.6</v>
      </c>
      <c r="Q51" s="139">
        <f t="shared" ca="1" si="3"/>
        <v>8.9310586563410133E+20</v>
      </c>
      <c r="R51" s="145"/>
      <c r="S51" s="145"/>
    </row>
    <row r="52" spans="10:19" ht="13.5" thickBot="1">
      <c r="J52" s="138">
        <f>courbes!A51</f>
        <v>4.083333333333333</v>
      </c>
      <c r="K52" s="139">
        <f t="shared" ca="1" si="0"/>
        <v>8.4404576397488436E+20</v>
      </c>
      <c r="L52" s="141">
        <f>courbes!J51</f>
        <v>4.083333333333333</v>
      </c>
      <c r="M52" s="139">
        <f t="shared" ca="1" si="1"/>
        <v>8.4326564751520236E+20</v>
      </c>
      <c r="N52" s="139">
        <f>courbes!U51</f>
        <v>4.083333333333333</v>
      </c>
      <c r="O52" s="139">
        <f t="shared" ca="1" si="2"/>
        <v>8.4319040845335482E+20</v>
      </c>
      <c r="P52" s="138">
        <f>courbes!AE51</f>
        <v>9.8000000000000007</v>
      </c>
      <c r="Q52" s="139">
        <f t="shared" ca="1" si="3"/>
        <v>8.9295584281155967E+20</v>
      </c>
      <c r="R52" s="145"/>
      <c r="S52" s="145"/>
    </row>
    <row r="53" spans="10:19" ht="13.5" thickBot="1">
      <c r="J53" s="138">
        <f>courbes!A52</f>
        <v>4.166666666666667</v>
      </c>
      <c r="K53" s="139">
        <f t="shared" ca="1" si="0"/>
        <v>8.4562294005164409E+20</v>
      </c>
      <c r="L53" s="141">
        <f>courbes!J52</f>
        <v>4.166666666666667</v>
      </c>
      <c r="M53" s="139">
        <f t="shared" ca="1" si="1"/>
        <v>8.448324107795493E+20</v>
      </c>
      <c r="N53" s="139">
        <f>courbes!U52</f>
        <v>4.166666666666667</v>
      </c>
      <c r="O53" s="139">
        <f t="shared" ca="1" si="2"/>
        <v>8.447533210074191E+20</v>
      </c>
      <c r="Q53" s="139">
        <f t="shared" ca="1" si="3"/>
        <v>0</v>
      </c>
      <c r="R53" s="145"/>
      <c r="S53" s="145"/>
    </row>
    <row r="54" spans="10:19" ht="13.5" thickBot="1">
      <c r="J54" s="138">
        <f>courbes!A53</f>
        <v>4.25</v>
      </c>
      <c r="K54" s="139">
        <f t="shared" ca="1" si="0"/>
        <v>8.4716842235436859E+20</v>
      </c>
      <c r="L54" s="141">
        <f>courbes!J53</f>
        <v>4.25</v>
      </c>
      <c r="M54" s="139">
        <f t="shared" ca="1" si="1"/>
        <v>8.463677000337971E+20</v>
      </c>
      <c r="N54" s="139">
        <f>courbes!U53</f>
        <v>4.25</v>
      </c>
      <c r="O54" s="139">
        <f t="shared" ca="1" si="2"/>
        <v>8.4628466303878798E+20</v>
      </c>
      <c r="Q54" s="139">
        <f t="shared" ca="1" si="3"/>
        <v>0</v>
      </c>
      <c r="R54" s="145"/>
      <c r="S54" s="145"/>
    </row>
    <row r="55" spans="10:19" ht="13.5" thickBot="1">
      <c r="J55" s="138">
        <f>courbes!A54</f>
        <v>4.333333333333333</v>
      </c>
      <c r="K55" s="139">
        <f t="shared" ca="1" si="0"/>
        <v>8.4868243160614293E+20</v>
      </c>
      <c r="L55" s="141">
        <f>courbes!J54</f>
        <v>4.333333333333333</v>
      </c>
      <c r="M55" s="139">
        <f t="shared" ca="1" si="1"/>
        <v>8.4787173506328114E+20</v>
      </c>
      <c r="N55" s="139">
        <f>courbes!U54</f>
        <v>4.333333333333333</v>
      </c>
      <c r="O55" s="139">
        <f t="shared" ca="1" si="2"/>
        <v>8.4778465514640245E+20</v>
      </c>
      <c r="Q55" s="139">
        <f t="shared" ca="1" si="3"/>
        <v>0</v>
      </c>
      <c r="R55" s="145"/>
      <c r="S55" s="145"/>
    </row>
    <row r="56" spans="10:19" ht="13.5" thickBot="1">
      <c r="J56" s="138">
        <f>courbes!A55</f>
        <v>4.416666666666667</v>
      </c>
      <c r="K56" s="139">
        <f t="shared" ca="1" si="0"/>
        <v>8.5016518849229134E+20</v>
      </c>
      <c r="L56" s="141">
        <f>courbes!J55</f>
        <v>4.416666666666667</v>
      </c>
      <c r="M56" s="139">
        <f t="shared" ca="1" si="1"/>
        <v>8.4934473556592833E+20</v>
      </c>
      <c r="N56" s="139">
        <f>courbes!U55</f>
        <v>4.416666666666667</v>
      </c>
      <c r="O56" s="139">
        <f t="shared" ca="1" si="2"/>
        <v>8.4925351789228196E+20</v>
      </c>
      <c r="Q56" s="139">
        <f t="shared" ca="1" si="3"/>
        <v>0</v>
      </c>
      <c r="R56" s="145"/>
      <c r="S56" s="145"/>
    </row>
    <row r="57" spans="10:19" ht="13.5" thickBot="1">
      <c r="J57" s="138">
        <f>courbes!A56</f>
        <v>4.5</v>
      </c>
      <c r="K57" s="139">
        <f t="shared" ca="1" si="0"/>
        <v>8.5161691362573943E+20</v>
      </c>
      <c r="L57" s="141">
        <f>courbes!J56</f>
        <v>4.5</v>
      </c>
      <c r="M57" s="139">
        <f t="shared" ca="1" si="1"/>
        <v>8.5078692111621004E+20</v>
      </c>
      <c r="N57" s="139">
        <f>courbes!U56</f>
        <v>4.5</v>
      </c>
      <c r="O57" s="139">
        <f t="shared" ca="1" si="2"/>
        <v>8.506914717662169E+20</v>
      </c>
      <c r="Q57" s="139">
        <f t="shared" ca="1" si="3"/>
        <v>0</v>
      </c>
      <c r="R57" s="145"/>
      <c r="S57" s="145"/>
    </row>
    <row r="58" spans="10:19" ht="13.5" thickBot="1">
      <c r="J58" s="138">
        <f>courbes!A57</f>
        <v>4.583333333333333</v>
      </c>
      <c r="K58" s="139">
        <f t="shared" ca="1" si="0"/>
        <v>8.5303782751329478E+20</v>
      </c>
      <c r="L58" s="141">
        <f>courbes!J57</f>
        <v>4.583333333333333</v>
      </c>
      <c r="M58" s="139">
        <f t="shared" ca="1" si="1"/>
        <v>8.5219851112909216E+20</v>
      </c>
      <c r="N58" s="139">
        <f>courbes!U57</f>
        <v>4.583333333333333</v>
      </c>
      <c r="O58" s="139">
        <f t="shared" ca="1" si="2"/>
        <v>8.5209873715141332E+20</v>
      </c>
      <c r="Q58" s="139">
        <f t="shared" ca="1" si="3"/>
        <v>0</v>
      </c>
      <c r="R58" s="145"/>
      <c r="S58" s="145"/>
    </row>
    <row r="59" spans="10:19" ht="13.5" thickBot="1">
      <c r="J59" s="138">
        <f>courbes!A58</f>
        <v>4.666666666666667</v>
      </c>
      <c r="K59" s="139">
        <f t="shared" ca="1" si="0"/>
        <v>8.5442815052282593E+20</v>
      </c>
      <c r="L59" s="141">
        <f>courbes!J58</f>
        <v>4.666666666666667</v>
      </c>
      <c r="M59" s="139">
        <f t="shared" ca="1" si="1"/>
        <v>8.5357972482398736E+20</v>
      </c>
      <c r="N59" s="139">
        <f>courbes!U58</f>
        <v>4.666666666666667</v>
      </c>
      <c r="O59" s="139">
        <f t="shared" ca="1" si="2"/>
        <v>8.5347553429105659E+20</v>
      </c>
      <c r="Q59" s="139">
        <f t="shared" ca="1" si="3"/>
        <v>0</v>
      </c>
      <c r="R59" s="145"/>
      <c r="S59" s="145"/>
    </row>
    <row r="60" spans="10:19" ht="13.5" thickBot="1">
      <c r="J60" s="138">
        <f>courbes!A59</f>
        <v>4.75</v>
      </c>
      <c r="K60" s="139">
        <f t="shared" ca="1" si="0"/>
        <v>8.5578810285132284E+20</v>
      </c>
      <c r="L60" s="141">
        <f>courbes!J59</f>
        <v>4.75</v>
      </c>
      <c r="M60" s="139">
        <f t="shared" ca="1" si="1"/>
        <v>8.5493078118870483E+20</v>
      </c>
      <c r="N60" s="139">
        <f>courbes!U59</f>
        <v>4.75</v>
      </c>
      <c r="O60" s="139">
        <f t="shared" ca="1" si="2"/>
        <v>8.5482208325578811E+20</v>
      </c>
      <c r="Q60" s="139">
        <f t="shared" ca="1" si="3"/>
        <v>0</v>
      </c>
      <c r="R60" s="145"/>
      <c r="S60" s="145"/>
    </row>
    <row r="61" spans="10:19" ht="13.5" thickBot="1">
      <c r="J61" s="138">
        <f>courbes!A60</f>
        <v>4.833333333333333</v>
      </c>
      <c r="K61" s="139">
        <f t="shared" ca="1" si="0"/>
        <v>8.5711790449381868E+20</v>
      </c>
      <c r="L61" s="141">
        <f>courbes!J60</f>
        <v>4.833333333333333</v>
      </c>
      <c r="M61" s="139">
        <f t="shared" ca="1" si="1"/>
        <v>8.5625189894340438E+20</v>
      </c>
      <c r="N61" s="139">
        <f>courbes!U60</f>
        <v>4.833333333333333</v>
      </c>
      <c r="O61" s="139">
        <f t="shared" ca="1" si="2"/>
        <v>8.5613860391206401E+20</v>
      </c>
      <c r="Q61" s="139">
        <f t="shared" ca="1" si="3"/>
        <v>0</v>
      </c>
      <c r="R61" s="145"/>
      <c r="S61" s="145"/>
    </row>
    <row r="62" spans="10:19" ht="13.5" thickBot="1">
      <c r="J62" s="138">
        <f>courbes!A61</f>
        <v>4.916666666666667</v>
      </c>
      <c r="K62" s="139">
        <f t="shared" ca="1" si="0"/>
        <v>8.5841777521315689E+20</v>
      </c>
      <c r="L62" s="141">
        <f>courbes!J61</f>
        <v>4.916666666666667</v>
      </c>
      <c r="M62" s="139">
        <f t="shared" ca="1" si="1"/>
        <v>8.5754329650454449E+20</v>
      </c>
      <c r="N62" s="139">
        <f>courbes!U61</f>
        <v>4.916666666666667</v>
      </c>
      <c r="O62" s="139">
        <f t="shared" ca="1" si="2"/>
        <v>8.5742531589138874E+20</v>
      </c>
      <c r="Q62" s="139">
        <f t="shared" ca="1" si="3"/>
        <v>0</v>
      </c>
      <c r="R62" s="145"/>
      <c r="S62" s="145"/>
    </row>
    <row r="63" spans="10:19" ht="13.5" thickBot="1">
      <c r="J63" s="138">
        <f>courbes!A62</f>
        <v>5</v>
      </c>
      <c r="K63" s="139">
        <f t="shared" ca="1" si="0"/>
        <v>8.5968793451058417E+20</v>
      </c>
      <c r="L63" s="141">
        <f>courbes!J62</f>
        <v>5</v>
      </c>
      <c r="M63" s="139">
        <f t="shared" ca="1" si="1"/>
        <v>8.5880519194883575E+20</v>
      </c>
      <c r="N63" s="139">
        <f>courbes!U62</f>
        <v>5</v>
      </c>
      <c r="O63" s="139">
        <f t="shared" ca="1" si="2"/>
        <v>8.5868243856039752E+20</v>
      </c>
      <c r="Q63" s="139">
        <f t="shared" ca="1" si="3"/>
        <v>0</v>
      </c>
      <c r="R63" s="145"/>
      <c r="S63" s="145"/>
    </row>
    <row r="64" spans="10:19" ht="13.5" thickBot="1">
      <c r="J64" s="138">
        <f>courbes!A63</f>
        <v>5.083333333333333</v>
      </c>
      <c r="K64" s="139">
        <f t="shared" ca="1" si="0"/>
        <v>8.609286015971539E+20</v>
      </c>
      <c r="L64" s="141">
        <f>courbes!J63</f>
        <v>5.083333333333333</v>
      </c>
      <c r="M64" s="139">
        <f t="shared" ca="1" si="1"/>
        <v>8.600378053747325E+20</v>
      </c>
      <c r="N64" s="139">
        <f>courbes!U63</f>
        <v>5.083333333333333</v>
      </c>
      <c r="O64" s="139">
        <f t="shared" ca="1" si="2"/>
        <v>8.5991019099177379E+20</v>
      </c>
      <c r="Q64" s="139">
        <f t="shared" ca="1" si="3"/>
        <v>0</v>
      </c>
      <c r="R64" s="145"/>
      <c r="S64" s="145"/>
    </row>
    <row r="65" spans="10:19" ht="13.5" thickBot="1">
      <c r="J65" s="138">
        <f>courbes!A64</f>
        <v>5.166666666666667</v>
      </c>
      <c r="K65" s="139">
        <f t="shared" ca="1" si="0"/>
        <v>8.6213999536592165E+20</v>
      </c>
      <c r="L65" s="141">
        <f>courbes!J64</f>
        <v>5.166666666666667</v>
      </c>
      <c r="M65" s="139">
        <f t="shared" ca="1" si="1"/>
        <v>8.6124135274700394E+20</v>
      </c>
      <c r="N65" s="139">
        <f>courbes!U64</f>
        <v>5.166666666666667</v>
      </c>
      <c r="O65" s="139">
        <f t="shared" ca="1" si="2"/>
        <v>8.6110879193598381E+20</v>
      </c>
      <c r="Q65" s="139">
        <f t="shared" ca="1" si="3"/>
        <v>0</v>
      </c>
      <c r="R65" s="145"/>
      <c r="S65" s="145"/>
    </row>
    <row r="66" spans="10:19" ht="13.5" thickBot="1">
      <c r="J66" s="138">
        <f>courbes!A65</f>
        <v>5.25</v>
      </c>
      <c r="K66" s="139">
        <f t="shared" ca="1" si="0"/>
        <v>8.6332233436491743E+20</v>
      </c>
      <c r="L66" s="141">
        <f>courbes!J65</f>
        <v>5.25</v>
      </c>
      <c r="M66" s="139">
        <f t="shared" ca="1" si="1"/>
        <v>8.6241605127025407E+20</v>
      </c>
      <c r="N66" s="139">
        <f>courbes!U65</f>
        <v>5.25</v>
      </c>
      <c r="O66" s="139">
        <f t="shared" ca="1" si="2"/>
        <v>8.6227845979380947E+20</v>
      </c>
      <c r="Q66" s="139">
        <f t="shared" ca="1" si="3"/>
        <v>0</v>
      </c>
      <c r="R66" s="145"/>
      <c r="S66" s="145"/>
    </row>
    <row r="67" spans="10:19" ht="13.5" thickBot="1">
      <c r="J67" s="138">
        <f>courbes!A66</f>
        <v>5.333333333333333</v>
      </c>
      <c r="K67" s="139">
        <f t="shared" ref="K67:K130" ca="1" si="5">INDIRECT("courbes!"&amp;INDEX($D$3:$H$10,MATCH($B$2,$C$3:$C$10,0),MATCH(K$1,$D$2:$H$2,0))&amp;ROW($J66))</f>
        <v>8.6447583677087783E+20</v>
      </c>
      <c r="L67" s="141">
        <f>courbes!J66</f>
        <v>5.333333333333333</v>
      </c>
      <c r="M67" s="139">
        <f t="shared" ref="M67:M123" ca="1" si="6">INDIRECT("courbes!"&amp;INDEX($D$3:$H$10,MATCH($B$2,$C$3:$C$10,0),MATCH(M$1,$D$2:$H$2,0))&amp;ROW($J66))</f>
        <v>8.6356211774811144E+20</v>
      </c>
      <c r="N67" s="139">
        <f>courbes!U66</f>
        <v>5.333333333333333</v>
      </c>
      <c r="O67" s="139">
        <f t="shared" ref="O67:O130" ca="1" si="7">INDIRECT("courbes!"&amp;INDEX($D$3:$H$10,MATCH($B$2,$C$3:$C$10,0),MATCH(O$1,$D$2:$H$2,0))&amp;ROW($J66))</f>
        <v>8.6341941258966702E+20</v>
      </c>
      <c r="Q67" s="139">
        <f t="shared" ref="Q67:Q130" ca="1" si="8">INDIRECT("courbes!"&amp;INDEX($D$3:$H$10,MATCH($B$2,$C$3:$C$10,0),MATCH(Q$1,$D$2:$H$2,0))&amp;ROW($J66))</f>
        <v>0</v>
      </c>
      <c r="R67" s="145"/>
      <c r="S67" s="145"/>
    </row>
    <row r="68" spans="10:19" ht="13.5" thickBot="1">
      <c r="J68" s="138">
        <f>courbes!A67</f>
        <v>5.416666666666667</v>
      </c>
      <c r="K68" s="139">
        <f t="shared" ca="1" si="5"/>
        <v>8.6560072036372185E+20</v>
      </c>
      <c r="L68" s="141">
        <f>courbes!J67</f>
        <v>5.416666666666667</v>
      </c>
      <c r="M68" s="139">
        <f t="shared" ca="1" si="6"/>
        <v>8.6467976855723875E+20</v>
      </c>
      <c r="N68" s="139">
        <f>courbes!U67</f>
        <v>5.416666666666667</v>
      </c>
      <c r="O68" s="139">
        <f t="shared" ca="1" si="7"/>
        <v>8.6453186794568889E+20</v>
      </c>
      <c r="Q68" s="139">
        <f t="shared" ca="1" si="8"/>
        <v>0</v>
      </c>
      <c r="R68" s="145"/>
      <c r="S68" s="145"/>
    </row>
    <row r="69" spans="10:19" ht="13.5" thickBot="1">
      <c r="J69" s="138">
        <f>courbes!A68</f>
        <v>5.5</v>
      </c>
      <c r="K69" s="139">
        <f t="shared" ca="1" si="5"/>
        <v>8.6669720250175599E+20</v>
      </c>
      <c r="L69" s="141">
        <f>courbes!J68</f>
        <v>5.5</v>
      </c>
      <c r="M69" s="139">
        <f t="shared" ca="1" si="6"/>
        <v>8.6576921962134084E+20</v>
      </c>
      <c r="N69" s="139">
        <f>courbes!U68</f>
        <v>5.5</v>
      </c>
      <c r="O69" s="139">
        <f t="shared" ca="1" si="7"/>
        <v>8.6561604305655955E+20</v>
      </c>
      <c r="Q69" s="139">
        <f t="shared" ca="1" si="8"/>
        <v>0</v>
      </c>
      <c r="R69" s="145"/>
      <c r="S69" s="145"/>
    </row>
    <row r="70" spans="10:19" ht="13.5" thickBot="1">
      <c r="J70" s="138">
        <f>courbes!A69</f>
        <v>5.583333333333333</v>
      </c>
      <c r="K70" s="139">
        <f t="shared" ca="1" si="5"/>
        <v>8.6776550009759164E+20</v>
      </c>
      <c r="L70" s="141">
        <f>courbes!J69</f>
        <v>5.583333333333333</v>
      </c>
      <c r="M70" s="139">
        <f t="shared" ca="1" si="6"/>
        <v>8.66830686385175E+20</v>
      </c>
      <c r="N70" s="139">
        <f>courbes!U69</f>
        <v>5.583333333333333</v>
      </c>
      <c r="O70" s="139">
        <f t="shared" ca="1" si="7"/>
        <v>8.666721546650836E+20</v>
      </c>
      <c r="Q70" s="139">
        <f t="shared" ca="1" si="8"/>
        <v>0</v>
      </c>
      <c r="R70" s="145"/>
      <c r="S70" s="145"/>
    </row>
    <row r="71" spans="10:19" ht="13.5" thickBot="1">
      <c r="J71" s="138">
        <f>courbes!A70</f>
        <v>5.666666666666667</v>
      </c>
      <c r="K71" s="139">
        <f t="shared" ca="1" si="5"/>
        <v>8.6880582959476192E+20</v>
      </c>
      <c r="L71" s="141">
        <f>courbes!J70</f>
        <v>5.666666666666667</v>
      </c>
      <c r="M71" s="139">
        <f t="shared" ca="1" si="6"/>
        <v>8.6786438378855858E+20</v>
      </c>
      <c r="N71" s="139">
        <f>courbes!U70</f>
        <v>5.666666666666667</v>
      </c>
      <c r="O71" s="139">
        <f t="shared" ca="1" si="7"/>
        <v>8.6770041903847453E+20</v>
      </c>
      <c r="Q71" s="139">
        <f t="shared" ca="1" si="8"/>
        <v>0</v>
      </c>
      <c r="R71" s="145"/>
      <c r="S71" s="145"/>
    </row>
    <row r="72" spans="10:19" ht="13.5" thickBot="1">
      <c r="J72" s="138">
        <f>courbes!A71</f>
        <v>5.75</v>
      </c>
      <c r="K72" s="139">
        <f t="shared" ca="1" si="5"/>
        <v>8.6981840694502084E+20</v>
      </c>
      <c r="L72" s="141">
        <f>courbes!J71</f>
        <v>5.75</v>
      </c>
      <c r="M72" s="139">
        <f t="shared" ca="1" si="6"/>
        <v>8.6887052624037911E+20</v>
      </c>
      <c r="N72" s="139">
        <f>courbes!U71</f>
        <v>5.75</v>
      </c>
      <c r="O72" s="139">
        <f t="shared" ca="1" si="7"/>
        <v>8.6870105194534771E+20</v>
      </c>
      <c r="Q72" s="139">
        <f t="shared" ca="1" si="8"/>
        <v>0</v>
      </c>
      <c r="R72" s="145"/>
      <c r="S72" s="145"/>
    </row>
    <row r="73" spans="10:19" ht="13.5" thickBot="1">
      <c r="J73" s="138">
        <f>courbes!A72</f>
        <v>5.833333333333333</v>
      </c>
      <c r="K73" s="139">
        <f t="shared" ca="1" si="5"/>
        <v>8.7080344758631268E+20</v>
      </c>
      <c r="L73" s="141">
        <f>courbes!J72</f>
        <v>5.833333333333333</v>
      </c>
      <c r="M73" s="139">
        <f t="shared" ca="1" si="6"/>
        <v>8.6984932759260208E+20</v>
      </c>
      <c r="N73" s="139">
        <f>courbes!U72</f>
        <v>5.833333333333333</v>
      </c>
      <c r="O73" s="139">
        <f t="shared" ca="1" si="7"/>
        <v>8.6967426863340139E+20</v>
      </c>
      <c r="Q73" s="139">
        <f t="shared" ca="1" si="8"/>
        <v>0</v>
      </c>
      <c r="R73" s="145"/>
      <c r="S73" s="145"/>
    </row>
    <row r="74" spans="10:19" ht="13.5" thickBot="1">
      <c r="J74" s="138">
        <f>courbes!A73</f>
        <v>5.916666666666667</v>
      </c>
      <c r="K74" s="139">
        <f t="shared" ca="1" si="5"/>
        <v>8.7176116642139551E+20</v>
      </c>
      <c r="L74" s="141">
        <f>courbes!J73</f>
        <v>5.916666666666667</v>
      </c>
      <c r="M74" s="139">
        <f t="shared" ca="1" si="6"/>
        <v>8.7080100111428026E+20</v>
      </c>
      <c r="N74" s="139">
        <f>courbes!U73</f>
        <v>5.916666666666667</v>
      </c>
      <c r="O74" s="139">
        <f t="shared" ca="1" si="7"/>
        <v>8.7062028380777467E+20</v>
      </c>
      <c r="Q74" s="139">
        <f t="shared" ca="1" si="8"/>
        <v>0</v>
      </c>
      <c r="R74" s="145"/>
      <c r="S74" s="145"/>
    </row>
    <row r="75" spans="10:19" ht="13.5" thickBot="1">
      <c r="J75" s="138">
        <f>courbes!A74</f>
        <v>6</v>
      </c>
      <c r="K75" s="139">
        <f t="shared" ca="1" si="5"/>
        <v>8.7269177779710657E+20</v>
      </c>
      <c r="L75" s="141">
        <f>courbes!J74</f>
        <v>6</v>
      </c>
      <c r="M75" s="139">
        <f t="shared" ca="1" si="6"/>
        <v>8.7172575946556414E+20</v>
      </c>
      <c r="N75" s="139">
        <f>courbes!U74</f>
        <v>6</v>
      </c>
      <c r="O75" s="139">
        <f t="shared" ca="1" si="7"/>
        <v>8.7153931161006152E+20</v>
      </c>
      <c r="Q75" s="139">
        <f t="shared" ca="1" si="8"/>
        <v>0</v>
      </c>
      <c r="R75" s="145"/>
      <c r="S75" s="145"/>
    </row>
    <row r="76" spans="10:19" ht="13.5" thickBot="1">
      <c r="J76" s="138">
        <f>courbes!A75</f>
        <v>6.083333333333333</v>
      </c>
      <c r="K76" s="139">
        <f t="shared" ca="1" si="5"/>
        <v>8.7359549548425485E+20</v>
      </c>
      <c r="L76" s="141">
        <f>courbes!J75</f>
        <v>6.083333333333333</v>
      </c>
      <c r="M76" s="139">
        <f t="shared" ca="1" si="6"/>
        <v>8.726238165392809E+20</v>
      </c>
      <c r="N76" s="139">
        <f>courbes!U75</f>
        <v>6.083333333333333</v>
      </c>
      <c r="O76" s="139">
        <f t="shared" ca="1" si="7"/>
        <v>8.7243156559797761E+20</v>
      </c>
      <c r="Q76" s="139">
        <f t="shared" ca="1" si="8"/>
        <v>0</v>
      </c>
      <c r="R76" s="145"/>
      <c r="S76" s="145"/>
    </row>
    <row r="77" spans="10:19" ht="13.5" thickBot="1">
      <c r="J77" s="138">
        <f>courbes!A76</f>
        <v>6.166666666666667</v>
      </c>
      <c r="K77" s="139">
        <f t="shared" ca="1" si="5"/>
        <v>8.7447253265812803E+20</v>
      </c>
      <c r="L77" s="141">
        <f>courbes!J76</f>
        <v>6.166666666666667</v>
      </c>
      <c r="M77" s="139">
        <f t="shared" ca="1" si="6"/>
        <v>8.7349538266765958E+20</v>
      </c>
      <c r="N77" s="139">
        <f>courbes!U76</f>
        <v>6.166666666666667</v>
      </c>
      <c r="O77" s="139">
        <f t="shared" ca="1" si="7"/>
        <v>8.7329725872565112E+20</v>
      </c>
      <c r="Q77" s="139">
        <f t="shared" ca="1" si="8"/>
        <v>0</v>
      </c>
      <c r="R77" s="145"/>
      <c r="S77" s="145"/>
    </row>
    <row r="78" spans="10:19" ht="13.5" thickBot="1">
      <c r="J78" s="138">
        <f>courbes!A77</f>
        <v>6.25</v>
      </c>
      <c r="K78" s="139">
        <f t="shared" ca="1" si="5"/>
        <v>8.7532310187960094E+20</v>
      </c>
      <c r="L78" s="141">
        <f>courbes!J77</f>
        <v>6.25</v>
      </c>
      <c r="M78" s="139">
        <f t="shared" ca="1" si="6"/>
        <v>8.7434066881102637E+20</v>
      </c>
      <c r="N78" s="139">
        <f>courbes!U77</f>
        <v>6.25</v>
      </c>
      <c r="O78" s="139">
        <f t="shared" ca="1" si="7"/>
        <v>8.7413660332453986E+20</v>
      </c>
      <c r="Q78" s="139">
        <f t="shared" ca="1" si="8"/>
        <v>0</v>
      </c>
      <c r="R78" s="145"/>
      <c r="S78" s="145"/>
    </row>
    <row r="79" spans="10:19" ht="13.5" thickBot="1">
      <c r="J79" s="138">
        <f>courbes!A78</f>
        <v>6.333333333333333</v>
      </c>
      <c r="K79" s="139">
        <f t="shared" ca="1" si="5"/>
        <v>8.7614741507683163E+20</v>
      </c>
      <c r="L79" s="141">
        <f>courbes!J78</f>
        <v>6.333333333333333</v>
      </c>
      <c r="M79" s="139">
        <f t="shared" ca="1" si="6"/>
        <v>8.7515988528138342E+20</v>
      </c>
      <c r="N79" s="139">
        <f>courbes!U78</f>
        <v>6.333333333333333</v>
      </c>
      <c r="O79" s="139">
        <f t="shared" ca="1" si="7"/>
        <v>8.7494981108494919E+20</v>
      </c>
      <c r="Q79" s="139">
        <f t="shared" ca="1" si="8"/>
        <v>0</v>
      </c>
      <c r="R79" s="145"/>
      <c r="S79" s="145"/>
    </row>
    <row r="80" spans="10:19" ht="13.5" thickBot="1">
      <c r="J80" s="138">
        <f>courbes!A79</f>
        <v>6.416666666666667</v>
      </c>
      <c r="K80" s="139">
        <f t="shared" ca="1" si="5"/>
        <v>8.7694568352753438E+20</v>
      </c>
      <c r="L80" s="141">
        <f>courbes!J79</f>
        <v>6.416666666666667</v>
      </c>
      <c r="M80" s="139">
        <f t="shared" ca="1" si="6"/>
        <v>8.7595324172423804E+20</v>
      </c>
      <c r="N80" s="139">
        <f>courbes!U79</f>
        <v>6.416666666666667</v>
      </c>
      <c r="O80" s="139">
        <f t="shared" ca="1" si="7"/>
        <v>8.7573709303814475E+20</v>
      </c>
      <c r="Q80" s="139">
        <f t="shared" ca="1" si="8"/>
        <v>0</v>
      </c>
      <c r="R80" s="145"/>
      <c r="S80" s="145"/>
    </row>
    <row r="81" spans="10:19" ht="13.5" thickBot="1">
      <c r="J81" s="138">
        <f>courbes!A80</f>
        <v>6.5</v>
      </c>
      <c r="K81" s="139">
        <f t="shared" ca="1" si="5"/>
        <v>8.7771811784181521E+20</v>
      </c>
      <c r="L81" s="141">
        <f>courbes!J80</f>
        <v>6.5</v>
      </c>
      <c r="M81" s="139">
        <f t="shared" ca="1" si="6"/>
        <v>8.7672094710043155E+20</v>
      </c>
      <c r="N81" s="139">
        <f>courbes!U80</f>
        <v>6.5</v>
      </c>
      <c r="O81" s="139">
        <f t="shared" ca="1" si="7"/>
        <v>8.7649865953904309E+20</v>
      </c>
      <c r="Q81" s="139">
        <f t="shared" ca="1" si="8"/>
        <v>0</v>
      </c>
      <c r="R81" s="145"/>
      <c r="S81" s="145"/>
    </row>
    <row r="82" spans="10:19" ht="13.5" thickBot="1">
      <c r="J82" s="138">
        <f>courbes!A81</f>
        <v>6.583333333333333</v>
      </c>
      <c r="K82" s="139">
        <f t="shared" ca="1" si="5"/>
        <v>8.7846492794555951E+20</v>
      </c>
      <c r="L82" s="141">
        <f>courbes!J81</f>
        <v>6.583333333333333</v>
      </c>
      <c r="M82" s="139">
        <f t="shared" ca="1" si="6"/>
        <v>8.7746320966796863E+20</v>
      </c>
      <c r="N82" s="139">
        <f>courbes!U81</f>
        <v>6.583333333333333</v>
      </c>
      <c r="O82" s="139">
        <f t="shared" ca="1" si="7"/>
        <v>8.772347202494717E+20</v>
      </c>
      <c r="Q82" s="139">
        <f t="shared" ca="1" si="8"/>
        <v>0</v>
      </c>
    </row>
    <row r="83" spans="10:19" ht="13.5" thickBot="1">
      <c r="J83" s="138">
        <f>courbes!A82</f>
        <v>6.666666666666667</v>
      </c>
      <c r="K83" s="139">
        <f t="shared" ca="1" si="5"/>
        <v>8.7918632306435896E+20</v>
      </c>
      <c r="L83" s="141">
        <f>courbes!J82</f>
        <v>6.666666666666667</v>
      </c>
      <c r="M83" s="139">
        <f t="shared" ca="1" si="6"/>
        <v>8.7818023696384616E+20</v>
      </c>
      <c r="N83" s="139">
        <f>courbes!U82</f>
        <v>6.666666666666667</v>
      </c>
      <c r="O83" s="139">
        <f t="shared" ca="1" si="7"/>
        <v>8.7794548412198014E+20</v>
      </c>
      <c r="Q83" s="139">
        <f t="shared" ca="1" si="8"/>
        <v>0</v>
      </c>
    </row>
    <row r="84" spans="10:19" ht="13.5" thickBot="1">
      <c r="J84" s="138">
        <f>courbes!A83</f>
        <v>6.75</v>
      </c>
      <c r="K84" s="139">
        <f t="shared" ca="1" si="5"/>
        <v>8.7988251170796667E+20</v>
      </c>
      <c r="L84" s="141">
        <f>courbes!J83</f>
        <v>6.75</v>
      </c>
      <c r="M84" s="139">
        <f t="shared" ca="1" si="6"/>
        <v>8.7887223578588191E+20</v>
      </c>
      <c r="N84" s="139">
        <f>courbes!U83</f>
        <v>6.75</v>
      </c>
      <c r="O84" s="139">
        <f t="shared" ca="1" si="7"/>
        <v>8.7863115938419809E+20</v>
      </c>
      <c r="Q84" s="139">
        <f t="shared" ca="1" si="8"/>
        <v>0</v>
      </c>
    </row>
    <row r="85" spans="10:19" ht="13.5" thickBot="1">
      <c r="J85" s="138">
        <f>courbes!A84</f>
        <v>6.833333333333333</v>
      </c>
      <c r="K85" s="139">
        <f t="shared" ca="1" si="5"/>
        <v>8.8055370165526882E+20</v>
      </c>
      <c r="L85" s="141">
        <f>courbes!J84</f>
        <v>6.833333333333333</v>
      </c>
      <c r="M85" s="139">
        <f t="shared" ca="1" si="6"/>
        <v>8.7953941217454431E+20</v>
      </c>
      <c r="N85" s="139">
        <f>courbes!U84</f>
        <v>6.833333333333333</v>
      </c>
      <c r="O85" s="139">
        <f t="shared" ca="1" si="7"/>
        <v>8.7929195352372072E+20</v>
      </c>
      <c r="Q85" s="139">
        <f t="shared" ca="1" si="8"/>
        <v>0</v>
      </c>
    </row>
    <row r="86" spans="10:19" ht="13.5" thickBot="1">
      <c r="J86" s="138">
        <f>courbes!A85</f>
        <v>6.916666666666667</v>
      </c>
      <c r="K86" s="139">
        <f t="shared" ca="1" si="5"/>
        <v>8.8120009993976152E+20</v>
      </c>
      <c r="L86" s="141">
        <f>courbes!J85</f>
        <v>6.916666666666667</v>
      </c>
      <c r="M86" s="139">
        <f t="shared" ca="1" si="6"/>
        <v>8.8018197139478059E+20</v>
      </c>
      <c r="N86" s="139">
        <f>courbes!U85</f>
        <v>6.916666666666667</v>
      </c>
      <c r="O86" s="139">
        <f t="shared" ca="1" si="7"/>
        <v>8.7992807327351518E+20</v>
      </c>
      <c r="Q86" s="139">
        <f t="shared" ca="1" si="8"/>
        <v>0</v>
      </c>
    </row>
    <row r="87" spans="10:19" ht="13.5" thickBot="1">
      <c r="J87" s="138">
        <f>courbes!A86</f>
        <v>7</v>
      </c>
      <c r="K87" s="139">
        <f t="shared" ca="1" si="5"/>
        <v>8.8182191283552269E+20</v>
      </c>
      <c r="L87" s="141">
        <f>courbes!J86</f>
        <v>7</v>
      </c>
      <c r="M87" s="139">
        <f t="shared" ca="1" si="6"/>
        <v>8.8080011791784647E+20</v>
      </c>
      <c r="N87" s="139">
        <f>courbes!U86</f>
        <v>7</v>
      </c>
      <c r="O87" s="139">
        <f t="shared" ca="1" si="7"/>
        <v>8.8053972459783455E+20</v>
      </c>
      <c r="Q87" s="139">
        <f t="shared" ca="1" si="8"/>
        <v>0</v>
      </c>
    </row>
    <row r="88" spans="10:19" ht="13.5" thickBot="1">
      <c r="J88" s="138">
        <f>courbes!A87</f>
        <v>7.083333333333333</v>
      </c>
      <c r="K88" s="139">
        <f t="shared" ca="1" si="5"/>
        <v>8.8241934584366734E+20</v>
      </c>
      <c r="L88" s="141">
        <f>courbes!J87</f>
        <v>7.083333333333333</v>
      </c>
      <c r="M88" s="139">
        <f t="shared" ca="1" si="6"/>
        <v>8.8139405685140305E+20</v>
      </c>
      <c r="N88" s="139">
        <f>courbes!U87</f>
        <v>7.083333333333333</v>
      </c>
      <c r="O88" s="139">
        <f t="shared" ca="1" si="7"/>
        <v>8.8112711267862761E+20</v>
      </c>
      <c r="Q88" s="139">
        <f t="shared" ca="1" si="8"/>
        <v>0</v>
      </c>
    </row>
    <row r="89" spans="10:19" ht="13.5" thickBot="1">
      <c r="J89" s="138">
        <f>courbes!A88</f>
        <v>7.166666666666667</v>
      </c>
      <c r="K89" s="139">
        <f t="shared" ca="1" si="5"/>
        <v>8.8299260367927601E+20</v>
      </c>
      <c r="L89" s="141">
        <f>courbes!J88</f>
        <v>7.166666666666667</v>
      </c>
      <c r="M89" s="139">
        <f t="shared" ca="1" si="6"/>
        <v>8.8196399022376957E+20</v>
      </c>
      <c r="N89" s="139">
        <f>courbes!U88</f>
        <v>7.166666666666667</v>
      </c>
      <c r="O89" s="139">
        <f t="shared" ca="1" si="7"/>
        <v>8.8169044190243363E+20</v>
      </c>
      <c r="Q89" s="139">
        <f t="shared" ca="1" si="8"/>
        <v>0</v>
      </c>
    </row>
    <row r="90" spans="10:19" ht="13.5" thickBot="1">
      <c r="J90" s="138">
        <f>courbes!A89</f>
        <v>7.25</v>
      </c>
      <c r="K90" s="139">
        <f t="shared" ca="1" si="5"/>
        <v>8.8354189025878645E+20</v>
      </c>
      <c r="L90" s="141">
        <f>courbes!J89</f>
        <v>7.25</v>
      </c>
      <c r="M90" s="139">
        <f t="shared" ca="1" si="6"/>
        <v>8.8251012023514694E+20</v>
      </c>
      <c r="N90" s="139">
        <f>courbes!U89</f>
        <v>7.25</v>
      </c>
      <c r="O90" s="139">
        <f t="shared" ca="1" si="7"/>
        <v>8.8222991584775569E+20</v>
      </c>
      <c r="Q90" s="139">
        <f t="shared" ca="1" si="8"/>
        <v>0</v>
      </c>
    </row>
    <row r="91" spans="10:19" ht="13.5" thickBot="1">
      <c r="J91" s="138">
        <f>courbes!A90</f>
        <v>7.333333333333333</v>
      </c>
      <c r="K91" s="139">
        <f t="shared" ca="1" si="5"/>
        <v>8.8406740868783761E+20</v>
      </c>
      <c r="L91" s="141">
        <f>courbes!J90</f>
        <v>7.333333333333333</v>
      </c>
      <c r="M91" s="139">
        <f t="shared" ca="1" si="6"/>
        <v>8.8303264826932134E+20</v>
      </c>
      <c r="N91" s="139">
        <f>courbes!U90</f>
        <v>7.333333333333333</v>
      </c>
      <c r="O91" s="139">
        <f t="shared" ca="1" si="7"/>
        <v>8.8274573727289403E+20</v>
      </c>
      <c r="Q91" s="139">
        <f t="shared" ca="1" si="8"/>
        <v>0</v>
      </c>
    </row>
    <row r="92" spans="10:19" ht="13.5" thickBot="1">
      <c r="J92" s="138">
        <f>courbes!A91</f>
        <v>7.416666666666667</v>
      </c>
      <c r="K92" s="139">
        <f t="shared" ca="1" si="5"/>
        <v>8.8456936124955715E+20</v>
      </c>
      <c r="L92" s="141">
        <f>courbes!J91</f>
        <v>7.416666666666667</v>
      </c>
      <c r="M92" s="139">
        <f t="shared" ca="1" si="6"/>
        <v>8.8353177488154244E+20</v>
      </c>
      <c r="N92" s="139">
        <f>courbes!U91</f>
        <v>7.416666666666667</v>
      </c>
      <c r="O92" s="139">
        <f t="shared" ca="1" si="7"/>
        <v>8.8323810810423306E+20</v>
      </c>
      <c r="Q92" s="139">
        <f t="shared" ca="1" si="8"/>
        <v>0</v>
      </c>
    </row>
    <row r="93" spans="10:19" ht="13.5" thickBot="1">
      <c r="J93" s="138">
        <f>courbes!A92</f>
        <v>7.5</v>
      </c>
      <c r="K93" s="139">
        <f t="shared" ca="1" si="5"/>
        <v>8.8504794939328155E+20</v>
      </c>
      <c r="L93" s="141">
        <f>courbes!J92</f>
        <v>7.5</v>
      </c>
      <c r="M93" s="139">
        <f t="shared" ca="1" si="6"/>
        <v>8.840076997864004E+20</v>
      </c>
      <c r="N93" s="139">
        <f>courbes!U92</f>
        <v>7.5</v>
      </c>
      <c r="O93" s="139">
        <f t="shared" ca="1" si="7"/>
        <v>8.8370722942497744E+20</v>
      </c>
      <c r="Q93" s="139">
        <f t="shared" ca="1" si="8"/>
        <v>0</v>
      </c>
    </row>
    <row r="94" spans="10:19" ht="13.5" thickBot="1">
      <c r="J94" s="138">
        <f>courbes!A93</f>
        <v>7.583333333333333</v>
      </c>
      <c r="K94" s="139">
        <f t="shared" ca="1" si="5"/>
        <v>8.8550337372369977E+20</v>
      </c>
      <c r="L94" s="141">
        <f>courbes!J93</f>
        <v>7.583333333333333</v>
      </c>
      <c r="M94" s="139">
        <f t="shared" ca="1" si="6"/>
        <v>8.8446062184570461E+20</v>
      </c>
      <c r="N94" s="139">
        <f>courbes!U93</f>
        <v>7.583333333333333</v>
      </c>
      <c r="O94" s="139">
        <f t="shared" ca="1" si="7"/>
        <v>8.8415330146431599E+20</v>
      </c>
      <c r="Q94" s="139">
        <f t="shared" ca="1" si="8"/>
        <v>0</v>
      </c>
    </row>
    <row r="95" spans="10:19" ht="13.5" thickBot="1">
      <c r="J95" s="138">
        <f>courbes!A94</f>
        <v>7.666666666666667</v>
      </c>
      <c r="K95" s="139">
        <f t="shared" ca="1" si="5"/>
        <v>8.8593583399041158E+20</v>
      </c>
      <c r="L95" s="141">
        <f>courbes!J94</f>
        <v>7.666666666666667</v>
      </c>
      <c r="M95" s="139">
        <f t="shared" ca="1" si="6"/>
        <v>8.8489073905636042E+20</v>
      </c>
      <c r="N95" s="139">
        <f>courbes!U94</f>
        <v>7.666666666666667</v>
      </c>
      <c r="O95" s="139">
        <f t="shared" ca="1" si="7"/>
        <v>8.8457652358701371E+20</v>
      </c>
      <c r="Q95" s="139">
        <f t="shared" ca="1" si="8"/>
        <v>0</v>
      </c>
    </row>
    <row r="96" spans="10:19" ht="13.5" thickBot="1">
      <c r="J96" s="138">
        <f>courbes!A95</f>
        <v>7.75</v>
      </c>
      <c r="K96" s="139">
        <f t="shared" ca="1" si="5"/>
        <v>8.8634552907789055E+20</v>
      </c>
      <c r="L96" s="141">
        <f>courbes!J95</f>
        <v>7.75</v>
      </c>
      <c r="M96" s="139">
        <f t="shared" ca="1" si="6"/>
        <v>8.8529824853824753E+20</v>
      </c>
      <c r="N96" s="139">
        <f>courbes!U95</f>
        <v>7.75</v>
      </c>
      <c r="O96" s="139">
        <f t="shared" ca="1" si="7"/>
        <v>8.8497709428341434E+20</v>
      </c>
      <c r="Q96" s="139">
        <f t="shared" ca="1" si="8"/>
        <v>0</v>
      </c>
      <c r="R96" s="153"/>
      <c r="S96" s="153"/>
    </row>
    <row r="97" spans="10:19" ht="13.5" thickBot="1">
      <c r="J97" s="138">
        <f>courbes!A96</f>
        <v>7.833333333333333</v>
      </c>
      <c r="K97" s="139">
        <f t="shared" ca="1" si="5"/>
        <v>8.8673265699584318E+20</v>
      </c>
      <c r="L97" s="141">
        <f>courbes!J96</f>
        <v>7.833333333333333</v>
      </c>
      <c r="M97" s="139">
        <f t="shared" ca="1" si="6"/>
        <v>8.8568334652209837E+20</v>
      </c>
      <c r="N97" s="139">
        <f>courbes!U96</f>
        <v>7.833333333333333</v>
      </c>
      <c r="O97" s="139">
        <f t="shared" ca="1" si="7"/>
        <v>8.8535521115985281E+20</v>
      </c>
      <c r="Q97" s="139">
        <f t="shared" ca="1" si="8"/>
        <v>0</v>
      </c>
      <c r="R97" s="153"/>
      <c r="S97" s="153"/>
    </row>
    <row r="98" spans="10:19" ht="13.5" thickBot="1">
      <c r="J98" s="138">
        <f>courbes!A97</f>
        <v>7.916666666666667</v>
      </c>
      <c r="K98" s="139">
        <f t="shared" ca="1" si="5"/>
        <v>8.8709741486995512E+20</v>
      </c>
      <c r="L98" s="141">
        <f>courbes!J97</f>
        <v>7.916666666666667</v>
      </c>
      <c r="M98" s="139">
        <f t="shared" ca="1" si="6"/>
        <v>8.8604622833737413E+20</v>
      </c>
      <c r="N98" s="139">
        <f>courbes!U97</f>
        <v>7.916666666666667</v>
      </c>
      <c r="O98" s="139">
        <f t="shared" ca="1" si="7"/>
        <v>8.8571107092945961E+20</v>
      </c>
      <c r="Q98" s="139">
        <f t="shared" ca="1" si="8"/>
        <v>0</v>
      </c>
      <c r="R98" s="153"/>
      <c r="S98" s="153"/>
    </row>
    <row r="99" spans="10:19" ht="13.5" thickBot="1">
      <c r="J99" s="138">
        <f>courbes!A98</f>
        <v>8</v>
      </c>
      <c r="K99" s="139">
        <f t="shared" ca="1" si="5"/>
        <v>8.8743999893301625E+20</v>
      </c>
      <c r="L99" s="141">
        <f>courbes!J98</f>
        <v>8</v>
      </c>
      <c r="M99" s="139">
        <f t="shared" ca="1" si="6"/>
        <v>8.8638708840014453E+20</v>
      </c>
      <c r="N99" s="139">
        <f>courbes!U98</f>
        <v>8</v>
      </c>
      <c r="O99" s="139">
        <f t="shared" ca="1" si="7"/>
        <v>8.8604486940335355E+20</v>
      </c>
      <c r="Q99" s="139">
        <f t="shared" ca="1" si="8"/>
        <v>0</v>
      </c>
      <c r="R99" s="153"/>
      <c r="S99" s="153"/>
    </row>
    <row r="100" spans="10:19" ht="13.5" thickBot="1">
      <c r="J100" s="138">
        <f>courbes!A99</f>
        <v>8.0833333333333339</v>
      </c>
      <c r="K100" s="139">
        <f t="shared" ca="1" si="5"/>
        <v>8.877606045164157E+20</v>
      </c>
      <c r="L100" s="141">
        <f>courbes!J99</f>
        <v>8.0833333333333339</v>
      </c>
      <c r="M100" s="139">
        <f t="shared" ca="1" si="6"/>
        <v>8.8670612131716216E+20</v>
      </c>
      <c r="N100" s="139">
        <f>courbes!U99</f>
        <v>8.0833333333333339</v>
      </c>
      <c r="O100" s="139">
        <f t="shared" ca="1" si="7"/>
        <v>8.8635680148221329E+20</v>
      </c>
      <c r="Q100" s="139">
        <f t="shared" ca="1" si="8"/>
        <v>0</v>
      </c>
      <c r="R100" s="153"/>
      <c r="S100" s="153"/>
    </row>
    <row r="101" spans="10:19" ht="13.5" thickBot="1">
      <c r="J101" s="138">
        <f>courbes!A100</f>
        <v>8.1666666666666661</v>
      </c>
      <c r="K101" s="139">
        <f t="shared" ca="1" si="5"/>
        <v>8.8805942604199848E+20</v>
      </c>
      <c r="L101" s="141">
        <f>courbes!J100</f>
        <v>8.1666666666666661</v>
      </c>
      <c r="M101" s="139">
        <f t="shared" ca="1" si="6"/>
        <v>8.8700351902331686E+20</v>
      </c>
      <c r="N101" s="139">
        <f>courbes!U100</f>
        <v>8.1666666666666661</v>
      </c>
      <c r="O101" s="139">
        <f t="shared" ca="1" si="7"/>
        <v>8.8664706114821476E+20</v>
      </c>
      <c r="Q101" s="139">
        <f t="shared" ca="1" si="8"/>
        <v>0</v>
      </c>
      <c r="R101" s="153"/>
      <c r="S101" s="153"/>
    </row>
    <row r="102" spans="10:19" ht="13.5" thickBot="1">
      <c r="J102" s="138">
        <f>courbes!A101</f>
        <v>8.25</v>
      </c>
      <c r="K102" s="139">
        <f t="shared" ca="1" si="5"/>
        <v>8.8833665701427583E+20</v>
      </c>
      <c r="L102" s="141">
        <f>courbes!J101</f>
        <v>8.25</v>
      </c>
      <c r="M102" s="139">
        <f t="shared" ca="1" si="6"/>
        <v>8.8727947329029656E+20</v>
      </c>
      <c r="N102" s="139">
        <f>courbes!U101</f>
        <v>8.25</v>
      </c>
      <c r="O102" s="139">
        <f t="shared" ca="1" si="7"/>
        <v>8.8691584145733491E+20</v>
      </c>
      <c r="Q102" s="139">
        <f t="shared" ca="1" si="8"/>
        <v>0</v>
      </c>
      <c r="R102" s="153"/>
      <c r="S102" s="153"/>
    </row>
    <row r="103" spans="10:19" ht="13.5" thickBot="1">
      <c r="J103" s="138">
        <f>courbes!A102</f>
        <v>8.3333333333333339</v>
      </c>
      <c r="K103" s="139">
        <f t="shared" ca="1" si="5"/>
        <v>8.8859249001298133E+20</v>
      </c>
      <c r="L103" s="141">
        <f>courbes!J102</f>
        <v>8.3333333333333339</v>
      </c>
      <c r="M103" s="139">
        <f t="shared" ca="1" si="6"/>
        <v>8.8753417496631955E+20</v>
      </c>
      <c r="N103" s="139">
        <f>courbes!U102</f>
        <v>8.3333333333333339</v>
      </c>
      <c r="O103" s="139">
        <f t="shared" ca="1" si="7"/>
        <v>8.8716333453200314E+20</v>
      </c>
      <c r="P103" s="153"/>
      <c r="Q103" s="139">
        <f t="shared" ca="1" si="8"/>
        <v>0</v>
      </c>
      <c r="R103" s="153"/>
      <c r="S103" s="153"/>
    </row>
    <row r="104" spans="10:19" ht="13.5" thickBot="1">
      <c r="J104" s="138">
        <f>courbes!A103</f>
        <v>8.4166666666666661</v>
      </c>
      <c r="K104" s="139">
        <f t="shared" ca="1" si="5"/>
        <v>8.8882711668596421E+20</v>
      </c>
      <c r="L104" s="141">
        <f>courbes!J103</f>
        <v>8.4166666666666661</v>
      </c>
      <c r="M104" s="139">
        <f t="shared" ca="1" si="6"/>
        <v>8.8776781396865883E+20</v>
      </c>
      <c r="N104" s="139">
        <f>courbes!U103</f>
        <v>8.4166666666666661</v>
      </c>
      <c r="O104" s="139">
        <f t="shared" ca="1" si="7"/>
        <v>8.8738973155409841E+20</v>
      </c>
      <c r="P104" s="153"/>
      <c r="Q104" s="139">
        <f t="shared" ca="1" si="8"/>
        <v>0</v>
      </c>
      <c r="R104" s="153"/>
      <c r="S104" s="153"/>
    </row>
    <row r="105" spans="10:19" ht="13.5" thickBot="1">
      <c r="J105" s="138">
        <f>courbes!A104</f>
        <v>8.5</v>
      </c>
      <c r="K105" s="139">
        <f t="shared" ca="1" si="5"/>
        <v>8.8904072774241367E+20</v>
      </c>
      <c r="L105" s="141">
        <f>courbes!J104</f>
        <v>8.5</v>
      </c>
      <c r="M105" s="139">
        <f t="shared" ca="1" si="6"/>
        <v>8.8798057927616496E+20</v>
      </c>
      <c r="N105" s="139">
        <f>courbes!U104</f>
        <v>8.5</v>
      </c>
      <c r="O105" s="139">
        <f t="shared" ca="1" si="7"/>
        <v>8.8759522275828328E+20</v>
      </c>
      <c r="P105" s="153"/>
      <c r="Q105" s="139">
        <f t="shared" ca="1" si="8"/>
        <v>0</v>
      </c>
      <c r="R105" s="153"/>
      <c r="S105" s="153"/>
    </row>
    <row r="106" spans="10:19" ht="13.5" thickBot="1">
      <c r="J106" s="138">
        <f>courbes!A105</f>
        <v>8.5833333333333339</v>
      </c>
      <c r="K106" s="139">
        <f t="shared" ca="1" si="5"/>
        <v>8.8923351294640469E+20</v>
      </c>
      <c r="L106" s="141">
        <f>courbes!J105</f>
        <v>8.5833333333333339</v>
      </c>
      <c r="M106" s="139">
        <f t="shared" ca="1" si="6"/>
        <v>8.881726589217909E+20</v>
      </c>
      <c r="N106" s="139">
        <f>courbes!U105</f>
        <v>8.5833333333333339</v>
      </c>
      <c r="O106" s="139">
        <f t="shared" ca="1" si="7"/>
        <v>8.8777999742566649E+20</v>
      </c>
      <c r="P106" s="153"/>
      <c r="Q106" s="139">
        <f t="shared" ca="1" si="8"/>
        <v>0</v>
      </c>
      <c r="R106" s="153"/>
      <c r="S106" s="153"/>
    </row>
    <row r="107" spans="10:19" ht="13.5" thickBot="1">
      <c r="J107" s="138">
        <f>courbes!A106</f>
        <v>8.6666666666666661</v>
      </c>
      <c r="K107" s="139">
        <f t="shared" ca="1" si="5"/>
        <v>8.8940566111075972E+20</v>
      </c>
      <c r="L107" s="141">
        <f>courbes!J106</f>
        <v>8.6666666666666661</v>
      </c>
      <c r="M107" s="139">
        <f t="shared" ca="1" si="6"/>
        <v>8.8834423998511487E+20</v>
      </c>
      <c r="N107" s="139">
        <f>courbes!U106</f>
        <v>8.6666666666666661</v>
      </c>
      <c r="O107" s="139">
        <f t="shared" ca="1" si="7"/>
        <v>8.8794424387778458E+20</v>
      </c>
      <c r="P107" s="153"/>
      <c r="Q107" s="139">
        <f t="shared" ca="1" si="8"/>
        <v>0</v>
      </c>
      <c r="R107" s="153"/>
      <c r="S107" s="153"/>
    </row>
    <row r="108" spans="10:19" ht="13.5" thickBot="1">
      <c r="J108" s="138">
        <f>courbes!A107</f>
        <v>8.75</v>
      </c>
      <c r="K108" s="139">
        <f t="shared" ca="1" si="5"/>
        <v>8.8955736009121805E+20</v>
      </c>
      <c r="L108" s="141">
        <f>courbes!J107</f>
        <v>8.75</v>
      </c>
      <c r="M108" s="139">
        <f t="shared" ca="1" si="6"/>
        <v>8.8849550858486442E+20</v>
      </c>
      <c r="N108" s="139">
        <f>courbes!U107</f>
        <v>8.75</v>
      </c>
      <c r="O108" s="139">
        <f t="shared" ca="1" si="7"/>
        <v>8.8808814947089803E+20</v>
      </c>
      <c r="P108" s="153"/>
      <c r="Q108" s="139">
        <f t="shared" ca="1" si="8"/>
        <v>0</v>
      </c>
      <c r="R108" s="153"/>
      <c r="S108" s="153"/>
    </row>
    <row r="109" spans="10:19" ht="13.5" thickBot="1">
      <c r="J109" s="138">
        <f>courbes!A108</f>
        <v>8.8333333333333339</v>
      </c>
      <c r="K109" s="139">
        <f t="shared" ca="1" si="5"/>
        <v>8.896887967809055E+20</v>
      </c>
      <c r="L109" s="141">
        <f>courbes!J108</f>
        <v>8.8333333333333339</v>
      </c>
      <c r="M109" s="139">
        <f t="shared" ca="1" si="6"/>
        <v>8.8862664987144002E+20</v>
      </c>
      <c r="N109" s="139">
        <f>courbes!U108</f>
        <v>8.8333333333333339</v>
      </c>
      <c r="O109" s="139">
        <f t="shared" ca="1" si="7"/>
        <v>8.8821190059059302E+20</v>
      </c>
      <c r="P109" s="153"/>
      <c r="Q109" s="139">
        <f t="shared" ca="1" si="8"/>
        <v>0</v>
      </c>
      <c r="R109" s="153"/>
      <c r="S109" s="153"/>
    </row>
    <row r="110" spans="10:19" ht="13.5" thickBot="1">
      <c r="J110" s="138">
        <f>courbes!A109</f>
        <v>8.9166666666666661</v>
      </c>
      <c r="K110" s="139">
        <f t="shared" ca="1" si="5"/>
        <v>8.8980015710509885E+20</v>
      </c>
      <c r="L110" s="141">
        <f>courbes!J109</f>
        <v>8.9166666666666661</v>
      </c>
      <c r="M110" s="139">
        <f t="shared" ca="1" si="6"/>
        <v>8.8873784801943958E+20</v>
      </c>
      <c r="N110" s="139">
        <f>courbes!U109</f>
        <v>8.9166666666666661</v>
      </c>
      <c r="O110" s="139">
        <f t="shared" ca="1" si="7"/>
        <v>8.883156826466804E+20</v>
      </c>
      <c r="P110" s="153"/>
      <c r="Q110" s="139">
        <f t="shared" ca="1" si="8"/>
        <v>0</v>
      </c>
      <c r="R110" s="153"/>
      <c r="S110" s="153"/>
    </row>
    <row r="111" spans="10:19" ht="13.5" thickBot="1">
      <c r="J111" s="138">
        <f>courbes!A110</f>
        <v>9</v>
      </c>
      <c r="K111" s="139">
        <f t="shared" ca="1" si="5"/>
        <v>8.8989162601627648E+20</v>
      </c>
      <c r="L111" s="141">
        <f>courbes!J110</f>
        <v>9</v>
      </c>
      <c r="M111" s="139">
        <f t="shared" ca="1" si="6"/>
        <v>8.8882928622018088E+20</v>
      </c>
      <c r="N111" s="139">
        <f>courbes!U110</f>
        <v>9</v>
      </c>
      <c r="O111" s="139">
        <f t="shared" ca="1" si="7"/>
        <v>8.8839968006838918E+20</v>
      </c>
      <c r="P111" s="153"/>
      <c r="Q111" s="139">
        <f t="shared" ca="1" si="8"/>
        <v>0</v>
      </c>
      <c r="R111" s="153"/>
      <c r="S111" s="153"/>
    </row>
    <row r="112" spans="10:19" ht="13.5" thickBot="1">
      <c r="J112" s="138">
        <f>courbes!A111</f>
        <v>9.0833333333333339</v>
      </c>
      <c r="K112" s="139">
        <f t="shared" ca="1" si="5"/>
        <v>8.8996338748944954E+20</v>
      </c>
      <c r="L112" s="141">
        <f>courbes!J111</f>
        <v>9.0833333333333339</v>
      </c>
      <c r="M112" s="139">
        <f t="shared" ca="1" si="6"/>
        <v>8.8890114752747681E+20</v>
      </c>
      <c r="N112" s="139">
        <f>courbes!U111</f>
        <v>9.0833333333333339</v>
      </c>
      <c r="O112" s="139">
        <f t="shared" ca="1" si="7"/>
        <v>8.8846407629983895E+20</v>
      </c>
      <c r="P112" s="153"/>
      <c r="Q112" s="139">
        <f t="shared" ca="1" si="8"/>
        <v>0</v>
      </c>
      <c r="R112" s="153"/>
      <c r="S112" s="153"/>
    </row>
    <row r="113" spans="10:19" ht="13.5" thickBot="1">
      <c r="J113" s="138">
        <f>courbes!A112</f>
        <v>9.1666666666666661</v>
      </c>
      <c r="K113" s="139">
        <f t="shared" ca="1" si="5"/>
        <v>8.90015624517767E+20</v>
      </c>
      <c r="L113" s="141">
        <f>courbes!J112</f>
        <v>9.1666666666666661</v>
      </c>
      <c r="M113" s="139">
        <f t="shared" ca="1" si="6"/>
        <v>8.8895361267056181E+20</v>
      </c>
      <c r="N113" s="139">
        <f>courbes!U112</f>
        <v>9.1666666666666661</v>
      </c>
      <c r="O113" s="139">
        <f t="shared" ca="1" si="7"/>
        <v>8.8850905379579599E+20</v>
      </c>
      <c r="P113" s="153"/>
      <c r="Q113" s="139">
        <f t="shared" ca="1" si="8"/>
        <v>0</v>
      </c>
      <c r="R113" s="153"/>
      <c r="S113" s="153"/>
    </row>
    <row r="114" spans="10:19" ht="13.5" thickBot="1">
      <c r="J114" s="138">
        <f>courbes!A113</f>
        <v>9.25</v>
      </c>
      <c r="K114" s="139">
        <f t="shared" ca="1" si="5"/>
        <v>8.9004851910838767E+20</v>
      </c>
      <c r="L114" s="141">
        <f>courbes!J113</f>
        <v>9.25</v>
      </c>
      <c r="M114" s="139">
        <f t="shared" ca="1" si="6"/>
        <v>8.8898686197459386E+20</v>
      </c>
      <c r="N114" s="139">
        <f>courbes!U113</f>
        <v>9.25</v>
      </c>
      <c r="O114" s="139">
        <f t="shared" ca="1" si="7"/>
        <v>8.8853479401769547E+20</v>
      </c>
      <c r="P114" s="153"/>
      <c r="Q114" s="139">
        <f t="shared" ca="1" si="8"/>
        <v>0</v>
      </c>
      <c r="R114" s="153"/>
      <c r="S114" s="153"/>
    </row>
    <row r="115" spans="10:19" ht="13.5" thickBot="1">
      <c r="J115" s="138">
        <f>courbes!A114</f>
        <v>9.3333333333333339</v>
      </c>
      <c r="K115" s="139">
        <f t="shared" ca="1" si="5"/>
        <v>8.9006225227861354E+20</v>
      </c>
      <c r="L115" s="141">
        <f>courbes!J114</f>
        <v>9.3333333333333339</v>
      </c>
      <c r="M115" s="139">
        <f t="shared" ca="1" si="6"/>
        <v>8.8900107478081575E+20</v>
      </c>
      <c r="N115" s="139">
        <f>courbes!U114</f>
        <v>9.3333333333333339</v>
      </c>
      <c r="O115" s="139">
        <f t="shared" ca="1" si="7"/>
        <v>8.8854147742993102E+20</v>
      </c>
      <c r="P115" s="153"/>
      <c r="Q115" s="139">
        <f t="shared" ca="1" si="8"/>
        <v>0</v>
      </c>
      <c r="R115" s="153"/>
      <c r="S115" s="153"/>
    </row>
    <row r="116" spans="10:19" ht="13.5" thickBot="1">
      <c r="J116" s="138">
        <f>courbes!A115</f>
        <v>9.4166666666666661</v>
      </c>
      <c r="K116" s="139">
        <f t="shared" ca="1" si="5"/>
        <v>8.9005700405227749E+20</v>
      </c>
      <c r="L116" s="141">
        <f>courbes!J115</f>
        <v>9.4166666666666661</v>
      </c>
      <c r="M116" s="139">
        <f t="shared" ca="1" si="6"/>
        <v>8.8899642944261469E+20</v>
      </c>
      <c r="N116" s="139">
        <f>courbes!U115</f>
        <v>9.4166666666666661</v>
      </c>
      <c r="O116" s="139">
        <f t="shared" ca="1" si="7"/>
        <v>8.8852928349639882E+20</v>
      </c>
      <c r="P116" s="153"/>
      <c r="Q116" s="139">
        <f t="shared" ca="1" si="8"/>
        <v>0</v>
      </c>
      <c r="R116" s="153"/>
      <c r="S116" s="153"/>
    </row>
    <row r="117" spans="10:19" ht="13.5" thickBot="1">
      <c r="J117" s="138">
        <f>courbes!A116</f>
        <v>9.5</v>
      </c>
      <c r="K117" s="139">
        <f t="shared" ca="1" si="5"/>
        <v>8.9003295345638022E+20</v>
      </c>
      <c r="L117" s="141">
        <f>courbes!J116</f>
        <v>9.5</v>
      </c>
      <c r="M117" s="139">
        <f t="shared" ca="1" si="6"/>
        <v>8.8897310332158175E+20</v>
      </c>
      <c r="N117" s="139">
        <f>courbes!U116</f>
        <v>9.5</v>
      </c>
      <c r="O117" s="139">
        <f t="shared" ca="1" si="7"/>
        <v>8.8849839067729848E+20</v>
      </c>
      <c r="P117" s="153"/>
      <c r="Q117" s="139">
        <f t="shared" ca="1" si="8"/>
        <v>0</v>
      </c>
      <c r="R117" s="153"/>
      <c r="S117" s="153"/>
    </row>
    <row r="118" spans="10:19" ht="13.5" thickBot="1">
      <c r="J118" s="138">
        <f>courbes!A117</f>
        <v>9.5833333333333339</v>
      </c>
      <c r="K118" s="139">
        <f t="shared" ca="1" si="5"/>
        <v>8.8999027851796965E+20</v>
      </c>
      <c r="L118" s="141">
        <f>courbes!J117</f>
        <v>9.5833333333333339</v>
      </c>
      <c r="M118" s="139">
        <f t="shared" ca="1" si="6"/>
        <v>8.8893127278357106E+20</v>
      </c>
      <c r="N118" s="139">
        <f>courbes!U117</f>
        <v>9.5833333333333339</v>
      </c>
      <c r="O118" s="139">
        <f t="shared" ca="1" si="7"/>
        <v>8.8844897642617281E+20</v>
      </c>
      <c r="P118" s="153"/>
      <c r="Q118" s="139">
        <f t="shared" ca="1" si="8"/>
        <v>0</v>
      </c>
      <c r="R118" s="153"/>
      <c r="S118" s="153"/>
    </row>
    <row r="119" spans="10:19" ht="13.5" thickBot="1">
      <c r="J119" s="138">
        <f>courbes!A118</f>
        <v>9.6666666666666661</v>
      </c>
      <c r="K119" s="139">
        <f t="shared" ca="1" si="5"/>
        <v>8.8992915626125741E+20</v>
      </c>
      <c r="L119" s="141">
        <f>courbes!J118</f>
        <v>9.6666666666666661</v>
      </c>
      <c r="M119" s="139">
        <f t="shared" ca="1" si="6"/>
        <v>8.8887111319475978E+20</v>
      </c>
      <c r="N119" s="139">
        <f>courbes!U118</f>
        <v>9.6666666666666661</v>
      </c>
      <c r="O119" s="139">
        <f t="shared" ca="1" si="7"/>
        <v>8.8838121718719159E+20</v>
      </c>
      <c r="P119" s="153"/>
      <c r="Q119" s="139">
        <f t="shared" ca="1" si="8"/>
        <v>0</v>
      </c>
      <c r="R119" s="153"/>
      <c r="S119" s="153"/>
    </row>
    <row r="120" spans="10:19" ht="13.5" thickBot="1">
      <c r="J120" s="138">
        <f>courbes!A119</f>
        <v>9.75</v>
      </c>
      <c r="K120" s="139">
        <f t="shared" ca="1" si="5"/>
        <v>8.8984976270496629E+20</v>
      </c>
      <c r="L120" s="141">
        <f>courbes!J119</f>
        <v>9.75</v>
      </c>
      <c r="M120" s="139">
        <f t="shared" ca="1" si="6"/>
        <v>8.8879279891770691E+20</v>
      </c>
      <c r="N120" s="139">
        <f>courbes!U119</f>
        <v>9.75</v>
      </c>
      <c r="O120" s="139">
        <f t="shared" ca="1" si="7"/>
        <v>8.8829528839266815E+20</v>
      </c>
      <c r="P120" s="153"/>
      <c r="Q120" s="139">
        <f t="shared" ca="1" si="8"/>
        <v>0</v>
      </c>
      <c r="R120" s="153"/>
      <c r="S120" s="153"/>
    </row>
    <row r="121" spans="10:19" ht="13.5" thickBot="1">
      <c r="J121" s="138">
        <f>courbes!A120</f>
        <v>9.8333333333333339</v>
      </c>
      <c r="K121" s="139">
        <f t="shared" ca="1" si="5"/>
        <v>8.8975227285990382E+20</v>
      </c>
      <c r="L121" s="141">
        <f>courbes!J120</f>
        <v>9.8333333333333339</v>
      </c>
      <c r="M121" s="139">
        <f t="shared" ca="1" si="6"/>
        <v>8.8869650330741323E+20</v>
      </c>
      <c r="N121" s="139">
        <f>courbes!U120</f>
        <v>9.8333333333333339</v>
      </c>
      <c r="O121" s="139">
        <f t="shared" ca="1" si="7"/>
        <v>8.8819136446080116E+20</v>
      </c>
      <c r="P121" s="153"/>
      <c r="Q121" s="139">
        <f t="shared" ca="1" si="8"/>
        <v>0</v>
      </c>
      <c r="R121" s="153"/>
      <c r="S121" s="153"/>
    </row>
    <row r="122" spans="10:19" ht="13.5" thickBot="1">
      <c r="J122" s="138">
        <f>courbes!A121</f>
        <v>9.9166666666666661</v>
      </c>
      <c r="K122" s="139">
        <f t="shared" ca="1" si="5"/>
        <v>8.8963686072675559E+20</v>
      </c>
      <c r="L122" s="141">
        <f>courbes!J121</f>
        <v>9.9166666666666661</v>
      </c>
      <c r="M122" s="139">
        <f t="shared" ca="1" si="6"/>
        <v>8.8858239870737999E+20</v>
      </c>
      <c r="N122" s="139">
        <f>courbes!U121</f>
        <v>9.9166666666666661</v>
      </c>
      <c r="O122" s="139">
        <f t="shared" ca="1" si="7"/>
        <v>8.880696187936401E+20</v>
      </c>
      <c r="P122" s="153"/>
      <c r="Q122" s="139">
        <f t="shared" ca="1" si="8"/>
        <v>0</v>
      </c>
      <c r="R122" s="153"/>
      <c r="S122" s="153"/>
    </row>
    <row r="123" spans="10:19" ht="13.5" thickBot="1">
      <c r="J123" s="138">
        <f>courbes!A122</f>
        <v>10</v>
      </c>
      <c r="K123" s="139">
        <f t="shared" ca="1" si="5"/>
        <v>8.8950369929409344E+20</v>
      </c>
      <c r="L123" s="141">
        <f>courbes!J122</f>
        <v>10</v>
      </c>
      <c r="M123" s="139">
        <f t="shared" ca="1" si="6"/>
        <v>8.8845065644566983E+20</v>
      </c>
      <c r="N123" s="139">
        <f>courbes!U122</f>
        <v>10</v>
      </c>
      <c r="O123" s="139">
        <f t="shared" ca="1" si="7"/>
        <v>8.8793022377526795E+20</v>
      </c>
      <c r="P123" s="153"/>
      <c r="Q123" s="139">
        <f t="shared" ca="1" si="8"/>
        <v>0</v>
      </c>
      <c r="R123" s="153"/>
      <c r="S123" s="153"/>
    </row>
    <row r="124" spans="10:19" ht="13.5" thickBot="1">
      <c r="J124" s="138">
        <f>courbes!A123</f>
        <v>10.083333333333334</v>
      </c>
      <c r="K124" s="139">
        <f t="shared" ca="1" si="5"/>
        <v>8.8935296053659356E+20</v>
      </c>
      <c r="L124" s="149"/>
      <c r="M124" s="150"/>
      <c r="N124" s="139">
        <f>courbes!U123</f>
        <v>10.083333333333334</v>
      </c>
      <c r="O124" s="139">
        <f t="shared" ca="1" si="7"/>
        <v>8.8777335077019084E+20</v>
      </c>
      <c r="P124" s="153"/>
      <c r="Q124" s="139">
        <f t="shared" ca="1" si="8"/>
        <v>0</v>
      </c>
      <c r="R124" s="153"/>
      <c r="S124" s="153"/>
    </row>
    <row r="125" spans="10:19" ht="13.5" thickBot="1">
      <c r="J125" s="138">
        <f>courbes!A124</f>
        <v>10.166666666666666</v>
      </c>
      <c r="K125" s="139">
        <f t="shared" ca="1" si="5"/>
        <v>8.8918481541345811E+20</v>
      </c>
      <c r="L125" s="149"/>
      <c r="M125" s="150"/>
      <c r="N125" s="139">
        <f>courbes!U124</f>
        <v>10.166666666666666</v>
      </c>
      <c r="O125" s="139">
        <f t="shared" ca="1" si="7"/>
        <v>8.8759917012193955E+20</v>
      </c>
      <c r="P125" s="153"/>
      <c r="Q125" s="139">
        <f t="shared" ca="1" si="8"/>
        <v>0</v>
      </c>
      <c r="R125" s="153"/>
      <c r="S125" s="153"/>
    </row>
    <row r="126" spans="10:19" ht="13.5" thickBot="1">
      <c r="J126" s="138">
        <f>courbes!A125</f>
        <v>10.25</v>
      </c>
      <c r="K126" s="139">
        <f t="shared" ca="1" si="5"/>
        <v>8.8899943386703698E+20</v>
      </c>
      <c r="L126" s="149"/>
      <c r="M126" s="150"/>
      <c r="N126" s="139">
        <f>courbes!U125</f>
        <v>10.25</v>
      </c>
      <c r="O126" s="139">
        <f t="shared" ca="1" si="7"/>
        <v>8.8740785115186358E+20</v>
      </c>
      <c r="P126" s="153"/>
      <c r="Q126" s="139">
        <f t="shared" ca="1" si="8"/>
        <v>0</v>
      </c>
      <c r="R126" s="153"/>
      <c r="S126" s="153"/>
    </row>
    <row r="127" spans="10:19" ht="13.5" thickBot="1">
      <c r="J127" s="138">
        <f>courbes!A126</f>
        <v>10.333333333333334</v>
      </c>
      <c r="K127" s="139">
        <f t="shared" ca="1" si="5"/>
        <v>8.8879698482164321E+20</v>
      </c>
      <c r="L127" s="149"/>
      <c r="M127" s="150"/>
      <c r="N127" s="139">
        <f>courbes!U126</f>
        <v>10.333333333333334</v>
      </c>
      <c r="O127" s="139">
        <f t="shared" ca="1" si="7"/>
        <v>8.8719956215812692E+20</v>
      </c>
      <c r="P127" s="153"/>
      <c r="Q127" s="139">
        <f t="shared" ca="1" si="8"/>
        <v>0</v>
      </c>
      <c r="R127" s="153"/>
      <c r="S127" s="153"/>
    </row>
    <row r="128" spans="10:19" ht="13.5" thickBot="1">
      <c r="J128" s="138">
        <f>courbes!A127</f>
        <v>10.416666666666666</v>
      </c>
      <c r="K128" s="139">
        <f t="shared" ca="1" si="5"/>
        <v>8.8857763618255838E+20</v>
      </c>
      <c r="L128" s="149"/>
      <c r="M128" s="150"/>
      <c r="N128" s="139">
        <f>courbes!U127</f>
        <v>10.416666666666666</v>
      </c>
      <c r="O128" s="139">
        <f t="shared" ca="1" si="7"/>
        <v>8.8697447041489017E+20</v>
      </c>
      <c r="P128" s="153"/>
      <c r="Q128" s="139">
        <f t="shared" ca="1" si="8"/>
        <v>0</v>
      </c>
      <c r="R128" s="153"/>
      <c r="S128" s="153"/>
    </row>
    <row r="129" spans="10:19" ht="13.5" thickBot="1">
      <c r="J129" s="138">
        <f>courbes!A128</f>
        <v>10.5</v>
      </c>
      <c r="K129" s="139">
        <f t="shared" ca="1" si="5"/>
        <v>8.8834155483522217E+20</v>
      </c>
      <c r="L129" s="149"/>
      <c r="M129" s="150"/>
      <c r="N129" s="139">
        <f>courbes!U128</f>
        <v>10.5</v>
      </c>
      <c r="O129" s="139">
        <f t="shared" ca="1" si="7"/>
        <v>8.8673274217167874E+20</v>
      </c>
      <c r="P129" s="153"/>
      <c r="Q129" s="139">
        <f t="shared" ca="1" si="8"/>
        <v>0</v>
      </c>
      <c r="R129" s="153"/>
      <c r="S129" s="153"/>
    </row>
    <row r="130" spans="10:19" ht="13.5" thickBot="1">
      <c r="J130" s="138">
        <f>courbes!A129</f>
        <v>10.583333333333334</v>
      </c>
      <c r="K130" s="139">
        <f t="shared" ca="1" si="5"/>
        <v>8.8808890664460222E+20</v>
      </c>
      <c r="L130" s="149"/>
      <c r="M130" s="150"/>
      <c r="N130" s="139">
        <f>courbes!U129</f>
        <v>10.583333333333334</v>
      </c>
      <c r="O130" s="139">
        <f t="shared" ca="1" si="7"/>
        <v>8.864745426529321E+20</v>
      </c>
      <c r="P130" s="153"/>
      <c r="Q130" s="139">
        <f t="shared" ca="1" si="8"/>
        <v>0</v>
      </c>
      <c r="R130" s="153"/>
      <c r="S130" s="153"/>
    </row>
    <row r="131" spans="10:19" ht="13.5" thickBot="1">
      <c r="J131" s="138">
        <f>courbes!A130</f>
        <v>10.666666666666666</v>
      </c>
      <c r="K131" s="139">
        <f t="shared" ref="K131:K137" ca="1" si="9">INDIRECT("courbes!"&amp;INDEX($D$3:$H$10,MATCH($B$2,$C$3:$C$10,0),MATCH(K$1,$D$2:$H$2,0))&amp;ROW($J130))</f>
        <v>8.8781985645473969E+20</v>
      </c>
      <c r="L131" s="149"/>
      <c r="M131" s="150"/>
      <c r="N131" s="139">
        <f>courbes!U130</f>
        <v>10.666666666666666</v>
      </c>
      <c r="O131" s="139">
        <f t="shared" ref="O131:O137" ca="1" si="10">INDIRECT("courbes!"&amp;INDEX($D$3:$H$10,MATCH($B$2,$C$3:$C$10,0),MATCH(O$1,$D$2:$H$2,0))&amp;ROW($J130))</f>
        <v>8.8620003605772698E+20</v>
      </c>
      <c r="P131" s="153"/>
      <c r="Q131" s="139">
        <f t="shared" ref="Q131:Q137" ca="1" si="11">INDIRECT("courbes!"&amp;INDEX($D$3:$H$10,MATCH($B$2,$C$3:$C$10,0),MATCH(Q$1,$D$2:$H$2,0))&amp;ROW($J130))</f>
        <v>0</v>
      </c>
      <c r="R131" s="153"/>
      <c r="S131" s="153"/>
    </row>
    <row r="132" spans="10:19" ht="13.5" thickBot="1">
      <c r="J132" s="138">
        <f>courbes!A131</f>
        <v>10.75</v>
      </c>
      <c r="K132" s="139">
        <f t="shared" ca="1" si="9"/>
        <v>8.8753456808846492E+20</v>
      </c>
      <c r="L132" s="149"/>
      <c r="M132" s="150"/>
      <c r="N132" s="139">
        <f>courbes!U131</f>
        <v>10.75</v>
      </c>
      <c r="O132" s="139">
        <f t="shared" ca="1" si="10"/>
        <v>8.8590938555967367E+20</v>
      </c>
      <c r="P132" s="153"/>
      <c r="Q132" s="139">
        <f t="shared" ca="1" si="11"/>
        <v>0</v>
      </c>
      <c r="R132" s="153"/>
      <c r="S132" s="153"/>
    </row>
    <row r="133" spans="10:19" ht="13.5" thickBot="1">
      <c r="J133" s="138">
        <f>courbes!A132</f>
        <v>10.833333333333334</v>
      </c>
      <c r="K133" s="139">
        <f t="shared" ca="1" si="9"/>
        <v>8.8723320434728042E+20</v>
      </c>
      <c r="L133" s="149"/>
      <c r="M133" s="150"/>
      <c r="N133" s="139">
        <f>courbes!U132</f>
        <v>10.833333333333334</v>
      </c>
      <c r="O133" s="139">
        <f t="shared" ca="1" si="10"/>
        <v>8.8560275330697554E+20</v>
      </c>
      <c r="P133" s="153"/>
      <c r="Q133" s="139">
        <f t="shared" ca="1" si="11"/>
        <v>0</v>
      </c>
      <c r="R133" s="153"/>
      <c r="S133" s="153"/>
    </row>
    <row r="134" spans="10:19" ht="13.5" thickBot="1">
      <c r="J134" s="138">
        <f>courbes!A133</f>
        <v>10.916666666666666</v>
      </c>
      <c r="K134" s="139">
        <f t="shared" ca="1" si="9"/>
        <v>8.8691592701140599E+20</v>
      </c>
      <c r="L134" s="149"/>
      <c r="M134" s="150"/>
      <c r="N134" s="139">
        <f>courbes!U133</f>
        <v>10.916666666666666</v>
      </c>
      <c r="O134" s="139">
        <f t="shared" ca="1" si="10"/>
        <v>8.8528030042265485E+20</v>
      </c>
      <c r="Q134" s="139">
        <f t="shared" ca="1" si="11"/>
        <v>0</v>
      </c>
    </row>
    <row r="135" spans="10:19" ht="13.5" thickBot="1">
      <c r="J135" s="138">
        <f>courbes!A134</f>
        <v>11</v>
      </c>
      <c r="K135" s="139">
        <f t="shared" ca="1" si="9"/>
        <v>8.8658289683998153E+20</v>
      </c>
      <c r="L135" s="149"/>
      <c r="M135" s="150"/>
      <c r="N135" s="139">
        <f>courbes!U134</f>
        <v>11</v>
      </c>
      <c r="O135" s="139">
        <f t="shared" ca="1" si="10"/>
        <v>8.8494218700493252E+20</v>
      </c>
      <c r="Q135" s="139">
        <f t="shared" ca="1" si="11"/>
        <v>0</v>
      </c>
    </row>
    <row r="136" spans="10:19" ht="13.5" thickBot="1">
      <c r="J136" s="138">
        <f>courbes!A135</f>
        <v>11.083333333333334</v>
      </c>
      <c r="K136" s="139">
        <f t="shared" ca="1" si="9"/>
        <v>8.8623427357142378E+20</v>
      </c>
      <c r="L136" s="149"/>
      <c r="M136" s="150"/>
      <c r="N136" s="139">
        <f>courbes!U135</f>
        <v>11.083333333333334</v>
      </c>
      <c r="O136" s="139">
        <f t="shared" ca="1" si="10"/>
        <v>8.8458857212776271E+20</v>
      </c>
      <c r="Q136" s="139">
        <f t="shared" ca="1" si="11"/>
        <v>0</v>
      </c>
    </row>
    <row r="137" spans="10:19">
      <c r="J137" s="138">
        <f>courbes!A136</f>
        <v>11.166666666666666</v>
      </c>
      <c r="K137" s="139">
        <f t="shared" ca="1" si="9"/>
        <v>8.8587021592393312E+20</v>
      </c>
      <c r="L137" s="149"/>
      <c r="M137" s="150"/>
      <c r="N137" s="139">
        <f>courbes!U136</f>
        <v>11.166666666666666</v>
      </c>
      <c r="O137" s="139">
        <f t="shared" ca="1" si="10"/>
        <v>8.8421961384151613E+20</v>
      </c>
      <c r="Q137" s="139">
        <f t="shared" ca="1" si="11"/>
        <v>0</v>
      </c>
    </row>
    <row r="178" spans="10:19">
      <c r="J178" s="145"/>
      <c r="K178" s="145"/>
      <c r="L178" s="145"/>
      <c r="M178" s="145"/>
      <c r="N178" s="149"/>
      <c r="O178" s="145"/>
      <c r="P178" s="145"/>
      <c r="Q178" s="145"/>
      <c r="R178" s="145"/>
      <c r="S178" s="145"/>
    </row>
    <row r="179" spans="10:19">
      <c r="J179" s="145"/>
      <c r="K179" s="145"/>
      <c r="L179" s="145"/>
      <c r="M179" s="145"/>
      <c r="N179" s="149"/>
      <c r="O179" s="145"/>
      <c r="P179" s="145"/>
      <c r="Q179" s="145"/>
      <c r="R179" s="145"/>
      <c r="S179" s="145"/>
    </row>
    <row r="180" spans="10:19">
      <c r="J180" s="145"/>
      <c r="K180" s="145"/>
      <c r="L180" s="145"/>
      <c r="M180" s="145"/>
      <c r="N180" s="149"/>
      <c r="O180" s="145"/>
      <c r="P180" s="145"/>
      <c r="Q180" s="145"/>
      <c r="R180" s="145"/>
      <c r="S180" s="145"/>
    </row>
    <row r="181" spans="10:19">
      <c r="J181" s="145"/>
      <c r="K181" s="145"/>
      <c r="L181" s="145"/>
      <c r="M181" s="145"/>
      <c r="N181" s="149"/>
      <c r="O181" s="145"/>
      <c r="P181" s="145"/>
      <c r="Q181" s="145"/>
      <c r="R181" s="145"/>
      <c r="S181" s="145"/>
    </row>
    <row r="182" spans="10:19">
      <c r="J182" s="145"/>
      <c r="K182" s="145"/>
      <c r="L182" s="145"/>
      <c r="M182" s="145"/>
      <c r="N182" s="149"/>
      <c r="O182" s="145"/>
      <c r="P182" s="145"/>
      <c r="Q182" s="145"/>
      <c r="R182" s="145"/>
      <c r="S182" s="145"/>
    </row>
    <row r="183" spans="10:19">
      <c r="J183" s="145"/>
      <c r="K183" s="145"/>
      <c r="L183" s="145"/>
      <c r="M183" s="145"/>
      <c r="N183" s="149"/>
      <c r="O183" s="145"/>
      <c r="P183" s="145"/>
      <c r="Q183" s="145"/>
      <c r="R183" s="145"/>
      <c r="S183" s="145"/>
    </row>
    <row r="184" spans="10:19">
      <c r="J184" s="145"/>
      <c r="K184" s="145"/>
      <c r="L184" s="145"/>
      <c r="M184" s="145"/>
      <c r="N184" s="149"/>
      <c r="O184" s="145"/>
      <c r="P184" s="145"/>
      <c r="Q184" s="145"/>
      <c r="R184" s="145"/>
      <c r="S184" s="145"/>
    </row>
    <row r="185" spans="10:19">
      <c r="J185" s="145"/>
      <c r="K185" s="145"/>
      <c r="L185" s="145"/>
      <c r="M185" s="145"/>
      <c r="N185" s="149"/>
      <c r="O185" s="145"/>
      <c r="P185" s="145"/>
      <c r="Q185" s="145"/>
      <c r="R185" s="145"/>
      <c r="S185" s="145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tabSelected="1" zoomScaleNormal="100" workbookViewId="0">
      <selection activeCell="E7" sqref="E7"/>
    </sheetView>
  </sheetViews>
  <sheetFormatPr baseColWidth="10" defaultColWidth="17.875" defaultRowHeight="12.75"/>
  <cols>
    <col min="1" max="1" width="5.25" style="145" bestFit="1" customWidth="1"/>
    <col min="2" max="2" width="33.75" style="137" bestFit="1" customWidth="1"/>
    <col min="3" max="4" width="9.125" style="137" customWidth="1"/>
    <col min="5" max="5" width="20.125" style="137" customWidth="1"/>
    <col min="6" max="8" width="9.125" style="145" customWidth="1"/>
    <col min="9" max="9" width="2.5" style="145" customWidth="1"/>
    <col min="10" max="10" width="11" style="146" customWidth="1"/>
    <col min="11" max="11" width="10.625" style="146" bestFit="1" customWidth="1"/>
    <col min="12" max="12" width="9.125" style="153" bestFit="1" customWidth="1"/>
    <col min="13" max="13" width="9.75" style="146" bestFit="1" customWidth="1"/>
    <col min="14" max="14" width="9.125" style="146" bestFit="1" customWidth="1"/>
    <col min="15" max="15" width="16.625" style="146" bestFit="1" customWidth="1"/>
    <col min="16" max="16" width="9.25" style="146" bestFit="1" customWidth="1"/>
    <col min="17" max="17" width="11.75" style="146" bestFit="1" customWidth="1"/>
    <col min="18" max="18" width="9.25" style="146" bestFit="1" customWidth="1"/>
    <col min="19" max="19" width="10.375" style="146" bestFit="1" customWidth="1"/>
    <col min="20" max="16384" width="17.875" style="145"/>
  </cols>
  <sheetData>
    <row r="1" spans="1:19" ht="13.5" thickBot="1">
      <c r="K1" s="146" t="s">
        <v>40</v>
      </c>
      <c r="M1" s="137" t="s">
        <v>258</v>
      </c>
      <c r="O1" s="145" t="s">
        <v>168</v>
      </c>
      <c r="Q1" s="145" t="s">
        <v>259</v>
      </c>
      <c r="S1" s="145" t="s">
        <v>260</v>
      </c>
    </row>
    <row r="2" spans="1:19" ht="24.75" thickBot="1">
      <c r="A2" s="145" t="s">
        <v>257</v>
      </c>
      <c r="B2" s="143" t="s">
        <v>11</v>
      </c>
      <c r="D2" s="137" t="s">
        <v>40</v>
      </c>
      <c r="E2" s="137" t="s">
        <v>258</v>
      </c>
      <c r="F2" s="145" t="s">
        <v>168</v>
      </c>
      <c r="G2" s="145" t="s">
        <v>259</v>
      </c>
      <c r="H2" s="145" t="s">
        <v>260</v>
      </c>
      <c r="J2" s="138" t="str">
        <f>courbes!A1</f>
        <v>t(y)</v>
      </c>
      <c r="K2" s="139" t="str">
        <f ca="1">INDIRECT("courbes!"&amp;INDEX($D$3:$H$10,MATCH($B$2,$C$3:$C$10,0),MATCH(K$1,$D$2:$H$2,0))&amp;ROW($J1))</f>
        <v>RK1 - Pu241</v>
      </c>
      <c r="L2" s="141" t="str">
        <f>courbes!J1</f>
        <v>t(y)</v>
      </c>
      <c r="M2" s="139" t="str">
        <f ca="1">INDIRECT("courbes!"&amp;INDEX($D$3:$H$10,MATCH($B$2,$C$3:$C$10,0),MATCH(M$1,$D$2:$H$2,0))&amp;ROW($J1))</f>
        <v>O5 - Pu241</v>
      </c>
      <c r="N2" s="139" t="str">
        <f>courbes!U1</f>
        <v>t(y)</v>
      </c>
      <c r="O2" s="139" t="str">
        <f ca="1">INDIRECT("courbes!"&amp;INDEX($D$3:$H$10,MATCH($B$2,$C$3:$C$10,0),MATCH(O$1,$D$2:$H$2,0))&amp;ROW($J1))</f>
        <v>Exact Simpl. - Pu241</v>
      </c>
      <c r="P2" s="138" t="str">
        <f>courbes!AE1</f>
        <v>t(y)</v>
      </c>
      <c r="Q2" s="139" t="str">
        <f ca="1">INDIRECT("courbes!"&amp;INDEX($D$3:$H$10,MATCH($B$2,$C$3:$C$10,0),MATCH(Q$1,$D$2:$H$2,0))&amp;ROW($J1))</f>
        <v>DRAGON - Pu241</v>
      </c>
      <c r="R2" s="138" t="str">
        <f>courbes!AO1</f>
        <v>t(y)</v>
      </c>
      <c r="S2" s="139" t="str">
        <f ca="1">INDIRECT("courbes!"&amp;INDEX($D$3:$H$10,MATCH($B$2,$C$3:$C$10,0),MATCH(S$1,$D$2:$H$2,0))&amp;ROW($J1))</f>
        <v xml:space="preserve">VESTA - Pu241 </v>
      </c>
    </row>
    <row r="3" spans="1:19" ht="13.5" thickBot="1">
      <c r="C3" s="143" t="s">
        <v>7</v>
      </c>
      <c r="D3" s="137" t="s">
        <v>261</v>
      </c>
      <c r="E3" s="137" t="s">
        <v>192</v>
      </c>
      <c r="F3" s="145" t="s">
        <v>128</v>
      </c>
      <c r="G3" s="145" t="s">
        <v>262</v>
      </c>
      <c r="H3" s="145" t="s">
        <v>263</v>
      </c>
      <c r="J3" s="138" t="e">
        <f>courbes!A2</f>
        <v>#NAME?</v>
      </c>
      <c r="K3" s="139">
        <f t="shared" ref="K3:K66" ca="1" si="0">INDIRECT("courbes!"&amp;INDEX($D$3:$H$10,MATCH($B$2,$C$3:$C$10,0),MATCH(K$1,$D$2:$H$2,0))&amp;ROW($J2))</f>
        <v>1.5072084539664158E+20</v>
      </c>
      <c r="L3" s="141">
        <f>courbes!J2</f>
        <v>0</v>
      </c>
      <c r="M3" s="139">
        <f t="shared" ref="M3:M66" ca="1" si="1">INDIRECT("courbes!"&amp;INDEX($D$3:$H$10,MATCH($B$2,$C$3:$C$10,0),MATCH(M$1,$D$2:$H$2,0))&amp;ROW($J2))</f>
        <v>1.5072084539664158E+20</v>
      </c>
      <c r="N3" s="139">
        <f>courbes!U2</f>
        <v>0</v>
      </c>
      <c r="O3" s="139">
        <f t="shared" ref="O3:O66" ca="1" si="2">INDIRECT("courbes!"&amp;INDEX($D$3:$H$10,MATCH($B$2,$C$3:$C$10,0),MATCH(O$1,$D$2:$H$2,0))&amp;ROW($J2))</f>
        <v>1.5072084539664164E+20</v>
      </c>
      <c r="P3" s="138">
        <f>courbes!AE2</f>
        <v>0</v>
      </c>
      <c r="Q3" s="139">
        <f t="shared" ref="Q3:Q66" ca="1" si="3">INDIRECT("courbes!"&amp;INDEX($D$3:$H$10,MATCH($B$2,$C$3:$C$10,0),MATCH(Q$1,$D$2:$H$2,0))&amp;ROW($J2))</f>
        <v>1.5072084539664158E+20</v>
      </c>
      <c r="R3" s="138">
        <f>courbes!AO2</f>
        <v>0</v>
      </c>
      <c r="S3" s="139">
        <f t="shared" ref="S3:S9" ca="1" si="4">INDIRECT("courbes!"&amp;INDEX($D$3:$H$10,MATCH($B$2,$C$3:$C$10,0),MATCH(S$1,$D$2:$H$2,0))&amp;ROW($J2))</f>
        <v>1.5072084539664158E+20</v>
      </c>
    </row>
    <row r="4" spans="1:19" ht="13.5" thickBot="1">
      <c r="C4" s="143" t="s">
        <v>9</v>
      </c>
      <c r="D4" s="137" t="s">
        <v>264</v>
      </c>
      <c r="E4" s="137" t="s">
        <v>265</v>
      </c>
      <c r="F4" s="145" t="s">
        <v>266</v>
      </c>
      <c r="G4" s="145" t="s">
        <v>268</v>
      </c>
      <c r="H4" s="145" t="s">
        <v>269</v>
      </c>
      <c r="J4" s="138">
        <f>courbes!A3</f>
        <v>8.3333333333333329E-2</v>
      </c>
      <c r="K4" s="139">
        <f t="shared" ca="1" si="0"/>
        <v>1.4915920363728739E+20</v>
      </c>
      <c r="L4" s="141">
        <f>courbes!J3</f>
        <v>8.3333333333333329E-2</v>
      </c>
      <c r="M4" s="139">
        <f t="shared" ca="1" si="1"/>
        <v>1.4918954580360685E+20</v>
      </c>
      <c r="N4" s="139">
        <f>courbes!U3</f>
        <v>8.3333333333333329E-2</v>
      </c>
      <c r="O4" s="139">
        <f t="shared" ca="1" si="2"/>
        <v>1.4918954580386575E+20</v>
      </c>
      <c r="P4" s="138">
        <f>courbes!AE3</f>
        <v>0.2</v>
      </c>
      <c r="Q4" s="139">
        <f t="shared" ca="1" si="3"/>
        <v>1.4735814924436591E+20</v>
      </c>
      <c r="R4" s="138">
        <f>courbes!AO3</f>
        <v>0.13689999999999999</v>
      </c>
      <c r="S4" s="139">
        <f t="shared" ca="1" si="4"/>
        <v>1.4846998842920177E+20</v>
      </c>
    </row>
    <row r="5" spans="1:19" ht="13.5" thickBot="1">
      <c r="C5" s="143" t="s">
        <v>10</v>
      </c>
      <c r="D5" s="137" t="s">
        <v>270</v>
      </c>
      <c r="E5" s="137" t="s">
        <v>276</v>
      </c>
      <c r="F5" s="145" t="s">
        <v>129</v>
      </c>
      <c r="G5" s="145" t="s">
        <v>287</v>
      </c>
      <c r="H5" s="145" t="s">
        <v>267</v>
      </c>
      <c r="J5" s="138">
        <f>courbes!A4</f>
        <v>0.16666666666666666</v>
      </c>
      <c r="K5" s="139">
        <f t="shared" ca="1" si="0"/>
        <v>1.4765891785442329E+20</v>
      </c>
      <c r="L5" s="141">
        <f>courbes!J4</f>
        <v>0.16666666666666666</v>
      </c>
      <c r="M5" s="139">
        <f t="shared" ca="1" si="1"/>
        <v>1.4771760759109075E+20</v>
      </c>
      <c r="N5" s="139">
        <f>courbes!U4</f>
        <v>0.16666666666666666</v>
      </c>
      <c r="O5" s="139">
        <f t="shared" ca="1" si="2"/>
        <v>1.4771760758840413E+20</v>
      </c>
      <c r="P5" s="138">
        <f>courbes!AE4</f>
        <v>0.4</v>
      </c>
      <c r="Q5" s="139">
        <f t="shared" ca="1" si="3"/>
        <v>1.4426566974718383E+20</v>
      </c>
      <c r="R5" s="138">
        <f>courbes!AO4</f>
        <v>0.41070000000000001</v>
      </c>
      <c r="S5" s="139">
        <f t="shared" ca="1" si="4"/>
        <v>1.4440113160344522E+20</v>
      </c>
    </row>
    <row r="6" spans="1:19" ht="13.5" thickBot="1">
      <c r="C6" s="143" t="s">
        <v>11</v>
      </c>
      <c r="D6" s="137" t="s">
        <v>271</v>
      </c>
      <c r="E6" s="137" t="s">
        <v>315</v>
      </c>
      <c r="F6" s="145" t="s">
        <v>282</v>
      </c>
      <c r="G6" s="145" t="s">
        <v>288</v>
      </c>
      <c r="H6" s="145" t="s">
        <v>293</v>
      </c>
      <c r="J6" s="138">
        <f>courbes!A5</f>
        <v>0.25</v>
      </c>
      <c r="K6" s="139">
        <f t="shared" ca="1" si="0"/>
        <v>1.4621795767804166E+20</v>
      </c>
      <c r="L6" s="141">
        <f>courbes!J5</f>
        <v>0.25</v>
      </c>
      <c r="M6" s="139">
        <f t="shared" ca="1" si="1"/>
        <v>1.4630309124551837E+20</v>
      </c>
      <c r="N6" s="139">
        <f>courbes!U5</f>
        <v>0.25</v>
      </c>
      <c r="O6" s="139">
        <f t="shared" ca="1" si="2"/>
        <v>1.4630309124609373E+20</v>
      </c>
      <c r="P6" s="138">
        <f>courbes!AE5</f>
        <v>0.6</v>
      </c>
      <c r="Q6" s="139">
        <f t="shared" ca="1" si="3"/>
        <v>1.4142339085656985E+20</v>
      </c>
      <c r="R6" s="138">
        <f>courbes!AO5</f>
        <v>0.99929999999999997</v>
      </c>
      <c r="S6" s="139">
        <f t="shared" ca="1" si="4"/>
        <v>1.3738884643565204E+20</v>
      </c>
    </row>
    <row r="7" spans="1:19" ht="13.5" thickBot="1">
      <c r="C7" s="143" t="s">
        <v>13</v>
      </c>
      <c r="D7" s="137" t="s">
        <v>272</v>
      </c>
      <c r="E7" s="137" t="s">
        <v>278</v>
      </c>
      <c r="F7" s="145" t="s">
        <v>283</v>
      </c>
      <c r="G7" s="145" t="s">
        <v>289</v>
      </c>
      <c r="H7" s="145" t="s">
        <v>294</v>
      </c>
      <c r="J7" s="138">
        <f>courbes!A6</f>
        <v>0.33333333333333331</v>
      </c>
      <c r="K7" s="139">
        <f t="shared" ca="1" si="0"/>
        <v>1.4483435486548625E+20</v>
      </c>
      <c r="L7" s="141">
        <f>courbes!J6</f>
        <v>0.33333333333333331</v>
      </c>
      <c r="M7" s="139">
        <f t="shared" ca="1" si="1"/>
        <v>1.4494411564531561E+20</v>
      </c>
      <c r="N7" s="139">
        <f>courbes!U6</f>
        <v>0.33333333333333331</v>
      </c>
      <c r="O7" s="139">
        <f t="shared" ca="1" si="2"/>
        <v>1.4494411575906207E+20</v>
      </c>
      <c r="P7" s="138">
        <f>courbes!AE6</f>
        <v>0.8</v>
      </c>
      <c r="Q7" s="139">
        <f t="shared" ca="1" si="3"/>
        <v>1.3882130454826131E+20</v>
      </c>
      <c r="R7" s="138">
        <f>courbes!AO6</f>
        <v>1.9990000000000001</v>
      </c>
      <c r="S7" s="139">
        <f t="shared" ca="1" si="4"/>
        <v>1.2994370415873578E+20</v>
      </c>
    </row>
    <row r="8" spans="1:19" ht="13.5" thickBot="1">
      <c r="C8" s="143" t="s">
        <v>14</v>
      </c>
      <c r="D8" s="137" t="s">
        <v>273</v>
      </c>
      <c r="E8" s="137" t="s">
        <v>279</v>
      </c>
      <c r="F8" s="145" t="s">
        <v>284</v>
      </c>
      <c r="G8" s="145" t="s">
        <v>290</v>
      </c>
      <c r="H8" s="145" t="s">
        <v>295</v>
      </c>
      <c r="J8" s="138">
        <f>courbes!A7</f>
        <v>0.41666666666666669</v>
      </c>
      <c r="K8" s="139">
        <f t="shared" ca="1" si="0"/>
        <v>1.435062014337768E+20</v>
      </c>
      <c r="L8" s="141">
        <f>courbes!J7</f>
        <v>0.41666666666666669</v>
      </c>
      <c r="M8" s="139">
        <f t="shared" ca="1" si="1"/>
        <v>1.4363885619323345E+20</v>
      </c>
      <c r="N8" s="139">
        <f>courbes!U7</f>
        <v>0.41666666666666669</v>
      </c>
      <c r="O8" s="139">
        <f t="shared" ca="1" si="2"/>
        <v>1.4363885686467772E+20</v>
      </c>
      <c r="P8" s="138">
        <f>courbes!AE7</f>
        <v>1</v>
      </c>
      <c r="Q8" s="139">
        <f t="shared" ca="1" si="3"/>
        <v>1.364393947737327E+20</v>
      </c>
      <c r="R8" s="138">
        <f>courbes!AO7</f>
        <v>4.9989999999999997</v>
      </c>
      <c r="S8" s="139">
        <f t="shared" ca="1" si="4"/>
        <v>1.2596141875480386E+20</v>
      </c>
    </row>
    <row r="9" spans="1:19" ht="13.5" thickBot="1">
      <c r="C9" s="143" t="s">
        <v>15</v>
      </c>
      <c r="D9" s="137" t="s">
        <v>274</v>
      </c>
      <c r="E9" s="137" t="s">
        <v>280</v>
      </c>
      <c r="F9" s="145" t="s">
        <v>285</v>
      </c>
      <c r="G9" s="145" t="s">
        <v>291</v>
      </c>
      <c r="H9" s="145" t="s">
        <v>297</v>
      </c>
      <c r="J9" s="138">
        <f>courbes!A8</f>
        <v>0.5</v>
      </c>
      <c r="K9" s="139">
        <f t="shared" ca="1" si="0"/>
        <v>1.4223164784802193E+20</v>
      </c>
      <c r="L9" s="141">
        <f>courbes!J8</f>
        <v>0.5</v>
      </c>
      <c r="M9" s="139">
        <f t="shared" ca="1" si="1"/>
        <v>1.423855429486727E+20</v>
      </c>
      <c r="N9" s="139">
        <f>courbes!U8</f>
        <v>0.5</v>
      </c>
      <c r="O9" s="139">
        <f t="shared" ca="1" si="2"/>
        <v>1.423855453756725E+20</v>
      </c>
      <c r="P9" s="138">
        <f>courbes!AE8</f>
        <v>1.2</v>
      </c>
      <c r="Q9" s="139">
        <f t="shared" ca="1" si="3"/>
        <v>1.3426765350872134E+20</v>
      </c>
      <c r="R9" s="138">
        <f>courbes!AO8</f>
        <v>9.9990000000000006</v>
      </c>
      <c r="S9" s="139">
        <f t="shared" ca="1" si="4"/>
        <v>1.3280056107894782E+20</v>
      </c>
    </row>
    <row r="10" spans="1:19" ht="13.5" thickBot="1">
      <c r="A10" s="145" t="s">
        <v>253</v>
      </c>
      <c r="B10" s="161" t="str">
        <f>"Comparaison des modèles pour le "&amp;B2</f>
        <v>Comparaison des modèles pour le Pu241</v>
      </c>
      <c r="C10" s="143" t="s">
        <v>16</v>
      </c>
      <c r="D10" s="137" t="s">
        <v>275</v>
      </c>
      <c r="E10" s="137" t="s">
        <v>281</v>
      </c>
      <c r="F10" s="145" t="s">
        <v>286</v>
      </c>
      <c r="G10" s="145" t="s">
        <v>292</v>
      </c>
      <c r="H10" s="145" t="s">
        <v>296</v>
      </c>
      <c r="J10" s="138">
        <f>courbes!A9</f>
        <v>0.58333333333333337</v>
      </c>
      <c r="K10" s="139">
        <f t="shared" ca="1" si="0"/>
        <v>1.4100890126423232E+20</v>
      </c>
      <c r="L10" s="141">
        <f>courbes!J9</f>
        <v>0.58333333333333337</v>
      </c>
      <c r="M10" s="139">
        <f t="shared" ca="1" si="1"/>
        <v>1.411824587600086E+20</v>
      </c>
      <c r="N10" s="139">
        <f>courbes!U9</f>
        <v>0.58333333333333337</v>
      </c>
      <c r="O10" s="139">
        <f t="shared" ca="1" si="2"/>
        <v>1.4118246554991917E+20</v>
      </c>
      <c r="P10" s="138">
        <f>courbes!AE9</f>
        <v>1.4</v>
      </c>
      <c r="Q10" s="139">
        <f t="shared" ca="1" si="3"/>
        <v>1.3229607272896446E+20</v>
      </c>
      <c r="S10" s="144"/>
    </row>
    <row r="11" spans="1:19" ht="13.5" thickBot="1">
      <c r="A11" s="145" t="s">
        <v>254</v>
      </c>
      <c r="B11" s="161" t="s">
        <v>256</v>
      </c>
      <c r="C11" s="161"/>
      <c r="D11" s="161"/>
      <c r="E11" s="161"/>
      <c r="J11" s="138">
        <f>courbes!A10</f>
        <v>0.66666666666666663</v>
      </c>
      <c r="K11" s="139">
        <f t="shared" ca="1" si="0"/>
        <v>1.3983622382489697E+20</v>
      </c>
      <c r="L11" s="141">
        <f>courbes!J10</f>
        <v>0.66666666666666663</v>
      </c>
      <c r="M11" s="139">
        <f t="shared" ca="1" si="1"/>
        <v>1.400279373969154E+20</v>
      </c>
      <c r="N11" s="139">
        <f>courbes!U10</f>
        <v>0.66666666666666663</v>
      </c>
      <c r="O11" s="139">
        <f t="shared" ca="1" si="2"/>
        <v>1.4002795350839352E+20</v>
      </c>
      <c r="P11" s="138">
        <f>courbes!AE10</f>
        <v>1.6</v>
      </c>
      <c r="Q11" s="139">
        <f t="shared" ca="1" si="3"/>
        <v>1.3049462836167395E+20</v>
      </c>
    </row>
    <row r="12" spans="1:19" ht="18" thickBot="1">
      <c r="A12" s="145" t="s">
        <v>255</v>
      </c>
      <c r="B12" s="169" t="s">
        <v>299</v>
      </c>
      <c r="C12" s="161"/>
      <c r="D12" s="161"/>
      <c r="E12" s="161"/>
      <c r="J12" s="138">
        <f>courbes!A11</f>
        <v>0.75</v>
      </c>
      <c r="K12" s="139">
        <f t="shared" ca="1" si="0"/>
        <v>1.3871193100573498E+20</v>
      </c>
      <c r="L12" s="141">
        <f>courbes!J11</f>
        <v>0.75</v>
      </c>
      <c r="M12" s="139">
        <f t="shared" ca="1" si="1"/>
        <v>1.3892036168269103E+20</v>
      </c>
      <c r="N12" s="139">
        <f>courbes!U11</f>
        <v>0.75</v>
      </c>
      <c r="O12" s="139">
        <f t="shared" ca="1" si="2"/>
        <v>1.3892039569989236E+20</v>
      </c>
      <c r="P12" s="138">
        <f>courbes!AE11</f>
        <v>1.8</v>
      </c>
      <c r="Q12" s="139">
        <f t="shared" ca="1" si="3"/>
        <v>1.2887332843111247E+20</v>
      </c>
    </row>
    <row r="13" spans="1:19" ht="13.5" thickBot="1">
      <c r="J13" s="138">
        <f>courbes!A12</f>
        <v>0.83333333333333337</v>
      </c>
      <c r="K13" s="139">
        <f t="shared" ca="1" si="0"/>
        <v>1.3763439001208273E+20</v>
      </c>
      <c r="L13" s="141">
        <f>courbes!J12</f>
        <v>0.83333333333333337</v>
      </c>
      <c r="M13" s="139">
        <f t="shared" ca="1" si="1"/>
        <v>1.3785816162658163E+20</v>
      </c>
      <c r="N13" s="139">
        <f>courbes!U12</f>
        <v>0.83333333333333337</v>
      </c>
      <c r="O13" s="139">
        <f t="shared" ca="1" si="2"/>
        <v>1.3785822741112339E+20</v>
      </c>
      <c r="P13" s="138">
        <f>courbes!AE12</f>
        <v>2</v>
      </c>
      <c r="Q13" s="139">
        <f t="shared" ca="1" si="3"/>
        <v>1.2741215688875457E+20</v>
      </c>
    </row>
    <row r="14" spans="1:19" ht="13.5" thickBot="1">
      <c r="J14" s="138">
        <f>courbes!A13</f>
        <v>0.91666666666666663</v>
      </c>
      <c r="K14" s="139">
        <f t="shared" ca="1" si="0"/>
        <v>1.3660201822342323E+20</v>
      </c>
      <c r="L14" s="141">
        <f>courbes!J13</f>
        <v>0.91666666666666663</v>
      </c>
      <c r="M14" s="139">
        <f t="shared" ca="1" si="1"/>
        <v>1.368398125561062E+20</v>
      </c>
      <c r="N14" s="139">
        <f>courbes!U13</f>
        <v>0.91666666666666663</v>
      </c>
      <c r="O14" s="139">
        <f t="shared" ca="1" si="2"/>
        <v>1.3683993132082201E+20</v>
      </c>
      <c r="P14" s="138">
        <f>courbes!AE13</f>
        <v>2.2000000000000002</v>
      </c>
      <c r="Q14" s="139">
        <f t="shared" ca="1" si="3"/>
        <v>1.2609109768607487E+20</v>
      </c>
    </row>
    <row r="15" spans="1:19" ht="13.5" thickBot="1">
      <c r="J15" s="138">
        <f>courbes!A14</f>
        <v>1</v>
      </c>
      <c r="K15" s="139">
        <f t="shared" ca="1" si="0"/>
        <v>1.3561328168460904E+20</v>
      </c>
      <c r="L15" s="141">
        <f>courbes!J14</f>
        <v>1</v>
      </c>
      <c r="M15" s="139">
        <f t="shared" ca="1" si="1"/>
        <v>1.3586383324938127E+20</v>
      </c>
      <c r="N15" s="139">
        <f>courbes!U14</f>
        <v>1</v>
      </c>
      <c r="O15" s="139">
        <f t="shared" ca="1" si="2"/>
        <v>1.3586403609659148E+20</v>
      </c>
      <c r="P15" s="138">
        <f>courbes!AE14</f>
        <v>2.4</v>
      </c>
      <c r="Q15" s="139">
        <f t="shared" ca="1" si="3"/>
        <v>1.2491015082307328E+20</v>
      </c>
    </row>
    <row r="16" spans="1:19" ht="13.5" thickBot="1">
      <c r="J16" s="138">
        <f>courbes!A15</f>
        <v>1.0833333333333333</v>
      </c>
      <c r="K16" s="139">
        <f t="shared" ca="1" si="0"/>
        <v>1.3466669364237418E+20</v>
      </c>
      <c r="L16" s="141">
        <f>courbes!J15</f>
        <v>1.0833333333333333</v>
      </c>
      <c r="M16" s="139">
        <f t="shared" ca="1" si="1"/>
        <v>1.34928925473288E+20</v>
      </c>
      <c r="N16" s="139">
        <f>courbes!U15</f>
        <v>1.0833333333333333</v>
      </c>
      <c r="O16" s="139">
        <f t="shared" ca="1" si="2"/>
        <v>1.3492911503320053E+20</v>
      </c>
      <c r="P16" s="138">
        <f>courbes!AE15</f>
        <v>2.6</v>
      </c>
      <c r="Q16" s="139">
        <f t="shared" ca="1" si="3"/>
        <v>1.2386931629974985E+20</v>
      </c>
    </row>
    <row r="17" spans="10:19" ht="13.5" thickBot="1">
      <c r="J17" s="138">
        <f>courbes!A16</f>
        <v>1.1666666666666667</v>
      </c>
      <c r="K17" s="139">
        <f t="shared" ca="1" si="0"/>
        <v>1.3376081312577246E+20</v>
      </c>
      <c r="L17" s="141">
        <f>courbes!J16</f>
        <v>1.1666666666666667</v>
      </c>
      <c r="M17" s="139">
        <f t="shared" ca="1" si="1"/>
        <v>1.3403360989595522E+20</v>
      </c>
      <c r="N17" s="139">
        <f>courbes!U16</f>
        <v>1.1666666666666667</v>
      </c>
      <c r="O17" s="139">
        <f t="shared" ca="1" si="2"/>
        <v>1.3403378473111129E+20</v>
      </c>
      <c r="P17" s="138">
        <f>courbes!AE16</f>
        <v>2.8</v>
      </c>
      <c r="Q17" s="139">
        <f t="shared" ca="1" si="3"/>
        <v>1.2293857004331642E+20</v>
      </c>
    </row>
    <row r="18" spans="10:19" ht="13.5" thickBot="1">
      <c r="J18" s="138">
        <f>courbes!A17</f>
        <v>1.25</v>
      </c>
      <c r="K18" s="139">
        <f t="shared" ca="1" si="0"/>
        <v>1.3289424356922099E+20</v>
      </c>
      <c r="L18" s="141">
        <f>courbes!J17</f>
        <v>1.25</v>
      </c>
      <c r="M18" s="139">
        <f t="shared" ca="1" si="1"/>
        <v>1.3317654533745525E+20</v>
      </c>
      <c r="N18" s="139">
        <f>courbes!U17</f>
        <v>1.25</v>
      </c>
      <c r="O18" s="139">
        <f t="shared" ca="1" si="2"/>
        <v>1.3317670381404568E+20</v>
      </c>
      <c r="P18" s="138">
        <f>courbes!AE17</f>
        <v>3</v>
      </c>
      <c r="Q18" s="139">
        <f t="shared" ca="1" si="3"/>
        <v>1.2211791205377294E+20</v>
      </c>
      <c r="R18" s="145"/>
      <c r="S18" s="145"/>
    </row>
    <row r="19" spans="10:19" ht="13.5" thickBot="1">
      <c r="J19" s="138">
        <f>courbes!A18</f>
        <v>1.3333333333333333</v>
      </c>
      <c r="K19" s="139">
        <f t="shared" ca="1" si="0"/>
        <v>1.3206563147686745E+20</v>
      </c>
      <c r="L19" s="141">
        <f>courbes!J18</f>
        <v>1.3333333333333333</v>
      </c>
      <c r="M19" s="139">
        <f t="shared" ca="1" si="1"/>
        <v>1.3235643132065641E+20</v>
      </c>
      <c r="N19" s="139">
        <f>courbes!U18</f>
        <v>1.3333333333333333</v>
      </c>
      <c r="O19" s="139">
        <f t="shared" ca="1" si="2"/>
        <v>1.3235657168443367E+20</v>
      </c>
      <c r="P19" s="138">
        <f>courbes!AE18</f>
        <v>3.2</v>
      </c>
      <c r="Q19" s="139">
        <f t="shared" ca="1" si="3"/>
        <v>1.2139733430685673E+20</v>
      </c>
      <c r="R19" s="145"/>
      <c r="S19" s="145"/>
    </row>
    <row r="20" spans="10:19" ht="13.5" thickBot="1">
      <c r="J20" s="138">
        <f>courbes!A19</f>
        <v>1.4166666666666667</v>
      </c>
      <c r="K20" s="139">
        <f t="shared" ca="1" si="0"/>
        <v>1.3127366512703803E+20</v>
      </c>
      <c r="L20" s="141">
        <f>courbes!J19</f>
        <v>1.4166666666666667</v>
      </c>
      <c r="M20" s="139">
        <f t="shared" ca="1" si="1"/>
        <v>1.315720067684982E+20</v>
      </c>
      <c r="N20" s="139">
        <f>courbes!U19</f>
        <v>1.4166666666666667</v>
      </c>
      <c r="O20" s="139">
        <f t="shared" ca="1" si="2"/>
        <v>1.3157212731562353E+20</v>
      </c>
      <c r="P20" s="138">
        <f>courbes!AE19</f>
        <v>3.4</v>
      </c>
      <c r="Q20" s="139">
        <f t="shared" ca="1" si="3"/>
        <v>1.2077683680256777E+20</v>
      </c>
      <c r="R20" s="145"/>
      <c r="S20" s="145"/>
    </row>
    <row r="21" spans="10:19" ht="13.5" thickBot="1">
      <c r="J21" s="138">
        <f>courbes!A20</f>
        <v>1.5</v>
      </c>
      <c r="K21" s="139">
        <f t="shared" ca="1" si="0"/>
        <v>1.3051707331556083E+20</v>
      </c>
      <c r="L21" s="141">
        <f>courbes!J20</f>
        <v>1.5</v>
      </c>
      <c r="M21" s="139">
        <f t="shared" ca="1" si="1"/>
        <v>1.308220487012659E+20</v>
      </c>
      <c r="N21" s="139">
        <f>courbes!U20</f>
        <v>1.5</v>
      </c>
      <c r="O21" s="139">
        <f t="shared" ca="1" si="2"/>
        <v>1.3082214807976354E+20</v>
      </c>
      <c r="P21" s="138">
        <f>courbes!AE20</f>
        <v>3.6</v>
      </c>
      <c r="Q21" s="139">
        <f t="shared" ca="1" si="3"/>
        <v>1.2024641151664334E+20</v>
      </c>
      <c r="R21" s="145"/>
      <c r="S21" s="145"/>
    </row>
    <row r="22" spans="10:19" ht="13.5" thickBot="1">
      <c r="J22" s="138">
        <f>courbes!A21</f>
        <v>1.5833333333333333</v>
      </c>
      <c r="K22" s="139">
        <f t="shared" ca="1" si="0"/>
        <v>1.2979462413679564E+20</v>
      </c>
      <c r="L22" s="141">
        <f>courbes!J21</f>
        <v>1.5833333333333333</v>
      </c>
      <c r="M22" s="139">
        <f t="shared" ca="1" si="1"/>
        <v>1.3010537093386576E+20</v>
      </c>
      <c r="N22" s="139">
        <f>courbes!U21</f>
        <v>1.5833333333333333</v>
      </c>
      <c r="O22" s="139">
        <f t="shared" ca="1" si="2"/>
        <v>1.3010544861030072E+20</v>
      </c>
      <c r="P22" s="138">
        <f>courbes!AE21</f>
        <v>3.8</v>
      </c>
      <c r="Q22" s="139">
        <f t="shared" ca="1" si="3"/>
        <v>1.1978604240055797E+20</v>
      </c>
      <c r="R22" s="145"/>
      <c r="S22" s="145"/>
    </row>
    <row r="23" spans="10:19" ht="13.5" thickBot="1">
      <c r="J23" s="138">
        <f>courbes!A22</f>
        <v>1.6666666666666667</v>
      </c>
      <c r="K23" s="139">
        <f t="shared" ca="1" si="0"/>
        <v>1.29105123801236E+20</v>
      </c>
      <c r="L23" s="141">
        <f>courbes!J22</f>
        <v>1.6666666666666667</v>
      </c>
      <c r="M23" s="139">
        <f t="shared" ca="1" si="1"/>
        <v>1.2942082277309968E+20</v>
      </c>
      <c r="N23" s="139">
        <f>courbes!U22</f>
        <v>1.6666666666666667</v>
      </c>
      <c r="O23" s="139">
        <f t="shared" ca="1" si="2"/>
        <v>1.2942087969807119E+20</v>
      </c>
      <c r="P23" s="138">
        <f>courbes!AE22</f>
        <v>4</v>
      </c>
      <c r="Q23" s="139">
        <f t="shared" ca="1" si="3"/>
        <v>1.1941574550283713E+20</v>
      </c>
      <c r="R23" s="145"/>
      <c r="S23" s="145"/>
    </row>
    <row r="24" spans="10:19" ht="13.5" thickBot="1">
      <c r="J24" s="138">
        <f>courbes!A23</f>
        <v>1.75</v>
      </c>
      <c r="K24" s="139">
        <f t="shared" ca="1" si="0"/>
        <v>1.284474154885843E+20</v>
      </c>
      <c r="L24" s="141">
        <f>courbes!J23</f>
        <v>1.75</v>
      </c>
      <c r="M24" s="139">
        <f t="shared" ca="1" si="1"/>
        <v>1.2876728771494011E+20</v>
      </c>
      <c r="N24" s="139">
        <f>courbes!U23</f>
        <v>1.75</v>
      </c>
      <c r="O24" s="139">
        <f t="shared" ca="1" si="2"/>
        <v>1.2876732721998756E+20</v>
      </c>
      <c r="P24" s="138">
        <f>courbes!AE23</f>
        <v>4.2</v>
      </c>
      <c r="Q24" s="139">
        <f t="shared" ca="1" si="3"/>
        <v>1.1910549675069266E+20</v>
      </c>
      <c r="R24" s="145"/>
      <c r="S24" s="145"/>
    </row>
    <row r="25" spans="10:19" ht="13.5" thickBot="1">
      <c r="J25" s="138">
        <f>courbes!A24</f>
        <v>1.8333333333333333</v>
      </c>
      <c r="K25" s="139">
        <f t="shared" ca="1" si="0"/>
        <v>1.2782037823523308E+20</v>
      </c>
      <c r="L25" s="141">
        <f>courbes!J24</f>
        <v>1.8333333333333333</v>
      </c>
      <c r="M25" s="139">
        <f t="shared" ca="1" si="1"/>
        <v>1.281436821418051E+20</v>
      </c>
      <c r="N25" s="139">
        <f>courbes!U24</f>
        <v>1.8333333333333333</v>
      </c>
      <c r="O25" s="139">
        <f t="shared" ca="1" si="2"/>
        <v>1.281437110993592E+20</v>
      </c>
      <c r="P25" s="138">
        <f>courbes!AE24</f>
        <v>4.4000000000000004</v>
      </c>
      <c r="Q25" s="139">
        <f t="shared" ca="1" si="3"/>
        <v>1.1885529614412451E+20</v>
      </c>
      <c r="R25" s="145"/>
      <c r="S25" s="145"/>
    </row>
    <row r="26" spans="10:19" ht="13.5" thickBot="1">
      <c r="J26" s="138">
        <f>courbes!A25</f>
        <v>1.9166666666666667</v>
      </c>
      <c r="K26" s="139">
        <f t="shared" ca="1" si="0"/>
        <v>1.2722292585511811E+20</v>
      </c>
      <c r="L26" s="141">
        <f>courbes!J25</f>
        <v>1.9166666666666667</v>
      </c>
      <c r="M26" s="139">
        <f t="shared" ca="1" si="1"/>
        <v>1.2754895401983307E+20</v>
      </c>
      <c r="N26" s="139">
        <f>courbes!U25</f>
        <v>1.9166666666666667</v>
      </c>
      <c r="O26" s="139">
        <f t="shared" ca="1" si="2"/>
        <v>1.2754898429690908E+20</v>
      </c>
      <c r="P26" s="138">
        <f>courbes!AE25</f>
        <v>4.5999999999999996</v>
      </c>
      <c r="Q26" s="139">
        <f t="shared" ca="1" si="3"/>
        <v>1.1866514368313275E+20</v>
      </c>
      <c r="R26" s="145"/>
      <c r="S26" s="145"/>
    </row>
    <row r="27" spans="10:19" ht="13.5" thickBot="1">
      <c r="J27" s="138">
        <f>courbes!A26</f>
        <v>2</v>
      </c>
      <c r="K27" s="139">
        <f t="shared" ca="1" si="0"/>
        <v>1.2665400589294041E+20</v>
      </c>
      <c r="L27" s="141">
        <f>courbes!J26</f>
        <v>2</v>
      </c>
      <c r="M27" s="139">
        <f t="shared" ca="1" si="1"/>
        <v>1.2698208159615767E+20</v>
      </c>
      <c r="N27" s="139">
        <f>courbes!U26</f>
        <v>2</v>
      </c>
      <c r="O27" s="139">
        <f t="shared" ca="1" si="2"/>
        <v>1.2698213183157833E+20</v>
      </c>
      <c r="P27" s="138">
        <f>courbes!AE26</f>
        <v>4.8</v>
      </c>
      <c r="Q27" s="139">
        <f t="shared" ca="1" si="3"/>
        <v>1.185250313434546E+20</v>
      </c>
      <c r="R27" s="145"/>
      <c r="S27" s="145"/>
    </row>
    <row r="28" spans="10:19" ht="13.5" thickBot="1">
      <c r="J28" s="138">
        <f>courbes!A27</f>
        <v>2.0833333333333335</v>
      </c>
      <c r="K28" s="139">
        <f t="shared" ca="1" si="0"/>
        <v>1.2611259860878372E+20</v>
      </c>
      <c r="L28" s="141">
        <f>courbes!J27</f>
        <v>2.0833333333333335</v>
      </c>
      <c r="M28" s="139">
        <f t="shared" ca="1" si="1"/>
        <v>1.2644217065221063E+20</v>
      </c>
      <c r="N28" s="139">
        <f>courbes!U27</f>
        <v>2.0833333333333335</v>
      </c>
      <c r="O28" s="139">
        <f t="shared" ca="1" si="2"/>
        <v>1.264421698302375E+20</v>
      </c>
      <c r="P28" s="138">
        <f>courbes!AE27</f>
        <v>5</v>
      </c>
      <c r="Q28" s="139">
        <f t="shared" ca="1" si="3"/>
        <v>1.1843495912509007E+20</v>
      </c>
      <c r="R28" s="145"/>
      <c r="S28" s="145"/>
    </row>
    <row r="29" spans="10:19" ht="13.5" thickBot="1">
      <c r="J29" s="138">
        <f>courbes!A28</f>
        <v>2.1666666666666665</v>
      </c>
      <c r="K29" s="139">
        <f t="shared" ca="1" si="0"/>
        <v>1.2559771599318412E+20</v>
      </c>
      <c r="L29" s="141">
        <f>courbes!J28</f>
        <v>2.1666666666666665</v>
      </c>
      <c r="M29" s="139">
        <f t="shared" ca="1" si="1"/>
        <v>1.2592820074582219E+20</v>
      </c>
      <c r="N29" s="139">
        <f>courbes!U28</f>
        <v>2.1666666666666665</v>
      </c>
      <c r="O29" s="139">
        <f t="shared" ca="1" si="2"/>
        <v>1.2592814460544947E+20</v>
      </c>
      <c r="P29" s="138">
        <f>courbes!AE28</f>
        <v>5.2</v>
      </c>
      <c r="Q29" s="139">
        <f t="shared" ca="1" si="3"/>
        <v>1.1839492702803916E+20</v>
      </c>
      <c r="R29" s="145"/>
      <c r="S29" s="145"/>
    </row>
    <row r="30" spans="10:19" ht="13.5" thickBot="1">
      <c r="J30" s="138">
        <f>courbes!A29</f>
        <v>2.25</v>
      </c>
      <c r="K30" s="139">
        <f t="shared" ca="1" si="0"/>
        <v>1.2510840081173647E+20</v>
      </c>
      <c r="L30" s="141">
        <f>courbes!J29</f>
        <v>2.25</v>
      </c>
      <c r="M30" s="139">
        <f t="shared" ca="1" si="1"/>
        <v>1.2543924771577691E+20</v>
      </c>
      <c r="N30" s="139">
        <f>courbes!U29</f>
        <v>2.25</v>
      </c>
      <c r="O30" s="139">
        <f t="shared" ca="1" si="2"/>
        <v>1.2543913176045348E+20</v>
      </c>
      <c r="P30" s="138">
        <f>courbes!AE29</f>
        <v>5.4</v>
      </c>
      <c r="Q30" s="139">
        <f t="shared" ca="1" si="3"/>
        <v>1.1838491900377643E+20</v>
      </c>
      <c r="R30" s="145"/>
      <c r="S30" s="145"/>
    </row>
    <row r="31" spans="10:19" ht="13.5" thickBot="1">
      <c r="J31" s="138">
        <f>courbes!A30</f>
        <v>2.3333333333333335</v>
      </c>
      <c r="K31" s="139">
        <f t="shared" ca="1" si="0"/>
        <v>1.2464372567834986E+20</v>
      </c>
      <c r="L31" s="141">
        <f>courbes!J30</f>
        <v>2.3333333333333335</v>
      </c>
      <c r="M31" s="139">
        <f t="shared" ca="1" si="1"/>
        <v>1.2497441576297939E+20</v>
      </c>
      <c r="N31" s="139">
        <f>courbes!U30</f>
        <v>2.3333333333333335</v>
      </c>
      <c r="O31" s="139">
        <f t="shared" ca="1" si="2"/>
        <v>1.2497423532056551E+20</v>
      </c>
      <c r="P31" s="138">
        <f>courbes!AE30</f>
        <v>5.6</v>
      </c>
      <c r="Q31" s="139">
        <f t="shared" ca="1" si="3"/>
        <v>1.1841494307656462E+20</v>
      </c>
      <c r="R31" s="145"/>
      <c r="S31" s="145"/>
    </row>
    <row r="32" spans="10:19" ht="13.5" thickBot="1">
      <c r="J32" s="138">
        <f>courbes!A31</f>
        <v>2.4166666666666665</v>
      </c>
      <c r="K32" s="139">
        <f t="shared" ca="1" si="0"/>
        <v>1.2420279215629148E+20</v>
      </c>
      <c r="L32" s="141">
        <f>courbes!J31</f>
        <v>2.4166666666666665</v>
      </c>
      <c r="M32" s="139">
        <f t="shared" ca="1" si="1"/>
        <v>1.2453283654153259E+20</v>
      </c>
      <c r="N32" s="139">
        <f>courbes!U31</f>
        <v>2.4166666666666665</v>
      </c>
      <c r="O32" s="139">
        <f t="shared" ca="1" si="2"/>
        <v>1.2453258689021374E+20</v>
      </c>
      <c r="P32" s="138">
        <f>courbes!AE31</f>
        <v>5.8</v>
      </c>
      <c r="Q32" s="139">
        <f t="shared" ca="1" si="3"/>
        <v>1.1846498319787824E+20</v>
      </c>
      <c r="R32" s="145"/>
      <c r="S32" s="145"/>
    </row>
    <row r="33" spans="10:19" ht="13.5" thickBot="1">
      <c r="J33" s="138">
        <f>courbes!A32</f>
        <v>2.5</v>
      </c>
      <c r="K33" s="139">
        <f t="shared" ca="1" si="0"/>
        <v>1.2378472988618349E+20</v>
      </c>
      <c r="L33" s="141">
        <f>courbes!J32</f>
        <v>2.5</v>
      </c>
      <c r="M33" s="139">
        <f t="shared" ca="1" si="1"/>
        <v>1.2411366824981606E+20</v>
      </c>
      <c r="N33" s="139">
        <f>courbes!U32</f>
        <v>2.5</v>
      </c>
      <c r="O33" s="139">
        <f t="shared" ca="1" si="2"/>
        <v>1.2411334483484996E+20</v>
      </c>
      <c r="P33" s="138">
        <f>courbes!AE32</f>
        <v>6</v>
      </c>
      <c r="Q33" s="139">
        <f t="shared" ca="1" si="3"/>
        <v>1.1855505541624278E+20</v>
      </c>
      <c r="R33" s="145"/>
      <c r="S33" s="145"/>
    </row>
    <row r="34" spans="10:19" ht="13.5" thickBot="1">
      <c r="J34" s="138">
        <f>courbes!A33</f>
        <v>2.5833333333333335</v>
      </c>
      <c r="K34" s="139">
        <f t="shared" ca="1" si="0"/>
        <v>1.2338869574014344E+20</v>
      </c>
      <c r="L34" s="141">
        <f>courbes!J33</f>
        <v>2.5833333333333335</v>
      </c>
      <c r="M34" s="139">
        <f t="shared" ca="1" si="1"/>
        <v>1.2371609472156461E+20</v>
      </c>
      <c r="N34" s="139">
        <f>courbes!U33</f>
        <v>2.5833333333333335</v>
      </c>
      <c r="O34" s="139">
        <f t="shared" ca="1" si="2"/>
        <v>1.237156934870025E+20</v>
      </c>
      <c r="P34" s="138">
        <f>courbes!AE33</f>
        <v>6.2</v>
      </c>
      <c r="Q34" s="139">
        <f t="shared" ca="1" si="3"/>
        <v>1.1866514368313275E+20</v>
      </c>
      <c r="R34" s="145"/>
      <c r="S34" s="145"/>
    </row>
    <row r="35" spans="10:19" ht="13.5" thickBot="1">
      <c r="J35" s="138">
        <f>courbes!A34</f>
        <v>2.6666666666666665</v>
      </c>
      <c r="K35" s="139">
        <f t="shared" ca="1" si="0"/>
        <v>1.2301387300128258E+20</v>
      </c>
      <c r="L35" s="141">
        <f>courbes!J34</f>
        <v>2.6666666666666665</v>
      </c>
      <c r="M35" s="139">
        <f t="shared" ca="1" si="1"/>
        <v>1.2333932451694648E+20</v>
      </c>
      <c r="N35" s="139">
        <f>courbes!U34</f>
        <v>2.6666666666666665</v>
      </c>
      <c r="O35" s="139">
        <f t="shared" ca="1" si="2"/>
        <v>1.2333884237575623E+20</v>
      </c>
      <c r="P35" s="138">
        <f>courbes!AE34</f>
        <v>6.4</v>
      </c>
      <c r="Q35" s="139">
        <f t="shared" ca="1" si="3"/>
        <v>1.1879524799854816E+20</v>
      </c>
      <c r="R35" s="145"/>
      <c r="S35" s="145"/>
    </row>
    <row r="36" spans="10:19" ht="13.5" thickBot="1">
      <c r="J36" s="138">
        <f>courbes!A35</f>
        <v>2.75</v>
      </c>
      <c r="K36" s="139">
        <f t="shared" ca="1" si="0"/>
        <v>1.2265947056780041E+20</v>
      </c>
      <c r="L36" s="141">
        <f>courbes!J35</f>
        <v>2.75</v>
      </c>
      <c r="M36" s="139">
        <f t="shared" ca="1" si="1"/>
        <v>1.2298259001364175E+20</v>
      </c>
      <c r="N36" s="139">
        <f>courbes!U35</f>
        <v>2.75</v>
      </c>
      <c r="O36" s="139">
        <f t="shared" ca="1" si="2"/>
        <v>1.2298202547896612E+20</v>
      </c>
      <c r="P36" s="138">
        <f>courbes!AE35</f>
        <v>6.6</v>
      </c>
      <c r="Q36" s="139">
        <f t="shared" ca="1" si="3"/>
        <v>1.1894536836248905E+20</v>
      </c>
      <c r="R36" s="145"/>
      <c r="S36" s="145"/>
    </row>
    <row r="37" spans="10:19" ht="13.5" thickBot="1">
      <c r="J37" s="138">
        <f>courbes!A36</f>
        <v>2.8333333333333335</v>
      </c>
      <c r="K37" s="139">
        <f t="shared" ca="1" si="0"/>
        <v>1.223247221809365E+20</v>
      </c>
      <c r="L37" s="141">
        <f>courbes!J36</f>
        <v>2.8333333333333335</v>
      </c>
      <c r="M37" s="139">
        <f t="shared" ca="1" si="1"/>
        <v>1.2264514649792084E+20</v>
      </c>
      <c r="N37" s="139">
        <f>courbes!U36</f>
        <v>2.8333333333333335</v>
      </c>
      <c r="O37" s="139">
        <f t="shared" ca="1" si="2"/>
        <v>1.2264450049753385E+20</v>
      </c>
      <c r="P37" s="138">
        <f>courbes!AE36</f>
        <v>6.8</v>
      </c>
      <c r="Q37" s="139">
        <f t="shared" ca="1" si="3"/>
        <v>1.1911550477495538E+20</v>
      </c>
      <c r="R37" s="145"/>
      <c r="S37" s="145"/>
    </row>
    <row r="38" spans="10:19" ht="13.5" thickBot="1">
      <c r="J38" s="138">
        <f>courbes!A37</f>
        <v>2.9166666666666665</v>
      </c>
      <c r="K38" s="139">
        <f t="shared" ca="1" si="0"/>
        <v>1.2200888567606313E+20</v>
      </c>
      <c r="L38" s="141">
        <f>courbes!J37</f>
        <v>2.9166666666666665</v>
      </c>
      <c r="M38" s="139">
        <f t="shared" ca="1" si="1"/>
        <v>1.223262712557227E+20</v>
      </c>
      <c r="N38" s="139">
        <f>courbes!U37</f>
        <v>2.9166666666666665</v>
      </c>
      <c r="O38" s="139">
        <f t="shared" ca="1" si="2"/>
        <v>1.2232554815109372E+20</v>
      </c>
      <c r="P38" s="138">
        <f>courbes!AE37</f>
        <v>7</v>
      </c>
      <c r="Q38" s="139">
        <f t="shared" ca="1" si="3"/>
        <v>1.1929564921168444E+20</v>
      </c>
      <c r="R38" s="145"/>
      <c r="S38" s="145"/>
    </row>
    <row r="39" spans="10:19" ht="13.5" thickBot="1">
      <c r="J39" s="138">
        <f>courbes!A38</f>
        <v>3</v>
      </c>
      <c r="K39" s="139">
        <f t="shared" ca="1" si="0"/>
        <v>1.2171124225622367E+20</v>
      </c>
      <c r="L39" s="141">
        <f>courbes!J38</f>
        <v>3</v>
      </c>
      <c r="M39" s="139">
        <f t="shared" ca="1" si="1"/>
        <v>1.2202526266373336E+20</v>
      </c>
      <c r="N39" s="139">
        <f>courbes!U38</f>
        <v>3</v>
      </c>
      <c r="O39" s="139">
        <f t="shared" ca="1" si="2"/>
        <v>1.2202447149447591E+20</v>
      </c>
      <c r="P39" s="138">
        <f>courbes!AE38</f>
        <v>7.2</v>
      </c>
      <c r="Q39" s="139">
        <f t="shared" ca="1" si="3"/>
        <v>1.194858016726762E+20</v>
      </c>
      <c r="R39" s="145"/>
      <c r="S39" s="145"/>
    </row>
    <row r="40" spans="10:19" ht="13.5" thickBot="1">
      <c r="J40" s="138">
        <f>courbes!A39</f>
        <v>3.0833333333333335</v>
      </c>
      <c r="K40" s="139">
        <f t="shared" ca="1" si="0"/>
        <v>1.214310957874426E+20</v>
      </c>
      <c r="L40" s="141">
        <f>courbes!J39</f>
        <v>3.0833333333333335</v>
      </c>
      <c r="M40" s="139">
        <f t="shared" ca="1" si="1"/>
        <v>1.2174150799142347E+20</v>
      </c>
      <c r="N40" s="139">
        <f>courbes!U39</f>
        <v>3.0833333333333335</v>
      </c>
      <c r="O40" s="139">
        <f t="shared" ca="1" si="2"/>
        <v>1.2174059525433211E+20</v>
      </c>
      <c r="P40" s="138">
        <f>courbes!AE39</f>
        <v>7.4</v>
      </c>
      <c r="Q40" s="139">
        <f t="shared" ca="1" si="3"/>
        <v>1.1968596215793073E+20</v>
      </c>
      <c r="R40" s="145"/>
      <c r="S40" s="145"/>
    </row>
    <row r="41" spans="10:19" ht="13.5" thickBot="1">
      <c r="J41" s="138">
        <f>courbes!A40</f>
        <v>3.1666666666666665</v>
      </c>
      <c r="K41" s="139">
        <f t="shared" ca="1" si="0"/>
        <v>1.2116777211515352E+20</v>
      </c>
      <c r="L41" s="141">
        <f>courbes!J40</f>
        <v>3.1666666666666665</v>
      </c>
      <c r="M41" s="139">
        <f t="shared" ca="1" si="1"/>
        <v>1.2147430648801806E+20</v>
      </c>
      <c r="N41" s="139">
        <f>courbes!U40</f>
        <v>3.1666666666666665</v>
      </c>
      <c r="O41" s="139">
        <f t="shared" ca="1" si="2"/>
        <v>1.2147326518532859E+20</v>
      </c>
      <c r="P41" s="138">
        <f>courbes!AE40</f>
        <v>7.6</v>
      </c>
      <c r="Q41" s="139">
        <f t="shared" ca="1" si="3"/>
        <v>1.1989613066744794E+20</v>
      </c>
      <c r="R41" s="145"/>
      <c r="S41" s="145"/>
    </row>
    <row r="42" spans="10:19" ht="13.5" thickBot="1">
      <c r="J42" s="138">
        <f>courbes!A41</f>
        <v>3.25</v>
      </c>
      <c r="K42" s="139">
        <f t="shared" ca="1" si="0"/>
        <v>1.2092061840111087E+20</v>
      </c>
      <c r="L42" s="141">
        <f>courbes!J41</f>
        <v>3.25</v>
      </c>
      <c r="M42" s="139">
        <f t="shared" ca="1" si="1"/>
        <v>1.2122302450402745E+20</v>
      </c>
      <c r="N42" s="139">
        <f>courbes!U41</f>
        <v>3.25</v>
      </c>
      <c r="O42" s="139">
        <f t="shared" ca="1" si="2"/>
        <v>1.2122184744532797E+20</v>
      </c>
      <c r="P42" s="138">
        <f>courbes!AE41</f>
        <v>7.8</v>
      </c>
      <c r="Q42" s="139">
        <f t="shared" ca="1" si="3"/>
        <v>1.2010629917696518E+20</v>
      </c>
      <c r="R42" s="145"/>
      <c r="S42" s="145"/>
    </row>
    <row r="43" spans="10:19" ht="13.5" thickBot="1">
      <c r="J43" s="138">
        <f>courbes!A42</f>
        <v>3.3333333333333335</v>
      </c>
      <c r="K43" s="139">
        <f t="shared" ca="1" si="0"/>
        <v>1.2068900248017048E+20</v>
      </c>
      <c r="L43" s="141">
        <f>courbes!J42</f>
        <v>3.3333333333333335</v>
      </c>
      <c r="M43" s="139">
        <f t="shared" ca="1" si="1"/>
        <v>1.2098704814037488E+20</v>
      </c>
      <c r="N43" s="139">
        <f>courbes!U42</f>
        <v>3.3333333333333335</v>
      </c>
      <c r="O43" s="139">
        <f t="shared" ca="1" si="2"/>
        <v>1.2098572798899788E+20</v>
      </c>
      <c r="P43" s="138">
        <f>courbes!AE42</f>
        <v>8</v>
      </c>
      <c r="Q43" s="139">
        <f t="shared" ca="1" si="3"/>
        <v>1.2032647571074513E+20</v>
      </c>
      <c r="R43" s="145"/>
      <c r="S43" s="145"/>
    </row>
    <row r="44" spans="10:19" ht="13.5" thickBot="1">
      <c r="J44" s="138">
        <f>courbes!A43</f>
        <v>3.4166666666666665</v>
      </c>
      <c r="K44" s="139">
        <f t="shared" ca="1" si="0"/>
        <v>1.2047231223634256E+20</v>
      </c>
      <c r="L44" s="141">
        <f>courbes!J43</f>
        <v>3.4166666666666665</v>
      </c>
      <c r="M44" s="139">
        <f t="shared" ca="1" si="1"/>
        <v>1.2076578261406381E+20</v>
      </c>
      <c r="N44" s="139">
        <f>courbes!U43</f>
        <v>3.4166666666666665</v>
      </c>
      <c r="O44" s="139">
        <f t="shared" ca="1" si="2"/>
        <v>1.2076431197930367E+20</v>
      </c>
      <c r="P44" s="138">
        <f>courbes!AE43</f>
        <v>8.1999999999999993</v>
      </c>
      <c r="Q44" s="139">
        <f t="shared" ca="1" si="3"/>
        <v>1.2053664422026237E+20</v>
      </c>
      <c r="R44" s="145"/>
      <c r="S44" s="145"/>
    </row>
    <row r="45" spans="10:19" ht="13.5" thickBot="1">
      <c r="J45" s="138">
        <f>courbes!A44</f>
        <v>3.5</v>
      </c>
      <c r="K45" s="139">
        <f t="shared" ca="1" si="0"/>
        <v>1.2026995499753826E+20</v>
      </c>
      <c r="L45" s="141">
        <f>courbes!J44</f>
        <v>3.5</v>
      </c>
      <c r="M45" s="139">
        <f t="shared" ca="1" si="1"/>
        <v>1.2055865162384469E+20</v>
      </c>
      <c r="N45" s="139">
        <f>courbes!U44</f>
        <v>3.5</v>
      </c>
      <c r="O45" s="139">
        <f t="shared" ca="1" si="2"/>
        <v>1.2055702321635487E+20</v>
      </c>
      <c r="P45" s="138">
        <f>courbes!AE44</f>
        <v>8.4</v>
      </c>
      <c r="Q45" s="139">
        <f t="shared" ca="1" si="3"/>
        <v>1.2075682075404232E+20</v>
      </c>
      <c r="R45" s="145"/>
      <c r="S45" s="145"/>
    </row>
    <row r="46" spans="10:19" ht="13.5" thickBot="1">
      <c r="J46" s="138">
        <f>courbes!A45</f>
        <v>3.5833333333333335</v>
      </c>
      <c r="K46" s="139">
        <f t="shared" ca="1" si="0"/>
        <v>1.2008135694844915E+20</v>
      </c>
      <c r="L46" s="141">
        <f>courbes!J45</f>
        <v>3.5833333333333335</v>
      </c>
      <c r="M46" s="139">
        <f t="shared" ca="1" si="1"/>
        <v>1.2036509671588217E+20</v>
      </c>
      <c r="N46" s="139">
        <f>courbes!U45</f>
        <v>3.5833333333333335</v>
      </c>
      <c r="O46" s="139">
        <f t="shared" ca="1" si="2"/>
        <v>1.203633035830946E+20</v>
      </c>
      <c r="P46" s="138">
        <f>courbes!AE45</f>
        <v>8.6</v>
      </c>
      <c r="Q46" s="139">
        <f t="shared" ca="1" si="3"/>
        <v>1.2097699728782226E+20</v>
      </c>
      <c r="R46" s="145"/>
      <c r="S46" s="145"/>
    </row>
    <row r="47" spans="10:19" ht="13.5" thickBot="1">
      <c r="J47" s="138">
        <f>courbes!A46</f>
        <v>3.6666666666666665</v>
      </c>
      <c r="K47" s="139">
        <f t="shared" ca="1" si="0"/>
        <v>1.1990596256101496E+20</v>
      </c>
      <c r="L47" s="141">
        <f>courbes!J46</f>
        <v>3.6666666666666665</v>
      </c>
      <c r="M47" s="139">
        <f t="shared" ca="1" si="1"/>
        <v>1.2018457664942232E+20</v>
      </c>
      <c r="N47" s="139">
        <f>courbes!U46</f>
        <v>3.6666666666666665</v>
      </c>
      <c r="O47" s="139">
        <f t="shared" ca="1" si="2"/>
        <v>1.2018261250733274E+20</v>
      </c>
      <c r="P47" s="138">
        <f>courbes!AE46</f>
        <v>8.8000000000000007</v>
      </c>
      <c r="Q47" s="139">
        <f t="shared" ca="1" si="3"/>
        <v>1.211871657973395E+20</v>
      </c>
      <c r="R47" s="145"/>
      <c r="S47" s="145"/>
    </row>
    <row r="48" spans="10:19" ht="13.5" thickBot="1">
      <c r="J48" s="138">
        <f>courbes!A47</f>
        <v>3.75</v>
      </c>
      <c r="K48" s="139">
        <f t="shared" ca="1" si="0"/>
        <v>1.1974323404195208E+20</v>
      </c>
      <c r="L48" s="141">
        <f>courbes!J47</f>
        <v>3.75</v>
      </c>
      <c r="M48" s="139">
        <f t="shared" ca="1" si="1"/>
        <v>1.2001656676245935E+20</v>
      </c>
      <c r="N48" s="139">
        <f>courbes!U47</f>
        <v>3.75</v>
      </c>
      <c r="O48" s="139">
        <f t="shared" ca="1" si="2"/>
        <v>1.2001442643964145E+20</v>
      </c>
      <c r="P48" s="138">
        <f>courbes!AE47</f>
        <v>9</v>
      </c>
      <c r="Q48" s="139">
        <f t="shared" ca="1" si="3"/>
        <v>1.2139733430685673E+20</v>
      </c>
      <c r="R48" s="145"/>
      <c r="S48" s="145"/>
    </row>
    <row r="49" spans="10:19" ht="13.5" thickBot="1">
      <c r="J49" s="138">
        <f>courbes!A48</f>
        <v>3.8333333333333335</v>
      </c>
      <c r="K49" s="139">
        <f t="shared" ca="1" si="0"/>
        <v>1.1959265079683062E+20</v>
      </c>
      <c r="L49" s="141">
        <f>courbes!J48</f>
        <v>3.8333333333333335</v>
      </c>
      <c r="M49" s="139">
        <f t="shared" ca="1" si="1"/>
        <v>1.1986055833740298E+20</v>
      </c>
      <c r="N49" s="139">
        <f>courbes!U48</f>
        <v>3.8333333333333335</v>
      </c>
      <c r="O49" s="139">
        <f t="shared" ca="1" si="2"/>
        <v>1.198582383466437E+20</v>
      </c>
      <c r="P49" s="138">
        <f>courbes!AE48</f>
        <v>9.1999999999999993</v>
      </c>
      <c r="Q49" s="139">
        <f t="shared" ca="1" si="3"/>
        <v>1.2159749479211123E+20</v>
      </c>
      <c r="R49" s="145"/>
      <c r="S49" s="145"/>
    </row>
    <row r="50" spans="10:19" ht="13.5" thickBot="1">
      <c r="J50" s="138">
        <f>courbes!A49</f>
        <v>3.9166666666666665</v>
      </c>
      <c r="K50" s="139">
        <f t="shared" ca="1" si="0"/>
        <v>1.1945370891020365E+20</v>
      </c>
      <c r="L50" s="141">
        <f>courbes!J49</f>
        <v>3.9166666666666665</v>
      </c>
      <c r="M50" s="139">
        <f t="shared" ca="1" si="1"/>
        <v>1.1971605796674534E+20</v>
      </c>
      <c r="N50" s="139">
        <f>courbes!U49</f>
        <v>3.9166666666666665</v>
      </c>
      <c r="O50" s="139">
        <f t="shared" ca="1" si="2"/>
        <v>1.1971355721924079E+20</v>
      </c>
      <c r="P50" s="138">
        <f>courbes!AE49</f>
        <v>9.4</v>
      </c>
      <c r="Q50" s="139">
        <f t="shared" ca="1" si="3"/>
        <v>1.2179765527736574E+20</v>
      </c>
      <c r="R50" s="145"/>
      <c r="S50" s="145"/>
    </row>
    <row r="51" spans="10:19" ht="13.5" thickBot="1">
      <c r="J51" s="138">
        <f>courbes!A50</f>
        <v>4</v>
      </c>
      <c r="K51" s="139">
        <f t="shared" ca="1" si="0"/>
        <v>1.1932592064130685E+20</v>
      </c>
      <c r="L51" s="141">
        <f>courbes!J50</f>
        <v>4</v>
      </c>
      <c r="M51" s="139">
        <f t="shared" ca="1" si="1"/>
        <v>1.1958258691872797E+20</v>
      </c>
      <c r="N51" s="139">
        <f>courbes!U50</f>
        <v>4</v>
      </c>
      <c r="O51" s="139">
        <f t="shared" ca="1" si="2"/>
        <v>1.1957990759533756E+20</v>
      </c>
      <c r="P51" s="138">
        <f>courbes!AE50</f>
        <v>9.6</v>
      </c>
      <c r="Q51" s="139">
        <f t="shared" ca="1" si="3"/>
        <v>1.2197779971409479E+20</v>
      </c>
      <c r="R51" s="145"/>
      <c r="S51" s="145"/>
    </row>
    <row r="52" spans="10:19" ht="13.5" thickBot="1">
      <c r="J52" s="138">
        <f>courbes!A51</f>
        <v>4.083333333333333</v>
      </c>
      <c r="K52" s="139">
        <f t="shared" ca="1" si="0"/>
        <v>1.192088139348617E+20</v>
      </c>
      <c r="L52" s="141">
        <f>courbes!J51</f>
        <v>4.083333333333333</v>
      </c>
      <c r="M52" s="139">
        <f t="shared" ca="1" si="1"/>
        <v>1.1945972842242671E+20</v>
      </c>
      <c r="N52" s="139">
        <f>courbes!U51</f>
        <v>4.083333333333333</v>
      </c>
      <c r="O52" s="139">
        <f t="shared" ca="1" si="2"/>
        <v>1.1945682909663679E+20</v>
      </c>
      <c r="P52" s="138">
        <f>courbes!AE51</f>
        <v>9.8000000000000007</v>
      </c>
      <c r="Q52" s="139">
        <f t="shared" ca="1" si="3"/>
        <v>1.2216795217508657E+20</v>
      </c>
      <c r="R52" s="145"/>
      <c r="S52" s="145"/>
    </row>
    <row r="53" spans="10:19" ht="13.5" thickBot="1">
      <c r="J53" s="138">
        <f>courbes!A52</f>
        <v>4.166666666666667</v>
      </c>
      <c r="K53" s="139">
        <f t="shared" ca="1" si="0"/>
        <v>1.1910193194652882E+20</v>
      </c>
      <c r="L53" s="141">
        <f>courbes!J52</f>
        <v>4.166666666666667</v>
      </c>
      <c r="M53" s="139">
        <f t="shared" ca="1" si="1"/>
        <v>1.1934700428849652E+20</v>
      </c>
      <c r="N53" s="139">
        <f>courbes!U52</f>
        <v>4.166666666666667</v>
      </c>
      <c r="O53" s="139">
        <f t="shared" ca="1" si="2"/>
        <v>1.1934387597908858E+20</v>
      </c>
      <c r="Q53" s="139">
        <f t="shared" ca="1" si="3"/>
        <v>0</v>
      </c>
      <c r="R53" s="145"/>
      <c r="S53" s="145"/>
    </row>
    <row r="54" spans="10:19" ht="13.5" thickBot="1">
      <c r="J54" s="138">
        <f>courbes!A53</f>
        <v>4.25</v>
      </c>
      <c r="K54" s="139">
        <f t="shared" ca="1" si="0"/>
        <v>1.1900483258257238E+20</v>
      </c>
      <c r="L54" s="141">
        <f>courbes!J53</f>
        <v>4.25</v>
      </c>
      <c r="M54" s="139">
        <f t="shared" ca="1" si="1"/>
        <v>1.1924398308922679E+20</v>
      </c>
      <c r="N54" s="139">
        <f>courbes!U53</f>
        <v>4.25</v>
      </c>
      <c r="O54" s="139">
        <f t="shared" ca="1" si="2"/>
        <v>1.1924061669659034E+20</v>
      </c>
      <c r="Q54" s="139">
        <f t="shared" ca="1" si="3"/>
        <v>0</v>
      </c>
      <c r="R54" s="145"/>
      <c r="S54" s="145"/>
    </row>
    <row r="55" spans="10:19" ht="13.5" thickBot="1">
      <c r="J55" s="138">
        <f>courbes!A54</f>
        <v>4.333333333333333</v>
      </c>
      <c r="K55" s="139">
        <f t="shared" ca="1" si="0"/>
        <v>1.1891708805330905E+20</v>
      </c>
      <c r="L55" s="141">
        <f>courbes!J54</f>
        <v>4.333333333333333</v>
      </c>
      <c r="M55" s="139">
        <f t="shared" ca="1" si="1"/>
        <v>1.1915024713629491E+20</v>
      </c>
      <c r="N55" s="139">
        <f>courbes!U54</f>
        <v>4.333333333333333</v>
      </c>
      <c r="O55" s="139">
        <f t="shared" ca="1" si="2"/>
        <v>1.1914663347754736E+20</v>
      </c>
      <c r="Q55" s="139">
        <f t="shared" ca="1" si="3"/>
        <v>0</v>
      </c>
      <c r="R55" s="145"/>
      <c r="S55" s="145"/>
    </row>
    <row r="56" spans="10:19" ht="13.5" thickBot="1">
      <c r="J56" s="138">
        <f>courbes!A55</f>
        <v>4.416666666666667</v>
      </c>
      <c r="K56" s="139">
        <f t="shared" ca="1" si="0"/>
        <v>1.1883828443992839E+20</v>
      </c>
      <c r="L56" s="141">
        <f>courbes!J55</f>
        <v>4.416666666666667</v>
      </c>
      <c r="M56" s="139">
        <f t="shared" ca="1" si="1"/>
        <v>1.1906539203796266E+20</v>
      </c>
      <c r="N56" s="139">
        <f>courbes!U55</f>
        <v>4.416666666666667</v>
      </c>
      <c r="O56" s="139">
        <f t="shared" ca="1" si="2"/>
        <v>1.1906152191391354E+20</v>
      </c>
      <c r="Q56" s="139">
        <f t="shared" ca="1" si="3"/>
        <v>0</v>
      </c>
      <c r="R56" s="145"/>
      <c r="S56" s="145"/>
    </row>
    <row r="57" spans="10:19" ht="13.5" thickBot="1">
      <c r="J57" s="138">
        <f>courbes!A56</f>
        <v>4.5</v>
      </c>
      <c r="K57" s="139">
        <f t="shared" ca="1" si="0"/>
        <v>1.1876802127428352E+20</v>
      </c>
      <c r="L57" s="141">
        <f>courbes!J56</f>
        <v>4.5</v>
      </c>
      <c r="M57" s="139">
        <f t="shared" ca="1" si="1"/>
        <v>1.1898902625627251E+20</v>
      </c>
      <c r="N57" s="139">
        <f>courbes!U56</f>
        <v>4.5</v>
      </c>
      <c r="O57" s="139">
        <f t="shared" ca="1" si="2"/>
        <v>1.1898489056234448E+20</v>
      </c>
      <c r="Q57" s="139">
        <f t="shared" ca="1" si="3"/>
        <v>0</v>
      </c>
      <c r="R57" s="145"/>
      <c r="S57" s="145"/>
    </row>
    <row r="58" spans="10:19" ht="13.5" thickBot="1">
      <c r="J58" s="138">
        <f>courbes!A57</f>
        <v>4.583333333333333</v>
      </c>
      <c r="K58" s="139">
        <f t="shared" ca="1" si="0"/>
        <v>1.1870591113126332E+20</v>
      </c>
      <c r="L58" s="141">
        <f>courbes!J57</f>
        <v>4.583333333333333</v>
      </c>
      <c r="M58" s="139">
        <f t="shared" ca="1" si="1"/>
        <v>1.1892077066424389E+20</v>
      </c>
      <c r="N58" s="139">
        <f>courbes!U57</f>
        <v>4.583333333333333</v>
      </c>
      <c r="O58" s="139">
        <f t="shared" ca="1" si="2"/>
        <v>1.1891636055710592E+20</v>
      </c>
      <c r="Q58" s="139">
        <f t="shared" ca="1" si="3"/>
        <v>0</v>
      </c>
      <c r="R58" s="145"/>
      <c r="S58" s="145"/>
    </row>
    <row r="59" spans="10:19" ht="13.5" thickBot="1">
      <c r="J59" s="138">
        <f>courbes!A58</f>
        <v>4.666666666666667</v>
      </c>
      <c r="K59" s="139">
        <f t="shared" ca="1" si="0"/>
        <v>1.1865157923336878E+20</v>
      </c>
      <c r="L59" s="141">
        <f>courbes!J58</f>
        <v>4.666666666666667</v>
      </c>
      <c r="M59" s="139">
        <f t="shared" ca="1" si="1"/>
        <v>1.188602581030697E+20</v>
      </c>
      <c r="N59" s="139">
        <f>courbes!U58</f>
        <v>4.666666666666667</v>
      </c>
      <c r="O59" s="139">
        <f t="shared" ca="1" si="2"/>
        <v>1.188555652343893E+20</v>
      </c>
      <c r="Q59" s="139">
        <f t="shared" ca="1" si="3"/>
        <v>0</v>
      </c>
      <c r="R59" s="145"/>
      <c r="S59" s="145"/>
    </row>
    <row r="60" spans="10:19" ht="13.5" thickBot="1">
      <c r="J60" s="138">
        <f>courbes!A59</f>
        <v>4.75</v>
      </c>
      <c r="K60" s="139">
        <f t="shared" ca="1" si="0"/>
        <v>1.1860466306712794E+20</v>
      </c>
      <c r="L60" s="141">
        <f>courbes!J59</f>
        <v>4.75</v>
      </c>
      <c r="M60" s="139">
        <f t="shared" ca="1" si="1"/>
        <v>1.1880713293931263E+20</v>
      </c>
      <c r="N60" s="139">
        <f>courbes!U59</f>
        <v>4.75</v>
      </c>
      <c r="O60" s="139">
        <f t="shared" ca="1" si="2"/>
        <v>1.1880214976769994E+20</v>
      </c>
      <c r="Q60" s="139">
        <f t="shared" ca="1" si="3"/>
        <v>0</v>
      </c>
      <c r="R60" s="145"/>
      <c r="S60" s="145"/>
    </row>
    <row r="61" spans="10:19" ht="13.5" thickBot="1">
      <c r="J61" s="138">
        <f>courbes!A60</f>
        <v>4.833333333333333</v>
      </c>
      <c r="K61" s="139">
        <f t="shared" ca="1" si="0"/>
        <v>1.1856481201099424E+20</v>
      </c>
      <c r="L61" s="141">
        <f>courbes!J60</f>
        <v>4.833333333333333</v>
      </c>
      <c r="M61" s="139">
        <f t="shared" ca="1" si="1"/>
        <v>1.1876105062210131E+20</v>
      </c>
      <c r="N61" s="139">
        <f>courbes!U60</f>
        <v>4.833333333333333</v>
      </c>
      <c r="O61" s="139">
        <f t="shared" ca="1" si="2"/>
        <v>1.1875577081398911E+20</v>
      </c>
      <c r="Q61" s="139">
        <f t="shared" ca="1" si="3"/>
        <v>0</v>
      </c>
      <c r="R61" s="145"/>
      <c r="S61" s="145"/>
    </row>
    <row r="62" spans="10:19" ht="13.5" thickBot="1">
      <c r="J62" s="138">
        <f>courbes!A61</f>
        <v>4.916666666666667</v>
      </c>
      <c r="K62" s="139">
        <f t="shared" ca="1" si="0"/>
        <v>1.1853168697438436E+20</v>
      </c>
      <c r="L62" s="141">
        <f>courbes!J61</f>
        <v>4.916666666666667</v>
      </c>
      <c r="M62" s="139">
        <f t="shared" ca="1" si="1"/>
        <v>1.1872167724032691E+20</v>
      </c>
      <c r="N62" s="139">
        <f>courbes!U61</f>
        <v>4.916666666666667</v>
      </c>
      <c r="O62" s="139">
        <f t="shared" ca="1" si="2"/>
        <v>1.1871609617021479E+20</v>
      </c>
      <c r="Q62" s="139">
        <f t="shared" ca="1" si="3"/>
        <v>0</v>
      </c>
      <c r="R62" s="145"/>
      <c r="S62" s="145"/>
    </row>
    <row r="63" spans="10:19" ht="13.5" thickBot="1">
      <c r="J63" s="138">
        <f>courbes!A62</f>
        <v>5</v>
      </c>
      <c r="K63" s="139">
        <f t="shared" ca="1" si="0"/>
        <v>1.1850496004752163E+20</v>
      </c>
      <c r="L63" s="141">
        <f>courbes!J62</f>
        <v>5</v>
      </c>
      <c r="M63" s="139">
        <f t="shared" ca="1" si="1"/>
        <v>1.1868868907983936E+20</v>
      </c>
      <c r="N63" s="139">
        <f>courbes!U62</f>
        <v>5</v>
      </c>
      <c r="O63" s="139">
        <f t="shared" ca="1" si="2"/>
        <v>1.1868280444002273E+20</v>
      </c>
      <c r="Q63" s="139">
        <f t="shared" ca="1" si="3"/>
        <v>0</v>
      </c>
      <c r="R63" s="145"/>
      <c r="S63" s="145"/>
    </row>
    <row r="64" spans="10:19" ht="13.5" thickBot="1">
      <c r="J64" s="138">
        <f>courbes!A63</f>
        <v>5.083333333333333</v>
      </c>
      <c r="K64" s="139">
        <f t="shared" ca="1" si="0"/>
        <v>1.1848431416176112E+20</v>
      </c>
      <c r="L64" s="141">
        <f>courbes!J63</f>
        <v>5.083333333333333</v>
      </c>
      <c r="M64" s="139">
        <f t="shared" ca="1" si="1"/>
        <v>1.1866180561210876E+20</v>
      </c>
      <c r="N64" s="139">
        <f>courbes!U63</f>
        <v>5.083333333333333</v>
      </c>
      <c r="O64" s="139">
        <f t="shared" ca="1" si="2"/>
        <v>1.1865558471024946E+20</v>
      </c>
      <c r="Q64" s="139">
        <f t="shared" ca="1" si="3"/>
        <v>0</v>
      </c>
      <c r="R64" s="145"/>
      <c r="S64" s="145"/>
    </row>
    <row r="65" spans="10:19" ht="13.5" thickBot="1">
      <c r="J65" s="138">
        <f>courbes!A64</f>
        <v>5.166666666666667</v>
      </c>
      <c r="K65" s="139">
        <f t="shared" ca="1" si="0"/>
        <v>1.1846944276008254E+20</v>
      </c>
      <c r="L65" s="141">
        <f>courbes!J64</f>
        <v>5.166666666666667</v>
      </c>
      <c r="M65" s="139">
        <f t="shared" ca="1" si="1"/>
        <v>1.1864070341822936E+20</v>
      </c>
      <c r="N65" s="139">
        <f>courbes!U64</f>
        <v>5.166666666666667</v>
      </c>
      <c r="O65" s="139">
        <f t="shared" ca="1" si="2"/>
        <v>1.1863413623695776E+20</v>
      </c>
      <c r="Q65" s="139">
        <f t="shared" ca="1" si="3"/>
        <v>0</v>
      </c>
      <c r="R65" s="145"/>
      <c r="S65" s="145"/>
    </row>
    <row r="66" spans="10:19" ht="13.5" thickBot="1">
      <c r="J66" s="138">
        <f>courbes!A65</f>
        <v>5.25</v>
      </c>
      <c r="K66" s="139">
        <f t="shared" ca="1" si="0"/>
        <v>1.1846004947744614E+20</v>
      </c>
      <c r="L66" s="141">
        <f>courbes!J65</f>
        <v>5.25</v>
      </c>
      <c r="M66" s="139">
        <f t="shared" ca="1" si="1"/>
        <v>1.186250916599216E+20</v>
      </c>
      <c r="N66" s="139">
        <f>courbes!U65</f>
        <v>5.25</v>
      </c>
      <c r="O66" s="139">
        <f t="shared" ca="1" si="2"/>
        <v>1.1861816814072344E+20</v>
      </c>
      <c r="Q66" s="139">
        <f t="shared" ca="1" si="3"/>
        <v>0</v>
      </c>
      <c r="R66" s="145"/>
      <c r="S66" s="145"/>
    </row>
    <row r="67" spans="10:19" ht="13.5" thickBot="1">
      <c r="J67" s="138">
        <f>courbes!A66</f>
        <v>5.333333333333333</v>
      </c>
      <c r="K67" s="139">
        <f t="shared" ref="K67:K130" ca="1" si="5">INDIRECT("courbes!"&amp;INDEX($D$3:$H$10,MATCH($B$2,$C$3:$C$10,0),MATCH(K$1,$D$2:$H$2,0))&amp;ROW($J66))</f>
        <v>1.184558478307163E+20</v>
      </c>
      <c r="L67" s="141">
        <f>courbes!J66</f>
        <v>5.333333333333333</v>
      </c>
      <c r="M67" s="139">
        <f t="shared" ref="M67:M123" ca="1" si="6">INDIRECT("courbes!"&amp;INDEX($D$3:$H$10,MATCH($B$2,$C$3:$C$10,0),MATCH(M$1,$D$2:$H$2,0))&amp;ROW($J66))</f>
        <v>1.1861468904171969E+20</v>
      </c>
      <c r="N67" s="139">
        <f>courbes!U66</f>
        <v>5.333333333333333</v>
      </c>
      <c r="O67" s="139">
        <f t="shared" ref="O67:O130" ca="1" si="7">INDIRECT("courbes!"&amp;INDEX($D$3:$H$10,MATCH($B$2,$C$3:$C$10,0),MATCH(O$1,$D$2:$H$2,0))&amp;ROW($J66))</f>
        <v>1.1860739911090088E+20</v>
      </c>
      <c r="Q67" s="139">
        <f t="shared" ref="Q67:Q130" ca="1" si="8">INDIRECT("courbes!"&amp;INDEX($D$3:$H$10,MATCH($B$2,$C$3:$C$10,0),MATCH(Q$1,$D$2:$H$2,0))&amp;ROW($J66))</f>
        <v>0</v>
      </c>
      <c r="R67" s="145"/>
      <c r="S67" s="145"/>
    </row>
    <row r="68" spans="10:19" ht="13.5" thickBot="1">
      <c r="J68" s="138">
        <f>courbes!A67</f>
        <v>5.416666666666667</v>
      </c>
      <c r="K68" s="139">
        <f t="shared" ca="1" si="5"/>
        <v>1.1845656091786614E+20</v>
      </c>
      <c r="L68" s="141">
        <f>courbes!J67</f>
        <v>5.416666666666667</v>
      </c>
      <c r="M68" s="139">
        <f t="shared" ca="1" si="6"/>
        <v>1.1860922350181283E+20</v>
      </c>
      <c r="N68" s="139">
        <f>courbes!U67</f>
        <v>5.416666666666667</v>
      </c>
      <c r="O68" s="139">
        <f t="shared" ca="1" si="7"/>
        <v>1.1860155711860258E+20</v>
      </c>
      <c r="Q68" s="139">
        <f t="shared" ca="1" si="8"/>
        <v>0</v>
      </c>
      <c r="R68" s="145"/>
      <c r="S68" s="145"/>
    </row>
    <row r="69" spans="10:19" ht="13.5" thickBot="1">
      <c r="J69" s="138">
        <f>courbes!A68</f>
        <v>5.5</v>
      </c>
      <c r="K69" s="139">
        <f t="shared" ca="1" si="5"/>
        <v>1.1846192112618517E+20</v>
      </c>
      <c r="L69" s="141">
        <f>courbes!J68</f>
        <v>5.5</v>
      </c>
      <c r="M69" s="139">
        <f t="shared" ca="1" si="6"/>
        <v>1.1860843190288674E+20</v>
      </c>
      <c r="N69" s="139">
        <f>courbes!U68</f>
        <v>5.5</v>
      </c>
      <c r="O69" s="139">
        <f t="shared" ca="1" si="7"/>
        <v>1.1860037913813595E+20</v>
      </c>
      <c r="Q69" s="139">
        <f t="shared" ca="1" si="8"/>
        <v>0</v>
      </c>
      <c r="R69" s="145"/>
      <c r="S69" s="145"/>
    </row>
    <row r="70" spans="10:19" ht="13.5" thickBot="1">
      <c r="J70" s="138">
        <f>courbes!A69</f>
        <v>5.583333333333333</v>
      </c>
      <c r="K70" s="139">
        <f t="shared" ca="1" si="5"/>
        <v>1.184716698492205E+20</v>
      </c>
      <c r="L70" s="141">
        <f>courbes!J69</f>
        <v>5.583333333333333</v>
      </c>
      <c r="M70" s="139">
        <f t="shared" ca="1" si="6"/>
        <v>1.1861205972296478E+20</v>
      </c>
      <c r="N70" s="139">
        <f>courbes!U69</f>
        <v>5.583333333333333</v>
      </c>
      <c r="O70" s="139">
        <f t="shared" ca="1" si="7"/>
        <v>1.1860361087664765E+20</v>
      </c>
      <c r="Q70" s="139">
        <f t="shared" ca="1" si="8"/>
        <v>0</v>
      </c>
      <c r="R70" s="145"/>
      <c r="S70" s="145"/>
    </row>
    <row r="71" spans="10:19" ht="13.5" thickBot="1">
      <c r="J71" s="138">
        <f>courbes!A70</f>
        <v>5.666666666666667</v>
      </c>
      <c r="K71" s="139">
        <f t="shared" ca="1" si="5"/>
        <v>1.1848555721218985E+20</v>
      </c>
      <c r="L71" s="141">
        <f>courbes!J70</f>
        <v>5.666666666666667</v>
      </c>
      <c r="M71" s="139">
        <f t="shared" ca="1" si="6"/>
        <v>1.1861986074624945E+20</v>
      </c>
      <c r="N71" s="139">
        <f>courbes!U70</f>
        <v>5.666666666666667</v>
      </c>
      <c r="O71" s="139">
        <f t="shared" ca="1" si="7"/>
        <v>1.1861100651173439E+20</v>
      </c>
      <c r="Q71" s="139">
        <f t="shared" ca="1" si="8"/>
        <v>0</v>
      </c>
      <c r="R71" s="145"/>
      <c r="S71" s="145"/>
    </row>
    <row r="72" spans="10:19" ht="13.5" thickBot="1">
      <c r="J72" s="138">
        <f>courbes!A71</f>
        <v>5.75</v>
      </c>
      <c r="K72" s="139">
        <f t="shared" ca="1" si="5"/>
        <v>1.1850334180561296E+20</v>
      </c>
      <c r="L72" s="141">
        <f>courbes!J71</f>
        <v>5.75</v>
      </c>
      <c r="M72" s="139">
        <f t="shared" ca="1" si="6"/>
        <v>1.1863159675396347E+20</v>
      </c>
      <c r="N72" s="139">
        <f>courbes!U71</f>
        <v>5.75</v>
      </c>
      <c r="O72" s="139">
        <f t="shared" ca="1" si="7"/>
        <v>1.1862232843678505E+20</v>
      </c>
      <c r="Q72" s="139">
        <f t="shared" ca="1" si="8"/>
        <v>0</v>
      </c>
      <c r="R72" s="145"/>
      <c r="S72" s="145"/>
    </row>
    <row r="73" spans="10:19" ht="13.5" thickBot="1">
      <c r="J73" s="138">
        <f>courbes!A72</f>
        <v>5.833333333333333</v>
      </c>
      <c r="K73" s="139">
        <f t="shared" ca="1" si="5"/>
        <v>1.1852479042691514E+20</v>
      </c>
      <c r="L73" s="141">
        <f>courbes!J72</f>
        <v>5.833333333333333</v>
      </c>
      <c r="M73" s="139">
        <f t="shared" ca="1" si="6"/>
        <v>1.186470372151913E+20</v>
      </c>
      <c r="N73" s="139">
        <f>courbes!U72</f>
        <v>5.833333333333333</v>
      </c>
      <c r="O73" s="139">
        <f t="shared" ca="1" si="7"/>
        <v>1.186373470138262E+20</v>
      </c>
      <c r="Q73" s="139">
        <f t="shared" ca="1" si="8"/>
        <v>0</v>
      </c>
      <c r="R73" s="145"/>
      <c r="S73" s="145"/>
    </row>
    <row r="74" spans="10:19" ht="13.5" thickBot="1">
      <c r="J74" s="138">
        <f>courbes!A73</f>
        <v>5.916666666666667</v>
      </c>
      <c r="K74" s="139">
        <f t="shared" ca="1" si="5"/>
        <v>1.1854967782976455E+20</v>
      </c>
      <c r="L74" s="141">
        <f>courbes!J73</f>
        <v>5.916666666666667</v>
      </c>
      <c r="M74" s="139">
        <f t="shared" ca="1" si="6"/>
        <v>1.1866595897772043E+20</v>
      </c>
      <c r="N74" s="139">
        <f>courbes!U73</f>
        <v>5.916666666666667</v>
      </c>
      <c r="O74" s="139">
        <f t="shared" ca="1" si="7"/>
        <v>1.186558403336504E+20</v>
      </c>
      <c r="Q74" s="139">
        <f t="shared" ca="1" si="8"/>
        <v>0</v>
      </c>
      <c r="R74" s="145"/>
      <c r="S74" s="145"/>
    </row>
    <row r="75" spans="10:19" ht="13.5" thickBot="1">
      <c r="J75" s="138">
        <f>courbes!A74</f>
        <v>6</v>
      </c>
      <c r="K75" s="139">
        <f t="shared" ca="1" si="5"/>
        <v>1.1857778648091145E+20</v>
      </c>
      <c r="L75" s="141">
        <f>courbes!J74</f>
        <v>6</v>
      </c>
      <c r="M75" s="139">
        <f t="shared" ca="1" si="6"/>
        <v>1.1868814595888251E+20</v>
      </c>
      <c r="N75" s="139">
        <f>courbes!U74</f>
        <v>6</v>
      </c>
      <c r="O75" s="139">
        <f t="shared" ca="1" si="7"/>
        <v>1.1867759398301221E+20</v>
      </c>
      <c r="Q75" s="139">
        <f t="shared" ca="1" si="8"/>
        <v>0</v>
      </c>
      <c r="R75" s="145"/>
      <c r="S75" s="145"/>
    </row>
    <row r="76" spans="10:19" ht="13.5" thickBot="1">
      <c r="J76" s="138">
        <f>courbes!A75</f>
        <v>6.083333333333333</v>
      </c>
      <c r="K76" s="139">
        <f t="shared" ca="1" si="5"/>
        <v>1.1860890632430518E+20</v>
      </c>
      <c r="L76" s="141">
        <f>courbes!J75</f>
        <v>6.083333333333333</v>
      </c>
      <c r="M76" s="139">
        <f t="shared" ca="1" si="6"/>
        <v>1.1871341216949654E+20</v>
      </c>
      <c r="N76" s="139">
        <f>courbes!U75</f>
        <v>6.083333333333333</v>
      </c>
      <c r="O76" s="139">
        <f t="shared" ca="1" si="7"/>
        <v>1.1870240081868459E+20</v>
      </c>
      <c r="Q76" s="139">
        <f t="shared" ca="1" si="8"/>
        <v>0</v>
      </c>
      <c r="R76" s="145"/>
      <c r="S76" s="145"/>
    </row>
    <row r="77" spans="10:19" ht="13.5" thickBot="1">
      <c r="J77" s="138">
        <f>courbes!A76</f>
        <v>6.166666666666667</v>
      </c>
      <c r="K77" s="139">
        <f t="shared" ca="1" si="5"/>
        <v>1.1864283455227083E+20</v>
      </c>
      <c r="L77" s="141">
        <f>courbes!J76</f>
        <v>6.166666666666667</v>
      </c>
      <c r="M77" s="139">
        <f t="shared" ca="1" si="6"/>
        <v>1.1874154163880831E+20</v>
      </c>
      <c r="N77" s="139">
        <f>courbes!U76</f>
        <v>6.166666666666667</v>
      </c>
      <c r="O77" s="139">
        <f t="shared" ca="1" si="7"/>
        <v>1.1873006074817259E+20</v>
      </c>
      <c r="Q77" s="139">
        <f t="shared" ca="1" si="8"/>
        <v>0</v>
      </c>
      <c r="R77" s="145"/>
      <c r="S77" s="145"/>
    </row>
    <row r="78" spans="10:19" ht="13.5" thickBot="1">
      <c r="J78" s="138">
        <f>courbes!A77</f>
        <v>6.25</v>
      </c>
      <c r="K78" s="139">
        <f t="shared" ca="1" si="5"/>
        <v>1.1867937538353457E+20</v>
      </c>
      <c r="L78" s="141">
        <f>courbes!J77</f>
        <v>6.25</v>
      </c>
      <c r="M78" s="139">
        <f t="shared" ca="1" si="6"/>
        <v>1.1877234108723852E+20</v>
      </c>
      <c r="N78" s="139">
        <f>courbes!U77</f>
        <v>6.25</v>
      </c>
      <c r="O78" s="139">
        <f t="shared" ca="1" si="7"/>
        <v>1.1876038051688931E+20</v>
      </c>
      <c r="Q78" s="139">
        <f t="shared" ca="1" si="8"/>
        <v>0</v>
      </c>
      <c r="R78" s="145"/>
      <c r="S78" s="145"/>
    </row>
    <row r="79" spans="10:19" ht="13.5" thickBot="1">
      <c r="J79" s="138">
        <f>courbes!A78</f>
        <v>6.333333333333333</v>
      </c>
      <c r="K79" s="139">
        <f t="shared" ca="1" si="5"/>
        <v>1.187183398478926E+20</v>
      </c>
      <c r="L79" s="141">
        <f>courbes!J78</f>
        <v>6.333333333333333</v>
      </c>
      <c r="M79" s="139">
        <f t="shared" ca="1" si="6"/>
        <v>1.188056238478662E+20</v>
      </c>
      <c r="N79" s="139">
        <f>courbes!U78</f>
        <v>6.333333333333333</v>
      </c>
      <c r="O79" s="139">
        <f t="shared" ca="1" si="7"/>
        <v>1.1879317350160332E+20</v>
      </c>
      <c r="Q79" s="139">
        <f t="shared" ca="1" si="8"/>
        <v>0</v>
      </c>
      <c r="R79" s="145"/>
      <c r="S79" s="145"/>
    </row>
    <row r="80" spans="10:19" ht="13.5" thickBot="1">
      <c r="J80" s="138">
        <f>courbes!A79</f>
        <v>6.416666666666667</v>
      </c>
      <c r="K80" s="139">
        <f t="shared" ca="1" si="5"/>
        <v>1.1875954557732504E+20</v>
      </c>
      <c r="L80" s="141">
        <f>courbes!J79</f>
        <v>6.416666666666667</v>
      </c>
      <c r="M80" s="139">
        <f t="shared" ca="1" si="6"/>
        <v>1.1884120965056289E+20</v>
      </c>
      <c r="N80" s="139">
        <f>courbes!U79</f>
        <v>6.416666666666667</v>
      </c>
      <c r="O80" s="139">
        <f t="shared" ca="1" si="7"/>
        <v>1.1882825950997286E+20</v>
      </c>
      <c r="Q80" s="139">
        <f t="shared" ca="1" si="8"/>
        <v>0</v>
      </c>
      <c r="R80" s="145"/>
      <c r="S80" s="145"/>
    </row>
    <row r="81" spans="10:19" ht="13.5" thickBot="1">
      <c r="J81" s="138">
        <f>courbes!A80</f>
        <v>6.5</v>
      </c>
      <c r="K81" s="139">
        <f t="shared" ca="1" si="5"/>
        <v>1.1880281660336189E+20</v>
      </c>
      <c r="L81" s="141">
        <f>courbes!J80</f>
        <v>6.5</v>
      </c>
      <c r="M81" s="139">
        <f t="shared" ca="1" si="6"/>
        <v>1.1887892440612676E+20</v>
      </c>
      <c r="N81" s="139">
        <f>courbes!U80</f>
        <v>6.5</v>
      </c>
      <c r="O81" s="139">
        <f t="shared" ca="1" si="7"/>
        <v>1.1886546458598811E+20</v>
      </c>
      <c r="Q81" s="139">
        <f t="shared" ca="1" si="8"/>
        <v>0</v>
      </c>
      <c r="R81" s="145"/>
      <c r="S81" s="145"/>
    </row>
    <row r="82" spans="10:19" ht="13.5" thickBot="1">
      <c r="J82" s="138">
        <f>courbes!A81</f>
        <v>6.583333333333333</v>
      </c>
      <c r="K82" s="139">
        <f t="shared" ca="1" si="5"/>
        <v>1.1884798316051428E+20</v>
      </c>
      <c r="L82" s="141">
        <f>courbes!J81</f>
        <v>6.583333333333333</v>
      </c>
      <c r="M82" s="139">
        <f t="shared" ca="1" si="6"/>
        <v>1.1891859999041726E+20</v>
      </c>
      <c r="N82" s="139">
        <f>courbes!U81</f>
        <v>6.583333333333333</v>
      </c>
      <c r="O82" s="139">
        <f t="shared" ca="1" si="7"/>
        <v>1.1890462082114712E+20</v>
      </c>
      <c r="Q82" s="139">
        <f t="shared" ca="1" si="8"/>
        <v>0</v>
      </c>
    </row>
    <row r="83" spans="10:19" ht="13.5" thickBot="1">
      <c r="J83" s="138">
        <f>courbes!A82</f>
        <v>6.666666666666667</v>
      </c>
      <c r="K83" s="139">
        <f t="shared" ca="1" si="5"/>
        <v>1.1889488149558931E+20</v>
      </c>
      <c r="L83" s="141">
        <f>courbes!J82</f>
        <v>6.666666666666667</v>
      </c>
      <c r="M83" s="139">
        <f t="shared" ca="1" si="6"/>
        <v>1.1896007402848926E+20</v>
      </c>
      <c r="N83" s="139">
        <f>courbes!U82</f>
        <v>6.666666666666667</v>
      </c>
      <c r="O83" s="139">
        <f t="shared" ca="1" si="7"/>
        <v>1.189455661711971E+20</v>
      </c>
      <c r="Q83" s="139">
        <f t="shared" ca="1" si="8"/>
        <v>0</v>
      </c>
    </row>
    <row r="84" spans="10:19" ht="13.5" thickBot="1">
      <c r="J84" s="138">
        <f>courbes!A83</f>
        <v>6.75</v>
      </c>
      <c r="K84" s="139">
        <f t="shared" ca="1" si="5"/>
        <v>1.1894335368271279E+20</v>
      </c>
      <c r="L84" s="141">
        <f>courbes!J83</f>
        <v>6.75</v>
      </c>
      <c r="M84" s="139">
        <f t="shared" ca="1" si="6"/>
        <v>1.1900318967872725E+20</v>
      </c>
      <c r="N84" s="139">
        <f>courbes!U83</f>
        <v>6.75</v>
      </c>
      <c r="O84" s="139">
        <f t="shared" ca="1" si="7"/>
        <v>1.1898814427827687E+20</v>
      </c>
      <c r="Q84" s="139">
        <f t="shared" ca="1" si="8"/>
        <v>0</v>
      </c>
    </row>
    <row r="85" spans="10:19" ht="13.5" thickBot="1">
      <c r="J85" s="138">
        <f>courbes!A84</f>
        <v>6.833333333333333</v>
      </c>
      <c r="K85" s="139">
        <f t="shared" ca="1" si="5"/>
        <v>1.1899324744388916E+20</v>
      </c>
      <c r="L85" s="141">
        <f>courbes!J84</f>
        <v>6.833333333333333</v>
      </c>
      <c r="M85" s="139">
        <f t="shared" ca="1" si="6"/>
        <v>1.190477954169798E+20</v>
      </c>
      <c r="N85" s="139">
        <f>courbes!U84</f>
        <v>6.833333333333333</v>
      </c>
      <c r="O85" s="139">
        <f t="shared" ca="1" si="7"/>
        <v>1.190322042983019E+20</v>
      </c>
      <c r="Q85" s="139">
        <f t="shared" ca="1" si="8"/>
        <v>0</v>
      </c>
    </row>
    <row r="86" spans="10:19" ht="13.5" thickBot="1">
      <c r="J86" s="138">
        <f>courbes!A85</f>
        <v>6.916666666666667</v>
      </c>
      <c r="K86" s="139">
        <f t="shared" ca="1" si="5"/>
        <v>1.1904441597493302E+20</v>
      </c>
      <c r="L86" s="141">
        <f>courbes!J85</f>
        <v>6.916666666666667</v>
      </c>
      <c r="M86" s="139">
        <f t="shared" ca="1" si="6"/>
        <v>1.1909374482069384E+20</v>
      </c>
      <c r="N86" s="139">
        <f>courbes!U85</f>
        <v>6.916666666666667</v>
      </c>
      <c r="O86" s="139">
        <f t="shared" ca="1" si="7"/>
        <v>1.1907760073343774E+20</v>
      </c>
      <c r="Q86" s="139">
        <f t="shared" ca="1" si="8"/>
        <v>0</v>
      </c>
    </row>
    <row r="87" spans="10:19" ht="13.5" thickBot="1">
      <c r="J87" s="138">
        <f>courbes!A86</f>
        <v>7</v>
      </c>
      <c r="K87" s="139">
        <f t="shared" ca="1" si="5"/>
        <v>1.1909671777661166E+20</v>
      </c>
      <c r="L87" s="141">
        <f>courbes!J86</f>
        <v>7</v>
      </c>
      <c r="M87" s="139">
        <f t="shared" ca="1" si="6"/>
        <v>1.1914089635304884E+20</v>
      </c>
      <c r="N87" s="139">
        <f>courbes!U86</f>
        <v>7</v>
      </c>
      <c r="O87" s="139">
        <f t="shared" ca="1" si="7"/>
        <v>1.191241932695118E+20</v>
      </c>
      <c r="Q87" s="139">
        <f t="shared" ca="1" si="8"/>
        <v>0</v>
      </c>
    </row>
    <row r="88" spans="10:19" ht="13.5" thickBot="1">
      <c r="J88" s="138">
        <f>courbes!A87</f>
        <v>7.083333333333333</v>
      </c>
      <c r="K88" s="139">
        <f t="shared" ca="1" si="5"/>
        <v>1.1915001649084295E+20</v>
      </c>
      <c r="L88" s="141">
        <f>courbes!J87</f>
        <v>7.083333333333333</v>
      </c>
      <c r="M88" s="139">
        <f t="shared" ca="1" si="6"/>
        <v>1.1918912943913681E+20</v>
      </c>
      <c r="N88" s="139">
        <f>courbes!U87</f>
        <v>7.083333333333333</v>
      </c>
      <c r="O88" s="139">
        <f t="shared" ca="1" si="7"/>
        <v>1.1917184661821848E+20</v>
      </c>
      <c r="Q88" s="139">
        <f t="shared" ca="1" si="8"/>
        <v>0</v>
      </c>
    </row>
    <row r="89" spans="10:19" ht="13.5" thickBot="1">
      <c r="J89" s="138">
        <f>courbes!A88</f>
        <v>7.166666666666667</v>
      </c>
      <c r="K89" s="139">
        <f t="shared" ca="1" si="5"/>
        <v>1.1920418074179743E+20</v>
      </c>
      <c r="L89" s="141">
        <f>courbes!J88</f>
        <v>7.166666666666667</v>
      </c>
      <c r="M89" s="139">
        <f t="shared" ca="1" si="6"/>
        <v>1.1923830251988946E+20</v>
      </c>
      <c r="N89" s="139">
        <f>courbes!U88</f>
        <v>7.166666666666667</v>
      </c>
      <c r="O89" s="139">
        <f t="shared" ca="1" si="7"/>
        <v>1.1922043036397658E+20</v>
      </c>
      <c r="Q89" s="139">
        <f t="shared" ca="1" si="8"/>
        <v>0</v>
      </c>
    </row>
    <row r="90" spans="10:19" ht="13.5" thickBot="1">
      <c r="J90" s="138">
        <f>courbes!A89</f>
        <v>7.25</v>
      </c>
      <c r="K90" s="139">
        <f t="shared" ca="1" si="5"/>
        <v>1.1925908398175804E+20</v>
      </c>
      <c r="L90" s="141">
        <f>courbes!J89</f>
        <v>7.25</v>
      </c>
      <c r="M90" s="139">
        <f t="shared" ca="1" si="6"/>
        <v>1.1928828982923649E+20</v>
      </c>
      <c r="N90" s="139">
        <f>courbes!U89</f>
        <v>7.25</v>
      </c>
      <c r="O90" s="139">
        <f t="shared" ca="1" si="7"/>
        <v>1.1926981881530237E+20</v>
      </c>
      <c r="Q90" s="139">
        <f t="shared" ca="1" si="8"/>
        <v>0</v>
      </c>
    </row>
    <row r="91" spans="10:19" ht="13.5" thickBot="1">
      <c r="J91" s="138">
        <f>courbes!A90</f>
        <v>7.333333333333333</v>
      </c>
      <c r="K91" s="139">
        <f t="shared" ca="1" si="5"/>
        <v>1.1931460434159541E+20</v>
      </c>
      <c r="L91" s="141">
        <f>courbes!J90</f>
        <v>7.333333333333333</v>
      </c>
      <c r="M91" s="139">
        <f t="shared" ca="1" si="6"/>
        <v>1.1933897016790301E+20</v>
      </c>
      <c r="N91" s="139">
        <f>courbes!U90</f>
        <v>7.333333333333333</v>
      </c>
      <c r="O91" s="139">
        <f t="shared" ca="1" si="7"/>
        <v>1.1931989086056546E+20</v>
      </c>
      <c r="Q91" s="139">
        <f t="shared" ca="1" si="8"/>
        <v>0</v>
      </c>
    </row>
    <row r="92" spans="10:19" ht="13.5" thickBot="1">
      <c r="J92" s="138">
        <f>courbes!A91</f>
        <v>7.416666666666667</v>
      </c>
      <c r="K92" s="139">
        <f t="shared" ca="1" si="5"/>
        <v>1.1937062448572067E+20</v>
      </c>
      <c r="L92" s="141">
        <f>courbes!J91</f>
        <v>7.416666666666667</v>
      </c>
      <c r="M92" s="139">
        <f t="shared" ca="1" si="6"/>
        <v>1.1939022675269732E+20</v>
      </c>
      <c r="N92" s="139">
        <f>courbes!U91</f>
        <v>7.416666666666667</v>
      </c>
      <c r="O92" s="139">
        <f t="shared" ca="1" si="7"/>
        <v>1.1937052982799806E+20</v>
      </c>
      <c r="Q92" s="139">
        <f t="shared" ca="1" si="8"/>
        <v>0</v>
      </c>
    </row>
    <row r="93" spans="10:19" ht="13.5" thickBot="1">
      <c r="J93" s="138">
        <f>courbes!A92</f>
        <v>7.5</v>
      </c>
      <c r="K93" s="139">
        <f t="shared" ca="1" si="5"/>
        <v>1.1942703147138227E+20</v>
      </c>
      <c r="L93" s="141">
        <f>courbes!J92</f>
        <v>7.5</v>
      </c>
      <c r="M93" s="139">
        <f t="shared" ca="1" si="6"/>
        <v>1.1944194706579823E+20</v>
      </c>
      <c r="N93" s="139">
        <f>courbes!U92</f>
        <v>7.5</v>
      </c>
      <c r="O93" s="139">
        <f t="shared" ca="1" si="7"/>
        <v>1.1942162334983358E+20</v>
      </c>
      <c r="Q93" s="139">
        <f t="shared" ca="1" si="8"/>
        <v>0</v>
      </c>
    </row>
    <row r="94" spans="10:19" ht="13.5" thickBot="1">
      <c r="J94" s="138">
        <f>courbes!A93</f>
        <v>7.583333333333333</v>
      </c>
      <c r="K94" s="139">
        <f t="shared" ca="1" si="5"/>
        <v>1.1948371661217674E+20</v>
      </c>
      <c r="L94" s="141">
        <f>courbes!J93</f>
        <v>7.583333333333333</v>
      </c>
      <c r="M94" s="139">
        <f t="shared" ca="1" si="6"/>
        <v>1.194940227040427E+20</v>
      </c>
      <c r="N94" s="139">
        <f>courbes!U93</f>
        <v>7.583333333333333</v>
      </c>
      <c r="O94" s="139">
        <f t="shared" ca="1" si="7"/>
        <v>1.1947306323045278E+20</v>
      </c>
      <c r="Q94" s="139">
        <f t="shared" ca="1" si="8"/>
        <v>0</v>
      </c>
    </row>
    <row r="95" spans="10:19" ht="13.5" thickBot="1">
      <c r="J95" s="138">
        <f>courbes!A94</f>
        <v>7.666666666666667</v>
      </c>
      <c r="K95" s="139">
        <f t="shared" ca="1" si="5"/>
        <v>1.1954057534564788E+20</v>
      </c>
      <c r="L95" s="141">
        <f>courbes!J94</f>
        <v>7.666666666666667</v>
      </c>
      <c r="M95" s="139">
        <f t="shared" ca="1" si="6"/>
        <v>1.195463492282134E+20</v>
      </c>
      <c r="N95" s="139">
        <f>courbes!U94</f>
        <v>7.666666666666667</v>
      </c>
      <c r="O95" s="139">
        <f t="shared" ca="1" si="7"/>
        <v>1.1952474531841909E+20</v>
      </c>
      <c r="Q95" s="139">
        <f t="shared" ca="1" si="8"/>
        <v>0</v>
      </c>
    </row>
    <row r="96" spans="10:19" ht="13.5" thickBot="1">
      <c r="J96" s="138">
        <f>courbes!A95</f>
        <v>7.75</v>
      </c>
      <c r="K96" s="139">
        <f t="shared" ca="1" si="5"/>
        <v>1.195975071048519E+20</v>
      </c>
      <c r="L96" s="141">
        <f>courbes!J95</f>
        <v>7.75</v>
      </c>
      <c r="M96" s="139">
        <f t="shared" ca="1" si="6"/>
        <v>1.1959882601232615E+20</v>
      </c>
      <c r="N96" s="139">
        <f>courbes!U95</f>
        <v>7.75</v>
      </c>
      <c r="O96" s="139">
        <f t="shared" ca="1" si="7"/>
        <v>1.1957656938228944E+20</v>
      </c>
      <c r="Q96" s="139">
        <f t="shared" ca="1" si="8"/>
        <v>0</v>
      </c>
      <c r="R96" s="153"/>
      <c r="S96" s="153"/>
    </row>
    <row r="97" spans="10:19" ht="13.5" thickBot="1">
      <c r="J97" s="138">
        <f>courbes!A96</f>
        <v>7.833333333333333</v>
      </c>
      <c r="K97" s="139">
        <f t="shared" ca="1" si="5"/>
        <v>1.1965441519377056E+20</v>
      </c>
      <c r="L97" s="141">
        <f>courbes!J96</f>
        <v>7.833333333333333</v>
      </c>
      <c r="M97" s="139">
        <f t="shared" ca="1" si="6"/>
        <v>1.1965135609291743E+20</v>
      </c>
      <c r="N97" s="139">
        <f>courbes!U96</f>
        <v>7.833333333333333</v>
      </c>
      <c r="O97" s="139">
        <f t="shared" ca="1" si="7"/>
        <v>1.1962843899009004E+20</v>
      </c>
      <c r="Q97" s="139">
        <f t="shared" ca="1" si="8"/>
        <v>0</v>
      </c>
      <c r="R97" s="153"/>
      <c r="S97" s="153"/>
    </row>
    <row r="98" spans="10:19" ht="13.5" thickBot="1">
      <c r="J98" s="138">
        <f>courbes!A97</f>
        <v>7.916666666666667</v>
      </c>
      <c r="K98" s="139">
        <f t="shared" ca="1" si="5"/>
        <v>1.1971120666645694E+20</v>
      </c>
      <c r="L98" s="141">
        <f>courbes!J97</f>
        <v>7.916666666666667</v>
      </c>
      <c r="M98" s="139">
        <f t="shared" ca="1" si="6"/>
        <v>1.1970384601833198E+20</v>
      </c>
      <c r="N98" s="139">
        <f>courbes!U97</f>
        <v>7.916666666666667</v>
      </c>
      <c r="O98" s="139">
        <f t="shared" ca="1" si="7"/>
        <v>1.1968026139234807E+20</v>
      </c>
      <c r="Q98" s="139">
        <f t="shared" ca="1" si="8"/>
        <v>0</v>
      </c>
      <c r="R98" s="153"/>
      <c r="S98" s="153"/>
    </row>
    <row r="99" spans="10:19" ht="13.5" thickBot="1">
      <c r="J99" s="138">
        <f>courbes!A98</f>
        <v>8</v>
      </c>
      <c r="K99" s="139">
        <f t="shared" ca="1" si="5"/>
        <v>1.1976779220980281E+20</v>
      </c>
      <c r="L99" s="141">
        <f>courbes!J98</f>
        <v>8</v>
      </c>
      <c r="M99" s="139">
        <f t="shared" ca="1" si="6"/>
        <v>1.1975620569801028E+20</v>
      </c>
      <c r="N99" s="139">
        <f>courbes!U98</f>
        <v>8</v>
      </c>
      <c r="O99" s="139">
        <f t="shared" ca="1" si="7"/>
        <v>1.1973194740857641E+20</v>
      </c>
      <c r="Q99" s="139">
        <f t="shared" ca="1" si="8"/>
        <v>0</v>
      </c>
      <c r="R99" s="153"/>
      <c r="S99" s="153"/>
    </row>
    <row r="100" spans="10:19" ht="13.5" thickBot="1">
      <c r="J100" s="138">
        <f>courbes!A99</f>
        <v>8.0833333333333339</v>
      </c>
      <c r="K100" s="139">
        <f t="shared" ca="1" si="5"/>
        <v>1.1982408602981915E+20</v>
      </c>
      <c r="L100" s="141">
        <f>courbes!J99</f>
        <v>8.0833333333333339</v>
      </c>
      <c r="M100" s="139">
        <f t="shared" ca="1" si="6"/>
        <v>1.1980835963261544E+20</v>
      </c>
      <c r="N100" s="139">
        <f>courbes!U99</f>
        <v>8.0833333333333339</v>
      </c>
      <c r="O100" s="139">
        <f t="shared" ca="1" si="7"/>
        <v>1.197834113171087E+20</v>
      </c>
      <c r="Q100" s="139">
        <f t="shared" ca="1" si="8"/>
        <v>0</v>
      </c>
      <c r="R100" s="153"/>
      <c r="S100" s="153"/>
    </row>
    <row r="101" spans="10:19" ht="13.5" thickBot="1">
      <c r="J101" s="138">
        <f>courbes!A100</f>
        <v>8.1666666666666661</v>
      </c>
      <c r="K101" s="139">
        <f t="shared" ca="1" si="5"/>
        <v>1.1988000574132539E+20</v>
      </c>
      <c r="L101" s="141">
        <f>courbes!J100</f>
        <v>8.1666666666666661</v>
      </c>
      <c r="M101" s="139">
        <f t="shared" ca="1" si="6"/>
        <v>1.1986021761302816E+20</v>
      </c>
      <c r="N101" s="139">
        <f>courbes!U100</f>
        <v>8.1666666666666661</v>
      </c>
      <c r="O101" s="139">
        <f t="shared" ca="1" si="7"/>
        <v>1.1983457074818694E+20</v>
      </c>
      <c r="Q101" s="139">
        <f t="shared" ca="1" si="8"/>
        <v>0</v>
      </c>
      <c r="R101" s="153"/>
      <c r="S101" s="153"/>
    </row>
    <row r="102" spans="10:19" ht="13.5" thickBot="1">
      <c r="J102" s="138">
        <f>courbes!A101</f>
        <v>8.25</v>
      </c>
      <c r="K102" s="139">
        <f t="shared" ca="1" si="5"/>
        <v>1.1993547226094513E+20</v>
      </c>
      <c r="L102" s="141">
        <f>courbes!J101</f>
        <v>8.25</v>
      </c>
      <c r="M102" s="139">
        <f t="shared" ca="1" si="6"/>
        <v>1.1991170041050869E+20</v>
      </c>
      <c r="N102" s="139">
        <f>courbes!U101</f>
        <v>8.25</v>
      </c>
      <c r="O102" s="139">
        <f t="shared" ca="1" si="7"/>
        <v>1.1988534658020621E+20</v>
      </c>
      <c r="Q102" s="139">
        <f t="shared" ca="1" si="8"/>
        <v>0</v>
      </c>
      <c r="R102" s="153"/>
      <c r="S102" s="153"/>
    </row>
    <row r="103" spans="10:19" ht="13.5" thickBot="1">
      <c r="J103" s="138">
        <f>courbes!A102</f>
        <v>8.3333333333333339</v>
      </c>
      <c r="K103" s="139">
        <f t="shared" ca="1" si="5"/>
        <v>1.199904097033102E+20</v>
      </c>
      <c r="L103" s="141">
        <f>courbes!J102</f>
        <v>8.3333333333333339</v>
      </c>
      <c r="M103" s="139">
        <f t="shared" ca="1" si="6"/>
        <v>1.1996273193499722E+20</v>
      </c>
      <c r="N103" s="139">
        <f>courbes!U102</f>
        <v>8.3333333333333339</v>
      </c>
      <c r="O103" s="139">
        <f t="shared" ca="1" si="7"/>
        <v>1.1993566283902329E+20</v>
      </c>
      <c r="P103" s="153"/>
      <c r="Q103" s="139">
        <f t="shared" ca="1" si="8"/>
        <v>0</v>
      </c>
      <c r="R103" s="153"/>
      <c r="S103" s="153"/>
    </row>
    <row r="104" spans="10:19" ht="13.5" thickBot="1">
      <c r="J104" s="138">
        <f>courbes!A103</f>
        <v>8.4166666666666661</v>
      </c>
      <c r="K104" s="139">
        <f t="shared" ca="1" si="5"/>
        <v>1.2004474528037685E+20</v>
      </c>
      <c r="L104" s="141">
        <f>courbes!J103</f>
        <v>8.4166666666666661</v>
      </c>
      <c r="M104" s="139">
        <f t="shared" ca="1" si="6"/>
        <v>1.2001323912992332E+20</v>
      </c>
      <c r="N104" s="139">
        <f>courbes!U103</f>
        <v>8.4166666666666661</v>
      </c>
      <c r="O104" s="139">
        <f t="shared" ca="1" si="7"/>
        <v>1.1998544660023974E+20</v>
      </c>
      <c r="P104" s="153"/>
      <c r="Q104" s="139">
        <f t="shared" ca="1" si="8"/>
        <v>0</v>
      </c>
      <c r="R104" s="153"/>
      <c r="S104" s="153"/>
    </row>
    <row r="105" spans="10:19" ht="13.5" thickBot="1">
      <c r="J105" s="138">
        <f>courbes!A104</f>
        <v>8.5</v>
      </c>
      <c r="K105" s="139">
        <f t="shared" ca="1" si="5"/>
        <v>1.2009840920376164E+20</v>
      </c>
      <c r="L105" s="141">
        <f>courbes!J104</f>
        <v>8.5</v>
      </c>
      <c r="M105" s="139">
        <f t="shared" ca="1" si="6"/>
        <v>1.2006315186701541E+20</v>
      </c>
      <c r="N105" s="139">
        <f>courbes!U104</f>
        <v>8.5</v>
      </c>
      <c r="O105" s="139">
        <f t="shared" ca="1" si="7"/>
        <v>1.2003462789437132E+20</v>
      </c>
      <c r="P105" s="153"/>
      <c r="Q105" s="139">
        <f t="shared" ca="1" si="8"/>
        <v>0</v>
      </c>
      <c r="R105" s="153"/>
      <c r="S105" s="153"/>
    </row>
    <row r="106" spans="10:19" ht="13.5" thickBot="1">
      <c r="J106" s="138">
        <f>courbes!A105</f>
        <v>8.5833333333333339</v>
      </c>
      <c r="K106" s="139">
        <f t="shared" ca="1" si="5"/>
        <v>1.2015133459000671E+20</v>
      </c>
      <c r="L106" s="141">
        <f>courbes!J105</f>
        <v>8.5833333333333339</v>
      </c>
      <c r="M106" s="139">
        <f t="shared" ca="1" si="6"/>
        <v>1.2011240284111032E+20</v>
      </c>
      <c r="N106" s="139">
        <f>courbes!U105</f>
        <v>8.5833333333333339</v>
      </c>
      <c r="O106" s="139">
        <f t="shared" ca="1" si="7"/>
        <v>1.2008313961482045E+20</v>
      </c>
      <c r="P106" s="153"/>
      <c r="Q106" s="139">
        <f t="shared" ca="1" si="8"/>
        <v>0</v>
      </c>
      <c r="R106" s="153"/>
      <c r="S106" s="153"/>
    </row>
    <row r="107" spans="10:19" ht="13.5" thickBot="1">
      <c r="J107" s="138">
        <f>courbes!A106</f>
        <v>8.6666666666666661</v>
      </c>
      <c r="K107" s="139">
        <f t="shared" ca="1" si="5"/>
        <v>1.2020345736868708E+20</v>
      </c>
      <c r="L107" s="141">
        <f>courbes!J106</f>
        <v>8.6666666666666661</v>
      </c>
      <c r="M107" s="139">
        <f t="shared" ca="1" si="6"/>
        <v>1.2016092746496247E+20</v>
      </c>
      <c r="N107" s="139">
        <f>courbes!U106</f>
        <v>8.6666666666666661</v>
      </c>
      <c r="O107" s="139">
        <f t="shared" ca="1" si="7"/>
        <v>1.2013091742856779E+20</v>
      </c>
      <c r="P107" s="153"/>
      <c r="Q107" s="139">
        <f t="shared" ca="1" si="8"/>
        <v>0</v>
      </c>
      <c r="R107" s="153"/>
      <c r="S107" s="153"/>
    </row>
    <row r="108" spans="10:19" ht="13.5" thickBot="1">
      <c r="J108" s="138">
        <f>courbes!A107</f>
        <v>8.75</v>
      </c>
      <c r="K108" s="139">
        <f t="shared" ca="1" si="5"/>
        <v>1.2025471619327536E+20</v>
      </c>
      <c r="L108" s="141">
        <f>courbes!J107</f>
        <v>8.75</v>
      </c>
      <c r="M108" s="139">
        <f t="shared" ca="1" si="6"/>
        <v>1.2020866376405359E+20</v>
      </c>
      <c r="N108" s="139">
        <f>courbes!U107</f>
        <v>8.75</v>
      </c>
      <c r="O108" s="139">
        <f t="shared" ca="1" si="7"/>
        <v>1.20177899689504E+20</v>
      </c>
      <c r="P108" s="153"/>
      <c r="Q108" s="139">
        <f t="shared" ca="1" si="8"/>
        <v>0</v>
      </c>
      <c r="R108" s="153"/>
      <c r="S108" s="153"/>
    </row>
    <row r="109" spans="10:19" ht="13.5" thickBot="1">
      <c r="J109" s="138">
        <f>courbes!A108</f>
        <v>8.8333333333333339</v>
      </c>
      <c r="K109" s="139">
        <f t="shared" ca="1" si="5"/>
        <v>1.2030505235468145E+20</v>
      </c>
      <c r="L109" s="141">
        <f>courbes!J108</f>
        <v>8.8333333333333339</v>
      </c>
      <c r="M109" s="139">
        <f t="shared" ca="1" si="6"/>
        <v>1.2025555227140201E+20</v>
      </c>
      <c r="N109" s="139">
        <f>courbes!U108</f>
        <v>8.8333333333333339</v>
      </c>
      <c r="O109" s="139">
        <f t="shared" ca="1" si="7"/>
        <v>1.2022402735432429E+20</v>
      </c>
      <c r="P109" s="153"/>
      <c r="Q109" s="139">
        <f t="shared" ca="1" si="8"/>
        <v>0</v>
      </c>
      <c r="R109" s="153"/>
      <c r="S109" s="153"/>
    </row>
    <row r="110" spans="10:19" ht="13.5" thickBot="1">
      <c r="J110" s="138">
        <f>courbes!A109</f>
        <v>8.9166666666666661</v>
      </c>
      <c r="K110" s="139">
        <f t="shared" ca="1" si="5"/>
        <v>1.2035440969738766E+20</v>
      </c>
      <c r="L110" s="141">
        <f>courbes!J109</f>
        <v>8.9166666666666661</v>
      </c>
      <c r="M110" s="139">
        <f t="shared" ca="1" si="6"/>
        <v>1.2030153592237213E+20</v>
      </c>
      <c r="N110" s="139">
        <f>courbes!U109</f>
        <v>8.9166666666666661</v>
      </c>
      <c r="O110" s="139">
        <f t="shared" ca="1" si="7"/>
        <v>1.2026924390090988E+20</v>
      </c>
      <c r="P110" s="153"/>
      <c r="Q110" s="139">
        <f t="shared" ca="1" si="8"/>
        <v>0</v>
      </c>
      <c r="R110" s="153"/>
      <c r="S110" s="153"/>
    </row>
    <row r="111" spans="10:19" ht="13.5" thickBot="1">
      <c r="J111" s="138">
        <f>courbes!A110</f>
        <v>9</v>
      </c>
      <c r="K111" s="139">
        <f t="shared" ca="1" si="5"/>
        <v>1.2040273453810167E+20</v>
      </c>
      <c r="L111" s="141">
        <f>courbes!J110</f>
        <v>9</v>
      </c>
      <c r="M111" s="139">
        <f t="shared" ca="1" si="6"/>
        <v>1.2034655994948403E+20</v>
      </c>
      <c r="N111" s="139">
        <f>courbes!U110</f>
        <v>9</v>
      </c>
      <c r="O111" s="139">
        <f t="shared" ca="1" si="7"/>
        <v>1.2031349524912466E+20</v>
      </c>
      <c r="P111" s="153"/>
      <c r="Q111" s="139">
        <f t="shared" ca="1" si="8"/>
        <v>0</v>
      </c>
      <c r="R111" s="153"/>
      <c r="S111" s="153"/>
    </row>
    <row r="112" spans="10:19" ht="13.5" thickBot="1">
      <c r="J112" s="138">
        <f>courbes!A111</f>
        <v>9.0833333333333339</v>
      </c>
      <c r="K112" s="139">
        <f t="shared" ca="1" si="5"/>
        <v>1.2044997558685255E+20</v>
      </c>
      <c r="L112" s="141">
        <f>courbes!J111</f>
        <v>9.0833333333333339</v>
      </c>
      <c r="M112" s="139">
        <f t="shared" ca="1" si="6"/>
        <v>1.2039057973098211E+20</v>
      </c>
      <c r="N112" s="139">
        <f>courbes!U111</f>
        <v>9.0833333333333339</v>
      </c>
      <c r="O112" s="139">
        <f t="shared" ca="1" si="7"/>
        <v>1.2035672968395402E+20</v>
      </c>
      <c r="P112" s="153"/>
      <c r="Q112" s="139">
        <f t="shared" ca="1" si="8"/>
        <v>0</v>
      </c>
      <c r="R112" s="153"/>
      <c r="S112" s="153"/>
    </row>
    <row r="113" spans="10:19" ht="13.5" thickBot="1">
      <c r="J113" s="138">
        <f>courbes!A112</f>
        <v>9.1666666666666661</v>
      </c>
      <c r="K113" s="139">
        <f t="shared" ca="1" si="5"/>
        <v>1.2049608387045674E+20</v>
      </c>
      <c r="L113" s="141">
        <f>courbes!J112</f>
        <v>9.1666666666666661</v>
      </c>
      <c r="M113" s="139">
        <f t="shared" ca="1" si="6"/>
        <v>1.2043354031359261E+20</v>
      </c>
      <c r="N113" s="139">
        <f>courbes!U112</f>
        <v>9.1666666666666661</v>
      </c>
      <c r="O113" s="139">
        <f t="shared" ca="1" si="7"/>
        <v>1.2039889778091986E+20</v>
      </c>
      <c r="P113" s="153"/>
      <c r="Q113" s="139">
        <f t="shared" ca="1" si="8"/>
        <v>0</v>
      </c>
      <c r="R113" s="153"/>
      <c r="S113" s="153"/>
    </row>
    <row r="114" spans="10:19" ht="13.5" thickBot="1">
      <c r="J114" s="138">
        <f>courbes!A113</f>
        <v>9.25</v>
      </c>
      <c r="K114" s="139">
        <f t="shared" ca="1" si="5"/>
        <v>1.2054101265828345E+20</v>
      </c>
      <c r="L114" s="141">
        <f>courbes!J113</f>
        <v>9.25</v>
      </c>
      <c r="M114" s="139">
        <f t="shared" ca="1" si="6"/>
        <v>1.2047539436634703E+20</v>
      </c>
      <c r="N114" s="139">
        <f>courbes!U113</f>
        <v>9.25</v>
      </c>
      <c r="O114" s="139">
        <f t="shared" ca="1" si="7"/>
        <v>1.2043995233370256E+20</v>
      </c>
      <c r="P114" s="153"/>
      <c r="Q114" s="139">
        <f t="shared" ca="1" si="8"/>
        <v>0</v>
      </c>
      <c r="R114" s="153"/>
      <c r="S114" s="153"/>
    </row>
    <row r="115" spans="10:19" ht="13.5" thickBot="1">
      <c r="J115" s="138">
        <f>courbes!A114</f>
        <v>9.3333333333333339</v>
      </c>
      <c r="K115" s="139">
        <f t="shared" ca="1" si="5"/>
        <v>1.2058471739025108E+20</v>
      </c>
      <c r="L115" s="141">
        <f>courbes!J114</f>
        <v>9.3333333333333339</v>
      </c>
      <c r="M115" s="139">
        <f t="shared" ca="1" si="6"/>
        <v>1.2051609670058315E+20</v>
      </c>
      <c r="N115" s="139">
        <f>courbes!U114</f>
        <v>9.3333333333333339</v>
      </c>
      <c r="O115" s="139">
        <f t="shared" ca="1" si="7"/>
        <v>1.204798482839069E+20</v>
      </c>
      <c r="P115" s="153"/>
      <c r="Q115" s="139">
        <f t="shared" ca="1" si="8"/>
        <v>0</v>
      </c>
      <c r="R115" s="153"/>
      <c r="S115" s="153"/>
    </row>
    <row r="116" spans="10:19" ht="13.5" thickBot="1">
      <c r="J116" s="138">
        <f>courbes!A115</f>
        <v>9.4166666666666661</v>
      </c>
      <c r="K116" s="139">
        <f t="shared" ca="1" si="5"/>
        <v>1.2062715560698805E+20</v>
      </c>
      <c r="L116" s="141">
        <f>courbes!J115</f>
        <v>9.4166666666666661</v>
      </c>
      <c r="M116" s="139">
        <f t="shared" ca="1" si="6"/>
        <v>1.2055560419657472E+20</v>
      </c>
      <c r="N116" s="139">
        <f>courbes!U115</f>
        <v>9.4166666666666661</v>
      </c>
      <c r="O116" s="139">
        <f t="shared" ca="1" si="7"/>
        <v>1.2051854265290763E+20</v>
      </c>
      <c r="P116" s="153"/>
      <c r="Q116" s="139">
        <f t="shared" ca="1" si="8"/>
        <v>0</v>
      </c>
      <c r="R116" s="153"/>
      <c r="S116" s="153"/>
    </row>
    <row r="117" spans="10:19" ht="13.5" thickBot="1">
      <c r="J117" s="138">
        <f>courbes!A116</f>
        <v>9.5</v>
      </c>
      <c r="K117" s="139">
        <f t="shared" ca="1" si="5"/>
        <v>1.2066828688209348E+20</v>
      </c>
      <c r="L117" s="141">
        <f>courbes!J116</f>
        <v>9.5</v>
      </c>
      <c r="M117" s="139">
        <f t="shared" ca="1" si="6"/>
        <v>1.2059387573016106E+20</v>
      </c>
      <c r="N117" s="139">
        <f>courbes!U116</f>
        <v>9.5</v>
      </c>
      <c r="O117" s="139">
        <f t="shared" ca="1" si="7"/>
        <v>1.2055599447571553E+20</v>
      </c>
      <c r="P117" s="153"/>
      <c r="Q117" s="139">
        <f t="shared" ca="1" si="8"/>
        <v>0</v>
      </c>
      <c r="R117" s="153"/>
      <c r="S117" s="153"/>
    </row>
    <row r="118" spans="10:19" ht="13.5" thickBot="1">
      <c r="J118" s="138">
        <f>courbes!A117</f>
        <v>9.5833333333333339</v>
      </c>
      <c r="K118" s="139">
        <f t="shared" ca="1" si="5"/>
        <v>1.2070807275643545E+20</v>
      </c>
      <c r="L118" s="141">
        <f>courbes!J117</f>
        <v>9.5833333333333339</v>
      </c>
      <c r="M118" s="139">
        <f t="shared" ca="1" si="6"/>
        <v>1.2063087209937687E+20</v>
      </c>
      <c r="N118" s="139">
        <f>courbes!U117</f>
        <v>9.5833333333333339</v>
      </c>
      <c r="O118" s="139">
        <f t="shared" ca="1" si="7"/>
        <v>1.2059216473680221E+20</v>
      </c>
      <c r="P118" s="153"/>
      <c r="Q118" s="139">
        <f t="shared" ca="1" si="8"/>
        <v>0</v>
      </c>
      <c r="R118" s="153"/>
      <c r="S118" s="153"/>
    </row>
    <row r="119" spans="10:19" ht="13.5" thickBot="1">
      <c r="J119" s="138">
        <f>courbes!A118</f>
        <v>9.6666666666666661</v>
      </c>
      <c r="K119" s="139">
        <f t="shared" ca="1" si="5"/>
        <v>1.2074647667442578E+20</v>
      </c>
      <c r="L119" s="141">
        <f>courbes!J118</f>
        <v>9.6666666666666661</v>
      </c>
      <c r="M119" s="139">
        <f t="shared" ca="1" si="6"/>
        <v>1.206665559510819E+20</v>
      </c>
      <c r="N119" s="139">
        <f>courbes!U118</f>
        <v>9.6666666666666661</v>
      </c>
      <c r="O119" s="139">
        <f t="shared" ca="1" si="7"/>
        <v>1.2062701630782888E+20</v>
      </c>
      <c r="P119" s="153"/>
      <c r="Q119" s="139">
        <f t="shared" ca="1" si="8"/>
        <v>0</v>
      </c>
      <c r="R119" s="153"/>
      <c r="S119" s="153"/>
    </row>
    <row r="120" spans="10:19" ht="13.5" thickBot="1">
      <c r="J120" s="138">
        <f>courbes!A119</f>
        <v>9.75</v>
      </c>
      <c r="K120" s="139">
        <f t="shared" ca="1" si="5"/>
        <v>1.2078346392221273E+20</v>
      </c>
      <c r="L120" s="141">
        <f>courbes!J119</f>
        <v>9.75</v>
      </c>
      <c r="M120" s="139">
        <f t="shared" ca="1" si="6"/>
        <v>1.2070089170759067E+20</v>
      </c>
      <c r="N120" s="139">
        <f>courbes!U119</f>
        <v>9.75</v>
      </c>
      <c r="O120" s="139">
        <f t="shared" ca="1" si="7"/>
        <v>1.2066051388722124E+20</v>
      </c>
      <c r="P120" s="153"/>
      <c r="Q120" s="139">
        <f t="shared" ca="1" si="8"/>
        <v>0</v>
      </c>
      <c r="R120" s="153"/>
      <c r="S120" s="153"/>
    </row>
    <row r="121" spans="10:19" ht="13.5" thickBot="1">
      <c r="J121" s="138">
        <f>courbes!A120</f>
        <v>9.8333333333333339</v>
      </c>
      <c r="K121" s="139">
        <f t="shared" ca="1" si="5"/>
        <v>1.2081900156773445E+20</v>
      </c>
      <c r="L121" s="141">
        <f>courbes!J120</f>
        <v>9.8333333333333339</v>
      </c>
      <c r="M121" s="139">
        <f t="shared" ca="1" si="6"/>
        <v>1.2073384549330221E+20</v>
      </c>
      <c r="N121" s="139">
        <f>courbes!U120</f>
        <v>9.8333333333333339</v>
      </c>
      <c r="O121" s="139">
        <f t="shared" ca="1" si="7"/>
        <v>1.2069262394153712E+20</v>
      </c>
      <c r="P121" s="153"/>
      <c r="Q121" s="139">
        <f t="shared" ca="1" si="8"/>
        <v>0</v>
      </c>
      <c r="R121" s="153"/>
      <c r="S121" s="153"/>
    </row>
    <row r="122" spans="10:19" ht="13.5" thickBot="1">
      <c r="J122" s="138">
        <f>courbes!A121</f>
        <v>9.9166666666666661</v>
      </c>
      <c r="K122" s="139">
        <f t="shared" ca="1" si="5"/>
        <v>1.2085305840257758E+20</v>
      </c>
      <c r="L122" s="141">
        <f>courbes!J121</f>
        <v>9.9166666666666661</v>
      </c>
      <c r="M122" s="139">
        <f t="shared" ca="1" si="6"/>
        <v>1.2076538506132973E+20</v>
      </c>
      <c r="N122" s="139">
        <f>courbes!U121</f>
        <v>9.9166666666666661</v>
      </c>
      <c r="O122" s="139">
        <f t="shared" ca="1" si="7"/>
        <v>1.2072331464857502E+20</v>
      </c>
      <c r="P122" s="153"/>
      <c r="Q122" s="139">
        <f t="shared" ca="1" si="8"/>
        <v>0</v>
      </c>
      <c r="R122" s="153"/>
      <c r="S122" s="153"/>
    </row>
    <row r="123" spans="10:19" ht="13.5" thickBot="1">
      <c r="J123" s="138">
        <f>courbes!A122</f>
        <v>10</v>
      </c>
      <c r="K123" s="139">
        <f t="shared" ca="1" si="5"/>
        <v>1.2088560488558753E+20</v>
      </c>
      <c r="L123" s="141">
        <f>courbes!J122</f>
        <v>10</v>
      </c>
      <c r="M123" s="139">
        <f t="shared" ca="1" si="6"/>
        <v>1.2079547972013036E+20</v>
      </c>
      <c r="N123" s="139">
        <f>courbes!U122</f>
        <v>10</v>
      </c>
      <c r="O123" s="139">
        <f t="shared" ca="1" si="7"/>
        <v>1.2075255584217059E+20</v>
      </c>
      <c r="P123" s="153"/>
      <c r="Q123" s="139">
        <f t="shared" ca="1" si="8"/>
        <v>0</v>
      </c>
      <c r="R123" s="153"/>
      <c r="S123" s="153"/>
    </row>
    <row r="124" spans="10:19" ht="13.5" thickBot="1">
      <c r="J124" s="138">
        <f>courbes!A123</f>
        <v>10.083333333333334</v>
      </c>
      <c r="K124" s="139">
        <f t="shared" ca="1" si="5"/>
        <v>1.2091661308817808E+20</v>
      </c>
      <c r="L124" s="149"/>
      <c r="M124" s="150"/>
      <c r="N124" s="139">
        <f>courbes!U123</f>
        <v>10.083333333333334</v>
      </c>
      <c r="O124" s="139">
        <f t="shared" ca="1" si="7"/>
        <v>1.2078031895863412E+20</v>
      </c>
      <c r="P124" s="153"/>
      <c r="Q124" s="139">
        <f t="shared" ca="1" si="8"/>
        <v>0</v>
      </c>
      <c r="R124" s="153"/>
      <c r="S124" s="153"/>
    </row>
    <row r="125" spans="10:19" ht="13.5" thickBot="1">
      <c r="J125" s="138">
        <f>courbes!A124</f>
        <v>10.166666666666666</v>
      </c>
      <c r="K125" s="139">
        <f t="shared" ca="1" si="5"/>
        <v>1.2094605664128978E+20</v>
      </c>
      <c r="L125" s="149"/>
      <c r="M125" s="150"/>
      <c r="N125" s="139">
        <f>courbes!U124</f>
        <v>10.166666666666666</v>
      </c>
      <c r="O125" s="139">
        <f t="shared" ca="1" si="7"/>
        <v>1.2080657698477851E+20</v>
      </c>
      <c r="P125" s="153"/>
      <c r="Q125" s="139">
        <f t="shared" ca="1" si="8"/>
        <v>0</v>
      </c>
      <c r="R125" s="153"/>
      <c r="S125" s="153"/>
    </row>
    <row r="126" spans="10:19" ht="13.5" thickBot="1">
      <c r="J126" s="138">
        <f>courbes!A125</f>
        <v>10.25</v>
      </c>
      <c r="K126" s="139">
        <f t="shared" ca="1" si="5"/>
        <v>1.2097391068394811E+20</v>
      </c>
      <c r="L126" s="149"/>
      <c r="M126" s="150"/>
      <c r="N126" s="139">
        <f>courbes!U125</f>
        <v>10.25</v>
      </c>
      <c r="O126" s="139">
        <f t="shared" ca="1" si="7"/>
        <v>1.2083130440749282E+20</v>
      </c>
      <c r="P126" s="153"/>
      <c r="Q126" s="139">
        <f t="shared" ca="1" si="8"/>
        <v>0</v>
      </c>
      <c r="R126" s="153"/>
      <c r="S126" s="153"/>
    </row>
    <row r="127" spans="10:19" ht="13.5" thickBot="1">
      <c r="J127" s="138">
        <f>courbes!A126</f>
        <v>10.333333333333334</v>
      </c>
      <c r="K127" s="139">
        <f t="shared" ca="1" si="5"/>
        <v>1.2100015181337364E+20</v>
      </c>
      <c r="L127" s="149"/>
      <c r="M127" s="150"/>
      <c r="N127" s="139">
        <f>courbes!U126</f>
        <v>10.333333333333334</v>
      </c>
      <c r="O127" s="139">
        <f t="shared" ca="1" si="7"/>
        <v>1.208544771648153E+20</v>
      </c>
      <c r="P127" s="153"/>
      <c r="Q127" s="139">
        <f t="shared" ca="1" si="8"/>
        <v>0</v>
      </c>
      <c r="R127" s="153"/>
      <c r="S127" s="153"/>
    </row>
    <row r="128" spans="10:19" ht="13.5" thickBot="1">
      <c r="J128" s="138">
        <f>courbes!A127</f>
        <v>10.416666666666666</v>
      </c>
      <c r="K128" s="139">
        <f t="shared" ca="1" si="5"/>
        <v>1.2102475803659821E+20</v>
      </c>
      <c r="L128" s="149"/>
      <c r="M128" s="150"/>
      <c r="N128" s="139">
        <f>courbes!U127</f>
        <v>10.416666666666666</v>
      </c>
      <c r="O128" s="139">
        <f t="shared" ca="1" si="7"/>
        <v>1.2087607259846215E+20</v>
      </c>
      <c r="P128" s="153"/>
      <c r="Q128" s="139">
        <f t="shared" ca="1" si="8"/>
        <v>0</v>
      </c>
      <c r="R128" s="153"/>
      <c r="S128" s="153"/>
    </row>
    <row r="129" spans="10:19" ht="13.5" thickBot="1">
      <c r="J129" s="138">
        <f>courbes!A128</f>
        <v>10.5</v>
      </c>
      <c r="K129" s="139">
        <f t="shared" ca="1" si="5"/>
        <v>1.2104770872354208E+20</v>
      </c>
      <c r="L129" s="149"/>
      <c r="M129" s="150"/>
      <c r="N129" s="139">
        <f>courbes!U128</f>
        <v>10.5</v>
      </c>
      <c r="O129" s="139">
        <f t="shared" ca="1" si="7"/>
        <v>1.2089606940776926E+20</v>
      </c>
      <c r="P129" s="153"/>
      <c r="Q129" s="139">
        <f t="shared" ca="1" si="8"/>
        <v>0</v>
      </c>
      <c r="R129" s="153"/>
      <c r="S129" s="153"/>
    </row>
    <row r="130" spans="10:19" ht="13.5" thickBot="1">
      <c r="J130" s="138">
        <f>courbes!A129</f>
        <v>10.583333333333334</v>
      </c>
      <c r="K130" s="139">
        <f t="shared" ca="1" si="5"/>
        <v>1.2106898456150879E+20</v>
      </c>
      <c r="L130" s="149"/>
      <c r="M130" s="150"/>
      <c r="N130" s="139">
        <f>courbes!U129</f>
        <v>10.583333333333334</v>
      </c>
      <c r="O130" s="139">
        <f t="shared" ca="1" si="7"/>
        <v>1.2091444760500602E+20</v>
      </c>
      <c r="P130" s="153"/>
      <c r="Q130" s="139">
        <f t="shared" ca="1" si="8"/>
        <v>0</v>
      </c>
      <c r="R130" s="153"/>
      <c r="S130" s="153"/>
    </row>
    <row r="131" spans="10:19" ht="13.5" thickBot="1">
      <c r="J131" s="138">
        <f>courbes!A130</f>
        <v>10.666666666666666</v>
      </c>
      <c r="K131" s="139">
        <f t="shared" ref="K131:K137" ca="1" si="9">INDIRECT("courbes!"&amp;INDEX($D$3:$H$10,MATCH($B$2,$C$3:$C$10,0),MATCH(K$1,$D$2:$H$2,0))&amp;ROW($J130))</f>
        <v>1.2108856751105535E+20</v>
      </c>
      <c r="L131" s="149"/>
      <c r="M131" s="150"/>
      <c r="N131" s="139">
        <f>courbes!U130</f>
        <v>10.666666666666666</v>
      </c>
      <c r="O131" s="139">
        <f t="shared" ref="O131:O137" ca="1" si="10">INDIRECT("courbes!"&amp;INDEX($D$3:$H$10,MATCH($B$2,$C$3:$C$10,0),MATCH(O$1,$D$2:$H$2,0))&amp;ROW($J130))</f>
        <v>1.2093118847201983E+20</v>
      </c>
      <c r="P131" s="153"/>
      <c r="Q131" s="139">
        <f t="shared" ref="Q131:Q137" ca="1" si="11">INDIRECT("courbes!"&amp;INDEX($D$3:$H$10,MATCH($B$2,$C$3:$C$10,0),MATCH(Q$1,$D$2:$H$2,0))&amp;ROW($J130))</f>
        <v>0</v>
      </c>
      <c r="R131" s="153"/>
      <c r="S131" s="153"/>
    </row>
    <row r="132" spans="10:19" ht="13.5" thickBot="1">
      <c r="J132" s="138">
        <f>courbes!A131</f>
        <v>10.75</v>
      </c>
      <c r="K132" s="139">
        <f t="shared" ca="1" si="9"/>
        <v>1.2110644076319695E+20</v>
      </c>
      <c r="L132" s="149"/>
      <c r="M132" s="150"/>
      <c r="N132" s="139">
        <f>courbes!U131</f>
        <v>10.75</v>
      </c>
      <c r="O132" s="139">
        <f t="shared" ca="1" si="10"/>
        <v>1.2094627451817388E+20</v>
      </c>
      <c r="P132" s="153"/>
      <c r="Q132" s="139">
        <f t="shared" ca="1" si="11"/>
        <v>0</v>
      </c>
      <c r="R132" s="153"/>
      <c r="S132" s="153"/>
    </row>
    <row r="133" spans="10:19" ht="13.5" thickBot="1">
      <c r="J133" s="138">
        <f>courbes!A132</f>
        <v>10.833333333333334</v>
      </c>
      <c r="K133" s="139">
        <f t="shared" ca="1" si="9"/>
        <v>1.2112258869790653E+20</v>
      </c>
      <c r="L133" s="149"/>
      <c r="M133" s="150"/>
      <c r="N133" s="139">
        <f>courbes!U132</f>
        <v>10.833333333333334</v>
      </c>
      <c r="O133" s="139">
        <f t="shared" ca="1" si="10"/>
        <v>1.2095968943953904E+20</v>
      </c>
      <c r="P133" s="153"/>
      <c r="Q133" s="139">
        <f t="shared" ca="1" si="11"/>
        <v>0</v>
      </c>
      <c r="R133" s="153"/>
      <c r="S133" s="153"/>
    </row>
    <row r="134" spans="10:19" ht="13.5" thickBot="1">
      <c r="J134" s="138">
        <f>courbes!A133</f>
        <v>10.916666666666666</v>
      </c>
      <c r="K134" s="139">
        <f t="shared" ca="1" si="9"/>
        <v>1.2113699684387055E+20</v>
      </c>
      <c r="L134" s="149"/>
      <c r="M134" s="150"/>
      <c r="N134" s="139">
        <f>courbes!U133</f>
        <v>10.916666666666666</v>
      </c>
      <c r="O134" s="139">
        <f t="shared" ca="1" si="10"/>
        <v>1.2097141807930397E+20</v>
      </c>
      <c r="Q134" s="139">
        <f t="shared" ca="1" si="11"/>
        <v>0</v>
      </c>
    </row>
    <row r="135" spans="10:19" ht="13.5" thickBot="1">
      <c r="J135" s="138">
        <f>courbes!A134</f>
        <v>11</v>
      </c>
      <c r="K135" s="139">
        <f t="shared" ca="1" si="9"/>
        <v>1.2114965183946369E+20</v>
      </c>
      <c r="L135" s="149"/>
      <c r="M135" s="150"/>
      <c r="N135" s="139">
        <f>courbes!U134</f>
        <v>11</v>
      </c>
      <c r="O135" s="139">
        <f t="shared" ca="1" si="10"/>
        <v>1.2098144638936692E+20</v>
      </c>
      <c r="Q135" s="139">
        <f t="shared" ca="1" si="11"/>
        <v>0</v>
      </c>
    </row>
    <row r="136" spans="10:19" ht="13.5" thickBot="1">
      <c r="J136" s="138">
        <f>courbes!A135</f>
        <v>11.083333333333334</v>
      </c>
      <c r="K136" s="139">
        <f t="shared" ca="1" si="9"/>
        <v>1.2116054139490617E+20</v>
      </c>
      <c r="L136" s="149"/>
      <c r="M136" s="150"/>
      <c r="N136" s="139">
        <f>courbes!U135</f>
        <v>11.083333333333334</v>
      </c>
      <c r="O136" s="139">
        <f t="shared" ca="1" si="10"/>
        <v>1.2098976139307545E+20</v>
      </c>
      <c r="Q136" s="139">
        <f t="shared" ca="1" si="11"/>
        <v>0</v>
      </c>
    </row>
    <row r="137" spans="10:19">
      <c r="J137" s="138">
        <f>courbes!A136</f>
        <v>11.166666666666666</v>
      </c>
      <c r="K137" s="139">
        <f t="shared" ca="1" si="9"/>
        <v>1.2116965425556862E+20</v>
      </c>
      <c r="L137" s="149"/>
      <c r="M137" s="150"/>
      <c r="N137" s="139">
        <f>courbes!U136</f>
        <v>11.166666666666666</v>
      </c>
      <c r="O137" s="139">
        <f t="shared" ca="1" si="10"/>
        <v>1.2099635114908013E+20</v>
      </c>
      <c r="Q137" s="139">
        <f t="shared" ca="1" si="11"/>
        <v>0</v>
      </c>
    </row>
    <row r="178" spans="10:19">
      <c r="J178" s="145"/>
      <c r="K178" s="145"/>
      <c r="L178" s="145"/>
      <c r="M178" s="145"/>
      <c r="N178" s="149"/>
      <c r="O178" s="145"/>
      <c r="P178" s="145"/>
      <c r="Q178" s="145"/>
      <c r="R178" s="145"/>
      <c r="S178" s="145"/>
    </row>
    <row r="179" spans="10:19">
      <c r="J179" s="145"/>
      <c r="K179" s="145"/>
      <c r="L179" s="145"/>
      <c r="M179" s="145"/>
      <c r="N179" s="149"/>
      <c r="O179" s="145"/>
      <c r="P179" s="145"/>
      <c r="Q179" s="145"/>
      <c r="R179" s="145"/>
      <c r="S179" s="145"/>
    </row>
    <row r="180" spans="10:19">
      <c r="J180" s="145"/>
      <c r="K180" s="145"/>
      <c r="L180" s="145"/>
      <c r="M180" s="145"/>
      <c r="N180" s="149"/>
      <c r="O180" s="145"/>
      <c r="P180" s="145"/>
      <c r="Q180" s="145"/>
      <c r="R180" s="145"/>
      <c r="S180" s="145"/>
    </row>
    <row r="181" spans="10:19">
      <c r="J181" s="145"/>
      <c r="K181" s="145"/>
      <c r="L181" s="145"/>
      <c r="M181" s="145"/>
      <c r="N181" s="149"/>
      <c r="O181" s="145"/>
      <c r="P181" s="145"/>
      <c r="Q181" s="145"/>
      <c r="R181" s="145"/>
      <c r="S181" s="145"/>
    </row>
    <row r="182" spans="10:19">
      <c r="J182" s="145"/>
      <c r="K182" s="145"/>
      <c r="L182" s="145"/>
      <c r="M182" s="145"/>
      <c r="N182" s="149"/>
      <c r="O182" s="145"/>
      <c r="P182" s="145"/>
      <c r="Q182" s="145"/>
      <c r="R182" s="145"/>
      <c r="S182" s="145"/>
    </row>
    <row r="183" spans="10:19">
      <c r="J183" s="145"/>
      <c r="K183" s="145"/>
      <c r="L183" s="145"/>
      <c r="M183" s="145"/>
      <c r="N183" s="149"/>
      <c r="O183" s="145"/>
      <c r="P183" s="145"/>
      <c r="Q183" s="145"/>
      <c r="R183" s="145"/>
      <c r="S183" s="145"/>
    </row>
    <row r="184" spans="10:19">
      <c r="J184" s="145"/>
      <c r="K184" s="145"/>
      <c r="L184" s="145"/>
      <c r="M184" s="145"/>
      <c r="N184" s="149"/>
      <c r="O184" s="145"/>
      <c r="P184" s="145"/>
      <c r="Q184" s="145"/>
      <c r="R184" s="145"/>
      <c r="S184" s="145"/>
    </row>
    <row r="185" spans="10:19">
      <c r="J185" s="145"/>
      <c r="K185" s="145"/>
      <c r="L185" s="145"/>
      <c r="M185" s="145"/>
      <c r="N185" s="149"/>
      <c r="O185" s="145"/>
      <c r="P185" s="145"/>
      <c r="Q185" s="145"/>
      <c r="R185" s="145"/>
      <c r="S185" s="145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7" sqref="B27"/>
    </sheetView>
  </sheetViews>
  <sheetFormatPr baseColWidth="10" defaultColWidth="17.875" defaultRowHeight="12.75"/>
  <cols>
    <col min="1" max="1" width="5.25" style="145" bestFit="1" customWidth="1"/>
    <col min="2" max="2" width="33.75" style="137" bestFit="1" customWidth="1"/>
    <col min="3" max="4" width="9.125" style="137" customWidth="1"/>
    <col min="5" max="5" width="20.125" style="137" customWidth="1"/>
    <col min="6" max="8" width="9.125" style="145" customWidth="1"/>
    <col min="9" max="9" width="2.5" style="145" customWidth="1"/>
    <col min="10" max="10" width="11" style="146" customWidth="1"/>
    <col min="11" max="11" width="10.625" style="146" bestFit="1" customWidth="1"/>
    <col min="12" max="12" width="9.125" style="153" bestFit="1" customWidth="1"/>
    <col min="13" max="13" width="9.75" style="146" bestFit="1" customWidth="1"/>
    <col min="14" max="14" width="9.125" style="146" bestFit="1" customWidth="1"/>
    <col min="15" max="15" width="16.625" style="146" bestFit="1" customWidth="1"/>
    <col min="16" max="16" width="9.25" style="146" bestFit="1" customWidth="1"/>
    <col min="17" max="17" width="11.75" style="146" bestFit="1" customWidth="1"/>
    <col min="18" max="18" width="9.25" style="146" bestFit="1" customWidth="1"/>
    <col min="19" max="19" width="10.375" style="146" bestFit="1" customWidth="1"/>
    <col min="20" max="16384" width="17.875" style="145"/>
  </cols>
  <sheetData>
    <row r="1" spans="1:19" ht="13.5" thickBot="1">
      <c r="K1" s="146" t="s">
        <v>40</v>
      </c>
      <c r="M1" s="137" t="s">
        <v>258</v>
      </c>
      <c r="O1" s="145" t="s">
        <v>168</v>
      </c>
      <c r="Q1" s="145" t="s">
        <v>259</v>
      </c>
      <c r="S1" s="145" t="s">
        <v>260</v>
      </c>
    </row>
    <row r="2" spans="1:19" ht="24.75" thickBot="1">
      <c r="A2" s="145" t="s">
        <v>257</v>
      </c>
      <c r="B2" s="143" t="s">
        <v>13</v>
      </c>
      <c r="D2" s="137" t="s">
        <v>40</v>
      </c>
      <c r="E2" s="137" t="s">
        <v>258</v>
      </c>
      <c r="F2" s="145" t="s">
        <v>168</v>
      </c>
      <c r="G2" s="145" t="s">
        <v>259</v>
      </c>
      <c r="H2" s="145" t="s">
        <v>260</v>
      </c>
      <c r="J2" s="138" t="str">
        <f>courbes!A1</f>
        <v>t(y)</v>
      </c>
      <c r="K2" s="139" t="str">
        <f ca="1">INDIRECT("courbes!"&amp;INDEX($D$3:$H$10,MATCH($B$2,$C$3:$C$10,0),MATCH(K$1,$D$2:$H$2,0))&amp;ROW($J1))</f>
        <v>RK1 - Pu242</v>
      </c>
      <c r="L2" s="141" t="str">
        <f>courbes!J1</f>
        <v>t(y)</v>
      </c>
      <c r="M2" s="139" t="str">
        <f ca="1">INDIRECT("courbes!"&amp;INDEX($D$3:$H$10,MATCH($B$2,$C$3:$C$10,0),MATCH(M$1,$D$2:$H$2,0))&amp;ROW($J1))</f>
        <v>O5 - Pu242</v>
      </c>
      <c r="N2" s="139" t="str">
        <f>courbes!U1</f>
        <v>t(y)</v>
      </c>
      <c r="O2" s="139" t="str">
        <f ca="1">INDIRECT("courbes!"&amp;INDEX($D$3:$H$10,MATCH($B$2,$C$3:$C$10,0),MATCH(O$1,$D$2:$H$2,0))&amp;ROW($J1))</f>
        <v xml:space="preserve"> Exact Simpl. - Pu242</v>
      </c>
      <c r="P2" s="138" t="str">
        <f>courbes!AE1</f>
        <v>t(y)</v>
      </c>
      <c r="Q2" s="139" t="str">
        <f ca="1">INDIRECT("courbes!"&amp;INDEX($D$3:$H$10,MATCH($B$2,$C$3:$C$10,0),MATCH(Q$1,$D$2:$H$2,0))&amp;ROW($J1))</f>
        <v>DRAGON - Pu242</v>
      </c>
      <c r="R2" s="138" t="str">
        <f>courbes!AO1</f>
        <v>t(y)</v>
      </c>
      <c r="S2" s="139" t="str">
        <f ca="1">INDIRECT("courbes!"&amp;INDEX($D$3:$H$10,MATCH($B$2,$C$3:$C$10,0),MATCH(S$1,$D$2:$H$2,0))&amp;ROW($J1))</f>
        <v xml:space="preserve">VESTA - Pu242 </v>
      </c>
    </row>
    <row r="3" spans="1:19" ht="13.5" thickBot="1">
      <c r="C3" s="143" t="s">
        <v>7</v>
      </c>
      <c r="D3" s="137" t="s">
        <v>261</v>
      </c>
      <c r="E3" s="137" t="s">
        <v>192</v>
      </c>
      <c r="F3" s="145" t="s">
        <v>128</v>
      </c>
      <c r="G3" s="145" t="s">
        <v>262</v>
      </c>
      <c r="H3" s="145" t="s">
        <v>263</v>
      </c>
      <c r="J3" s="138" t="e">
        <f>courbes!A2</f>
        <v>#NAME?</v>
      </c>
      <c r="K3" s="139">
        <f t="shared" ref="K3:K66" ca="1" si="0">INDIRECT("courbes!"&amp;INDEX($D$3:$H$10,MATCH($B$2,$C$3:$C$10,0),MATCH(K$1,$D$2:$H$2,0))&amp;ROW($J2))</f>
        <v>5.1070699679853748E+19</v>
      </c>
      <c r="L3" s="141">
        <f>courbes!J2</f>
        <v>0</v>
      </c>
      <c r="M3" s="139">
        <f t="shared" ref="M3:M66" ca="1" si="1">INDIRECT("courbes!"&amp;INDEX($D$3:$H$10,MATCH($B$2,$C$3:$C$10,0),MATCH(M$1,$D$2:$H$2,0))&amp;ROW($J2))</f>
        <v>5.1070699679853748E+19</v>
      </c>
      <c r="N3" s="139">
        <f>courbes!U2</f>
        <v>0</v>
      </c>
      <c r="O3" s="139">
        <f t="shared" ref="O3:O66" ca="1" si="2">INDIRECT("courbes!"&amp;INDEX($D$3:$H$10,MATCH($B$2,$C$3:$C$10,0),MATCH(O$1,$D$2:$H$2,0))&amp;ROW($J2))</f>
        <v>5.1070699679853543E+19</v>
      </c>
      <c r="P3" s="138">
        <f>courbes!AE2</f>
        <v>0</v>
      </c>
      <c r="Q3" s="139">
        <f t="shared" ref="Q3:Q66" ca="1" si="3">INDIRECT("courbes!"&amp;INDEX($D$3:$H$10,MATCH($B$2,$C$3:$C$10,0),MATCH(Q$1,$D$2:$H$2,0))&amp;ROW($J2))</f>
        <v>5.1070699679853748E+19</v>
      </c>
      <c r="R3" s="138">
        <f>courbes!AO2</f>
        <v>0</v>
      </c>
      <c r="S3" s="139">
        <f t="shared" ref="S3:S9" ca="1" si="4">INDIRECT("courbes!"&amp;INDEX($D$3:$H$10,MATCH($B$2,$C$3:$C$10,0),MATCH(S$1,$D$2:$H$2,0))&amp;ROW($J2))</f>
        <v>5.1070699679853748E+19</v>
      </c>
    </row>
    <row r="4" spans="1:19" ht="13.5" thickBot="1">
      <c r="C4" s="143" t="s">
        <v>9</v>
      </c>
      <c r="D4" s="137" t="s">
        <v>264</v>
      </c>
      <c r="E4" s="137" t="s">
        <v>265</v>
      </c>
      <c r="F4" s="145" t="s">
        <v>266</v>
      </c>
      <c r="G4" s="145" t="s">
        <v>268</v>
      </c>
      <c r="H4" s="145" t="s">
        <v>269</v>
      </c>
      <c r="J4" s="138">
        <f>courbes!A3</f>
        <v>8.3333333333333329E-2</v>
      </c>
      <c r="K4" s="139">
        <f t="shared" ca="1" si="0"/>
        <v>5.1407310007414563E+19</v>
      </c>
      <c r="L4" s="141">
        <f>courbes!J3</f>
        <v>8.3333333333333329E-2</v>
      </c>
      <c r="M4" s="139">
        <f t="shared" ca="1" si="1"/>
        <v>5.1403038210650227E+19</v>
      </c>
      <c r="N4" s="139">
        <f>courbes!U3</f>
        <v>8.3333333333333329E-2</v>
      </c>
      <c r="O4" s="139">
        <f t="shared" ca="1" si="2"/>
        <v>5.1403038210638676E+19</v>
      </c>
      <c r="P4" s="138">
        <f>courbes!AE3</f>
        <v>0.2</v>
      </c>
      <c r="Q4" s="139">
        <f t="shared" ca="1" si="3"/>
        <v>5.1783643376817611E+19</v>
      </c>
      <c r="R4" s="138">
        <f>courbes!AO3</f>
        <v>0.13689999999999999</v>
      </c>
      <c r="S4" s="139">
        <f t="shared" ca="1" si="4"/>
        <v>5.1691620040703025E+19</v>
      </c>
    </row>
    <row r="5" spans="1:19" ht="13.5" thickBot="1">
      <c r="C5" s="143" t="s">
        <v>10</v>
      </c>
      <c r="D5" s="137" t="s">
        <v>270</v>
      </c>
      <c r="E5" s="137" t="s">
        <v>276</v>
      </c>
      <c r="F5" s="145" t="s">
        <v>129</v>
      </c>
      <c r="G5" s="145" t="s">
        <v>287</v>
      </c>
      <c r="H5" s="145" t="s">
        <v>267</v>
      </c>
      <c r="J5" s="138">
        <f>courbes!A4</f>
        <v>0.16666666666666666</v>
      </c>
      <c r="K5" s="139">
        <f t="shared" ca="1" si="0"/>
        <v>5.1735278932703445E+19</v>
      </c>
      <c r="L5" s="141">
        <f>courbes!J4</f>
        <v>0.16666666666666666</v>
      </c>
      <c r="M5" s="139">
        <f t="shared" ca="1" si="1"/>
        <v>5.1727025642489274E+19</v>
      </c>
      <c r="N5" s="139">
        <f>courbes!U4</f>
        <v>0.16666666666666666</v>
      </c>
      <c r="O5" s="139">
        <f t="shared" ca="1" si="2"/>
        <v>5.1727025641732014E+19</v>
      </c>
      <c r="P5" s="138">
        <f>courbes!AE4</f>
        <v>0.4</v>
      </c>
      <c r="Q5" s="139">
        <f t="shared" ca="1" si="3"/>
        <v>5.2460690607920366E+19</v>
      </c>
      <c r="R5" s="138">
        <f>courbes!AO4</f>
        <v>0.41070000000000001</v>
      </c>
      <c r="S5" s="139">
        <f t="shared" ca="1" si="4"/>
        <v>5.2873093505096802E+19</v>
      </c>
    </row>
    <row r="6" spans="1:19" ht="13.5" thickBot="1">
      <c r="C6" s="143" t="s">
        <v>11</v>
      </c>
      <c r="D6" s="137" t="s">
        <v>271</v>
      </c>
      <c r="E6" s="137" t="s">
        <v>277</v>
      </c>
      <c r="F6" s="145" t="s">
        <v>282</v>
      </c>
      <c r="G6" s="145" t="s">
        <v>288</v>
      </c>
      <c r="H6" s="145" t="s">
        <v>293</v>
      </c>
      <c r="J6" s="138">
        <f>courbes!A5</f>
        <v>0.25</v>
      </c>
      <c r="K6" s="139">
        <f t="shared" ca="1" si="0"/>
        <v>5.2054902252901179E+19</v>
      </c>
      <c r="L6" s="141">
        <f>courbes!J5</f>
        <v>0.25</v>
      </c>
      <c r="M6" s="139">
        <f t="shared" ca="1" si="1"/>
        <v>5.2042943820107784E+19</v>
      </c>
      <c r="N6" s="139">
        <f>courbes!U5</f>
        <v>0.25</v>
      </c>
      <c r="O6" s="139">
        <f t="shared" ca="1" si="2"/>
        <v>5.2042943811497558E+19</v>
      </c>
      <c r="P6" s="138">
        <f>courbes!AE5</f>
        <v>0.6</v>
      </c>
      <c r="Q6" s="139">
        <f t="shared" ca="1" si="3"/>
        <v>5.3105829869368795E+19</v>
      </c>
      <c r="R6" s="138">
        <f>courbes!AO5</f>
        <v>0.99929999999999997</v>
      </c>
      <c r="S6" s="139">
        <f t="shared" ca="1" si="4"/>
        <v>5.5149801494877528E+19</v>
      </c>
    </row>
    <row r="7" spans="1:19" ht="13.5" thickBot="1">
      <c r="C7" s="143" t="s">
        <v>13</v>
      </c>
      <c r="D7" s="137" t="s">
        <v>272</v>
      </c>
      <c r="E7" s="137" t="s">
        <v>278</v>
      </c>
      <c r="F7" s="145" t="s">
        <v>283</v>
      </c>
      <c r="G7" s="145" t="s">
        <v>289</v>
      </c>
      <c r="H7" s="145" t="s">
        <v>294</v>
      </c>
      <c r="J7" s="138">
        <f>courbes!A6</f>
        <v>0.33333333333333331</v>
      </c>
      <c r="K7" s="139">
        <f t="shared" ca="1" si="0"/>
        <v>5.2366466223856083E+19</v>
      </c>
      <c r="L7" s="141">
        <f>courbes!J6</f>
        <v>0.33333333333333331</v>
      </c>
      <c r="M7" s="139">
        <f t="shared" ca="1" si="1"/>
        <v>5.2351065622197903E+19</v>
      </c>
      <c r="N7" s="139">
        <f>courbes!U6</f>
        <v>0.33333333333333331</v>
      </c>
      <c r="O7" s="139">
        <f t="shared" ca="1" si="2"/>
        <v>5.2351065574077039E+19</v>
      </c>
      <c r="P7" s="138">
        <f>courbes!AE6</f>
        <v>0.8</v>
      </c>
      <c r="Q7" s="139">
        <f t="shared" ca="1" si="3"/>
        <v>5.3721055409266278E+19</v>
      </c>
      <c r="R7" s="138">
        <f>courbes!AO6</f>
        <v>1.9990000000000001</v>
      </c>
      <c r="S7" s="139">
        <f t="shared" ca="1" si="4"/>
        <v>5.837513781373354E+19</v>
      </c>
    </row>
    <row r="8" spans="1:19" ht="13.5" thickBot="1">
      <c r="C8" s="143" t="s">
        <v>14</v>
      </c>
      <c r="D8" s="137" t="s">
        <v>273</v>
      </c>
      <c r="E8" s="137" t="s">
        <v>279</v>
      </c>
      <c r="F8" s="145" t="s">
        <v>284</v>
      </c>
      <c r="G8" s="145" t="s">
        <v>290</v>
      </c>
      <c r="H8" s="145" t="s">
        <v>295</v>
      </c>
      <c r="J8" s="138">
        <f>courbes!A7</f>
        <v>0.41666666666666669</v>
      </c>
      <c r="K8" s="139">
        <f t="shared" ca="1" si="0"/>
        <v>5.2670247847727866E+19</v>
      </c>
      <c r="L8" s="141">
        <f>courbes!J7</f>
        <v>0.41666666666666669</v>
      </c>
      <c r="M8" s="139">
        <f t="shared" ca="1" si="1"/>
        <v>5.2651655249050952E+19</v>
      </c>
      <c r="N8" s="139">
        <f>courbes!U7</f>
        <v>0.41666666666666669</v>
      </c>
      <c r="O8" s="139">
        <f t="shared" ca="1" si="2"/>
        <v>5.2651655066511081E+19</v>
      </c>
      <c r="P8" s="138">
        <f>courbes!AE7</f>
        <v>1</v>
      </c>
      <c r="Q8" s="139">
        <f t="shared" ca="1" si="3"/>
        <v>5.4307364351664538E+19</v>
      </c>
      <c r="R8" s="138">
        <f>courbes!AO7</f>
        <v>4.9989999999999997</v>
      </c>
      <c r="S8" s="139">
        <f t="shared" ca="1" si="4"/>
        <v>6.5765814886620176E+19</v>
      </c>
    </row>
    <row r="9" spans="1:19" ht="13.5" thickBot="1">
      <c r="C9" s="143" t="s">
        <v>15</v>
      </c>
      <c r="D9" s="137" t="s">
        <v>274</v>
      </c>
      <c r="E9" s="137" t="s">
        <v>280</v>
      </c>
      <c r="F9" s="145" t="s">
        <v>285</v>
      </c>
      <c r="G9" s="145" t="s">
        <v>291</v>
      </c>
      <c r="H9" s="145" t="s">
        <v>297</v>
      </c>
      <c r="J9" s="138">
        <f>courbes!A8</f>
        <v>0.5</v>
      </c>
      <c r="K9" s="139">
        <f t="shared" ca="1" si="0"/>
        <v>5.2966515152135119E+19</v>
      </c>
      <c r="L9" s="141">
        <f>courbes!J8</f>
        <v>0.5</v>
      </c>
      <c r="M9" s="139">
        <f t="shared" ca="1" si="1"/>
        <v>5.2944968510201225E+19</v>
      </c>
      <c r="N9" s="139">
        <f>courbes!U8</f>
        <v>0.5</v>
      </c>
      <c r="O9" s="139">
        <f t="shared" ca="1" si="2"/>
        <v>5.2944967968094093E+19</v>
      </c>
      <c r="P9" s="138">
        <f>courbes!AE8</f>
        <v>1.2</v>
      </c>
      <c r="Q9" s="139">
        <f t="shared" ca="1" si="3"/>
        <v>5.4868745192770347E+19</v>
      </c>
      <c r="R9" s="138">
        <f>courbes!AO8</f>
        <v>9.9990000000000006</v>
      </c>
      <c r="S9" s="139">
        <f t="shared" ca="1" si="4"/>
        <v>7.5148611450564936E+19</v>
      </c>
    </row>
    <row r="10" spans="1:19" ht="13.5" thickBot="1">
      <c r="A10" s="145" t="s">
        <v>253</v>
      </c>
      <c r="B10" s="161" t="str">
        <f>"Comparaison des modèles pour le "&amp;B2</f>
        <v>Comparaison des modèles pour le Pu242</v>
      </c>
      <c r="C10" s="143" t="s">
        <v>16</v>
      </c>
      <c r="D10" s="137" t="s">
        <v>275</v>
      </c>
      <c r="E10" s="137" t="s">
        <v>281</v>
      </c>
      <c r="F10" s="145" t="s">
        <v>286</v>
      </c>
      <c r="G10" s="145" t="s">
        <v>292</v>
      </c>
      <c r="H10" s="145" t="s">
        <v>296</v>
      </c>
      <c r="J10" s="138">
        <f>courbes!A9</f>
        <v>0.58333333333333337</v>
      </c>
      <c r="K10" s="139">
        <f t="shared" ca="1" si="0"/>
        <v>5.32555274610577E+19</v>
      </c>
      <c r="L10" s="141">
        <f>courbes!J9</f>
        <v>0.58333333333333337</v>
      </c>
      <c r="M10" s="139">
        <f t="shared" ca="1" si="1"/>
        <v>5.3231253112069841E+19</v>
      </c>
      <c r="N10" s="139">
        <f>courbes!U9</f>
        <v>0.58333333333333337</v>
      </c>
      <c r="O10" s="139">
        <f t="shared" ca="1" si="2"/>
        <v>5.3231251752183923E+19</v>
      </c>
      <c r="P10" s="138">
        <f>courbes!AE9</f>
        <v>1.4</v>
      </c>
      <c r="Q10" s="139">
        <f t="shared" ca="1" si="3"/>
        <v>5.5404200808532034E+19</v>
      </c>
      <c r="S10" s="144"/>
    </row>
    <row r="11" spans="1:19" ht="13.5" thickBot="1">
      <c r="A11" s="145" t="s">
        <v>254</v>
      </c>
      <c r="B11" s="161" t="s">
        <v>256</v>
      </c>
      <c r="C11" s="161"/>
      <c r="D11" s="161"/>
      <c r="E11" s="161"/>
      <c r="J11" s="138">
        <f>courbes!A10</f>
        <v>0.66666666666666663</v>
      </c>
      <c r="K11" s="139">
        <f t="shared" ca="1" si="0"/>
        <v>5.3537535657737888E+19</v>
      </c>
      <c r="L11" s="141">
        <f>courbes!J10</f>
        <v>0.66666666666666663</v>
      </c>
      <c r="M11" s="139">
        <f t="shared" ca="1" si="1"/>
        <v>5.3510748945608696E+19</v>
      </c>
      <c r="N11" s="139">
        <f>courbes!U10</f>
        <v>0.66666666666666663</v>
      </c>
      <c r="O11" s="139">
        <f t="shared" ca="1" si="2"/>
        <v>5.351074593069151E+19</v>
      </c>
      <c r="P11" s="138">
        <f>courbes!AE10</f>
        <v>1.6</v>
      </c>
      <c r="Q11" s="139">
        <f t="shared" ca="1" si="3"/>
        <v>5.5917719695156363E+19</v>
      </c>
    </row>
    <row r="12" spans="1:19" ht="18" thickBot="1">
      <c r="A12" s="145" t="s">
        <v>255</v>
      </c>
      <c r="B12" s="169" t="s">
        <v>299</v>
      </c>
      <c r="C12" s="161"/>
      <c r="D12" s="161"/>
      <c r="E12" s="161"/>
      <c r="J12" s="138">
        <f>courbes!A11</f>
        <v>0.75</v>
      </c>
      <c r="K12" s="139">
        <f t="shared" ca="1" si="0"/>
        <v>5.3812782439816823E+19</v>
      </c>
      <c r="L12" s="141">
        <f>courbes!J11</f>
        <v>0.75</v>
      </c>
      <c r="M12" s="139">
        <f t="shared" ca="1" si="1"/>
        <v>5.3783688373944222E+19</v>
      </c>
      <c r="N12" s="139">
        <f>courbes!U11</f>
        <v>0.75</v>
      </c>
      <c r="O12" s="139">
        <f t="shared" ca="1" si="2"/>
        <v>5.3783682291456147E+19</v>
      </c>
      <c r="P12" s="138">
        <f>courbes!AE11</f>
        <v>1.8</v>
      </c>
      <c r="Q12" s="139">
        <f t="shared" ca="1" si="3"/>
        <v>5.6410298976695026E+19</v>
      </c>
    </row>
    <row r="13" spans="1:19" ht="13.5" thickBot="1">
      <c r="J13" s="138">
        <f>courbes!A12</f>
        <v>0.83333333333333337</v>
      </c>
      <c r="K13" s="139">
        <f t="shared" ca="1" si="0"/>
        <v>5.4081502566935757E+19</v>
      </c>
      <c r="L13" s="141">
        <f>courbes!J12</f>
        <v>0.83333333333333337</v>
      </c>
      <c r="M13" s="139">
        <f t="shared" ca="1" si="1"/>
        <v>5.4050296520021344E+19</v>
      </c>
      <c r="N13" s="139">
        <f>courbes!U12</f>
        <v>0.83333333333333337</v>
      </c>
      <c r="O13" s="139">
        <f t="shared" ca="1" si="2"/>
        <v>5.4050285128719401E+19</v>
      </c>
      <c r="P13" s="138">
        <f>courbes!AE12</f>
        <v>2</v>
      </c>
      <c r="Q13" s="139">
        <f t="shared" ca="1" si="3"/>
        <v>5.6882935777199751E+19</v>
      </c>
    </row>
    <row r="14" spans="1:19" ht="13.5" thickBot="1">
      <c r="J14" s="138">
        <f>courbes!A13</f>
        <v>0.91666666666666663</v>
      </c>
      <c r="K14" s="139">
        <f t="shared" ca="1" si="0"/>
        <v>5.4343923101024846E+19</v>
      </c>
      <c r="L14" s="141">
        <f>courbes!J13</f>
        <v>0.91666666666666663</v>
      </c>
      <c r="M14" s="139">
        <f t="shared" ca="1" si="1"/>
        <v>5.431079155424727E+19</v>
      </c>
      <c r="N14" s="139">
        <f>courbes!U13</f>
        <v>0.91666666666666663</v>
      </c>
      <c r="O14" s="139">
        <f t="shared" ca="1" si="2"/>
        <v>5.431077146689808E+19</v>
      </c>
      <c r="P14" s="138">
        <f>courbes!AE13</f>
        <v>2.2000000000000002</v>
      </c>
      <c r="Q14" s="139">
        <f t="shared" ca="1" si="3"/>
        <v>5.7337624344773911E+19</v>
      </c>
    </row>
    <row r="15" spans="1:19" ht="13.5" thickBot="1">
      <c r="J15" s="138">
        <f>courbes!A14</f>
        <v>1</v>
      </c>
      <c r="K15" s="139">
        <f t="shared" ca="1" si="0"/>
        <v>5.46002636394955E+19</v>
      </c>
      <c r="L15" s="141">
        <f>courbes!J14</f>
        <v>1</v>
      </c>
      <c r="M15" s="139">
        <f t="shared" ca="1" si="1"/>
        <v>5.4565384982135439E+19</v>
      </c>
      <c r="N15" s="139">
        <f>courbes!U14</f>
        <v>1</v>
      </c>
      <c r="O15" s="139">
        <f t="shared" ca="1" si="2"/>
        <v>5.4565351277845283E+19</v>
      </c>
      <c r="P15" s="138">
        <f>courbes!AE14</f>
        <v>2.4</v>
      </c>
      <c r="Q15" s="139">
        <f t="shared" ca="1" si="3"/>
        <v>5.777536180346921E+19</v>
      </c>
    </row>
    <row r="16" spans="1:19" ht="13.5" thickBot="1">
      <c r="J16" s="138">
        <f>courbes!A15</f>
        <v>1.0833333333333333</v>
      </c>
      <c r="K16" s="139">
        <f t="shared" ca="1" si="0"/>
        <v>5.4850736541545923E+19</v>
      </c>
      <c r="L16" s="141">
        <f>courbes!J15</f>
        <v>1.0833333333333333</v>
      </c>
      <c r="M16" s="139">
        <f t="shared" ca="1" si="1"/>
        <v>5.4814260506297049E+19</v>
      </c>
      <c r="N16" s="139">
        <f>courbes!U15</f>
        <v>1.0833333333333333</v>
      </c>
      <c r="O16" s="139">
        <f t="shared" ca="1" si="2"/>
        <v>5.4814227691796496E+19</v>
      </c>
      <c r="P16" s="138">
        <f>courbes!AE15</f>
        <v>2.6</v>
      </c>
      <c r="Q16" s="139">
        <f t="shared" ca="1" si="3"/>
        <v>5.8197145277337346E+19</v>
      </c>
    </row>
    <row r="17" spans="10:19" ht="13.5" thickBot="1">
      <c r="J17" s="138">
        <f>courbes!A16</f>
        <v>1.1666666666666667</v>
      </c>
      <c r="K17" s="139">
        <f t="shared" ca="1" si="0"/>
        <v>5.5095547147783324E+19</v>
      </c>
      <c r="L17" s="141">
        <f>courbes!J16</f>
        <v>1.1666666666666667</v>
      </c>
      <c r="M17" s="139">
        <f t="shared" ca="1" si="1"/>
        <v>5.5057629186330255E+19</v>
      </c>
      <c r="N17" s="139">
        <f>courbes!U16</f>
        <v>1.1666666666666667</v>
      </c>
      <c r="O17" s="139">
        <f t="shared" ca="1" si="2"/>
        <v>5.5057597202179129E+19</v>
      </c>
      <c r="P17" s="138">
        <f>courbes!AE16</f>
        <v>2.8</v>
      </c>
      <c r="Q17" s="139">
        <f t="shared" ca="1" si="3"/>
        <v>5.8604969014481699E+19</v>
      </c>
    </row>
    <row r="18" spans="10:19" ht="13.5" thickBot="1">
      <c r="J18" s="138">
        <f>courbes!A17</f>
        <v>1.25</v>
      </c>
      <c r="K18" s="139">
        <f t="shared" ca="1" si="0"/>
        <v>5.5334893993360032E+19</v>
      </c>
      <c r="L18" s="141">
        <f>courbes!J17</f>
        <v>1.25</v>
      </c>
      <c r="M18" s="139">
        <f t="shared" ca="1" si="1"/>
        <v>5.5295681088236462E+19</v>
      </c>
      <c r="N18" s="139">
        <f>courbes!U17</f>
        <v>1.25</v>
      </c>
      <c r="O18" s="139">
        <f t="shared" ca="1" si="2"/>
        <v>5.5295649864464466E+19</v>
      </c>
      <c r="P18" s="138">
        <f>courbes!AE17</f>
        <v>3</v>
      </c>
      <c r="Q18" s="139">
        <f t="shared" ca="1" si="3"/>
        <v>5.8998833014902301E+19</v>
      </c>
      <c r="R18" s="145"/>
      <c r="S18" s="145"/>
    </row>
    <row r="19" spans="10:19" ht="13.5" thickBot="1">
      <c r="J19" s="138">
        <f>courbes!A18</f>
        <v>1.3333333333333333</v>
      </c>
      <c r="K19" s="139">
        <f t="shared" ca="1" si="0"/>
        <v>5.5568969014815105E+19</v>
      </c>
      <c r="L19" s="141">
        <f>courbes!J18</f>
        <v>1.3333333333333333</v>
      </c>
      <c r="M19" s="139">
        <f t="shared" ca="1" si="1"/>
        <v>5.5528600046657716E+19</v>
      </c>
      <c r="N19" s="139">
        <f>courbes!U18</f>
        <v>1.3333333333333333</v>
      </c>
      <c r="O19" s="139">
        <f t="shared" ca="1" si="2"/>
        <v>5.552856948923895E+19</v>
      </c>
      <c r="P19" s="138">
        <f>courbes!AE18</f>
        <v>3.2</v>
      </c>
      <c r="Q19" s="139">
        <f t="shared" ca="1" si="3"/>
        <v>5.9380731526702531E+19</v>
      </c>
      <c r="R19" s="145"/>
      <c r="S19" s="145"/>
    </row>
    <row r="20" spans="10:19" ht="13.5" thickBot="1">
      <c r="J20" s="138">
        <f>courbes!A19</f>
        <v>1.4166666666666667</v>
      </c>
      <c r="K20" s="139">
        <f t="shared" ca="1" si="0"/>
        <v>5.5797957750807183E+19</v>
      </c>
      <c r="L20" s="141">
        <f>courbes!J19</f>
        <v>1.4166666666666667</v>
      </c>
      <c r="M20" s="139">
        <f t="shared" ca="1" si="1"/>
        <v>5.5756563866682458E+19</v>
      </c>
      <c r="N20" s="139">
        <f>courbes!U19</f>
        <v>1.4166666666666667</v>
      </c>
      <c r="O20" s="139">
        <f t="shared" ca="1" si="2"/>
        <v>5.5756533829655003E+19</v>
      </c>
      <c r="P20" s="138">
        <f>courbes!AE19</f>
        <v>3.4</v>
      </c>
      <c r="Q20" s="139">
        <f t="shared" ca="1" si="3"/>
        <v>5.9751661673934078E+19</v>
      </c>
      <c r="R20" s="145"/>
      <c r="S20" s="145"/>
    </row>
    <row r="21" spans="10:19" ht="13.5" thickBot="1">
      <c r="J21" s="138">
        <f>courbes!A20</f>
        <v>1.5</v>
      </c>
      <c r="K21" s="139">
        <f t="shared" ca="1" si="0"/>
        <v>5.6022039536918823E+19</v>
      </c>
      <c r="L21" s="141">
        <f>courbes!J20</f>
        <v>1.5</v>
      </c>
      <c r="M21" s="139">
        <f t="shared" ca="1" si="1"/>
        <v>5.5979744525651198E+19</v>
      </c>
      <c r="N21" s="139">
        <f>courbes!U20</f>
        <v>1.5</v>
      </c>
      <c r="O21" s="139">
        <f t="shared" ca="1" si="2"/>
        <v>5.5979714763434426E+19</v>
      </c>
      <c r="P21" s="138">
        <f>courbes!AE20</f>
        <v>3.6</v>
      </c>
      <c r="Q21" s="139">
        <f t="shared" ca="1" si="3"/>
        <v>6.0111623456596967E+19</v>
      </c>
      <c r="R21" s="145"/>
      <c r="S21" s="145"/>
    </row>
    <row r="22" spans="10:19" ht="13.5" thickBot="1">
      <c r="J22" s="138">
        <f>courbes!A21</f>
        <v>1.5833333333333333</v>
      </c>
      <c r="K22" s="139">
        <f t="shared" ca="1" si="0"/>
        <v>5.6241387694707319E+19</v>
      </c>
      <c r="L22" s="141">
        <f>courbes!J21</f>
        <v>1.5833333333333333</v>
      </c>
      <c r="M22" s="139">
        <f t="shared" ca="1" si="1"/>
        <v>5.6198308374962225E+19</v>
      </c>
      <c r="N22" s="139">
        <f>courbes!U21</f>
        <v>1.5833333333333333</v>
      </c>
      <c r="O22" s="139">
        <f t="shared" ca="1" si="2"/>
        <v>5.6198278469574164E+19</v>
      </c>
      <c r="P22" s="138">
        <f>courbes!AE21</f>
        <v>3.8</v>
      </c>
      <c r="Q22" s="139">
        <f t="shared" ca="1" si="3"/>
        <v>6.0462611122794562E+19</v>
      </c>
      <c r="R22" s="145"/>
      <c r="S22" s="145"/>
    </row>
    <row r="23" spans="10:19" ht="13.5" thickBot="1">
      <c r="J23" s="138">
        <f>courbes!A22</f>
        <v>1.6666666666666667</v>
      </c>
      <c r="K23" s="139">
        <f t="shared" ca="1" si="0"/>
        <v>5.6456169715171639E+19</v>
      </c>
      <c r="L23" s="141">
        <f>courbes!J22</f>
        <v>1.6666666666666667</v>
      </c>
      <c r="M23" s="139">
        <f t="shared" ca="1" si="1"/>
        <v>5.6412416341877375E+19</v>
      </c>
      <c r="N23" s="139">
        <f>courbes!U22</f>
        <v>1.6666666666666667</v>
      </c>
      <c r="O23" s="139">
        <f t="shared" ca="1" si="2"/>
        <v>5.6412385599911592E+19</v>
      </c>
      <c r="P23" s="138">
        <f>courbes!AE22</f>
        <v>4</v>
      </c>
      <c r="Q23" s="139">
        <f t="shared" ca="1" si="3"/>
        <v>6.0803627548475171E+19</v>
      </c>
      <c r="R23" s="145"/>
      <c r="S23" s="145"/>
    </row>
    <row r="24" spans="10:19" ht="13.5" thickBot="1">
      <c r="J24" s="138">
        <f>courbes!A23</f>
        <v>1.75</v>
      </c>
      <c r="K24" s="139">
        <f t="shared" ca="1" si="0"/>
        <v>5.6666547436800205E+19</v>
      </c>
      <c r="L24" s="141">
        <f>courbes!J23</f>
        <v>1.75</v>
      </c>
      <c r="M24" s="139">
        <f t="shared" ca="1" si="1"/>
        <v>5.6622224131327672E+19</v>
      </c>
      <c r="N24" s="139">
        <f>courbes!U23</f>
        <v>1.75</v>
      </c>
      <c r="O24" s="139">
        <f t="shared" ca="1" si="2"/>
        <v>5.6622191445700051E+19</v>
      </c>
      <c r="P24" s="138">
        <f>courbes!AE23</f>
        <v>4.2</v>
      </c>
      <c r="Q24" s="139">
        <f t="shared" ca="1" si="3"/>
        <v>6.1137664105793913E+19</v>
      </c>
      <c r="R24" s="145"/>
      <c r="S24" s="145"/>
    </row>
    <row r="25" spans="10:19" ht="13.5" thickBot="1">
      <c r="J25" s="138">
        <f>courbes!A24</f>
        <v>1.8333333333333333</v>
      </c>
      <c r="K25" s="139">
        <f t="shared" ca="1" si="0"/>
        <v>5.6872677218359304E+19</v>
      </c>
      <c r="L25" s="141">
        <f>courbes!J24</f>
        <v>1.8333333333333333</v>
      </c>
      <c r="M25" s="139">
        <f t="shared" ca="1" si="1"/>
        <v>5.6827882427719123E+19</v>
      </c>
      <c r="N25" s="139">
        <f>courbes!U24</f>
        <v>1.8333333333333333</v>
      </c>
      <c r="O25" s="139">
        <f t="shared" ca="1" si="2"/>
        <v>5.682784609933738E+19</v>
      </c>
      <c r="P25" s="138">
        <f>courbes!AE24</f>
        <v>4.4000000000000004</v>
      </c>
      <c r="Q25" s="139">
        <f t="shared" ca="1" si="3"/>
        <v>6.1463723670699065E+19</v>
      </c>
      <c r="R25" s="145"/>
      <c r="S25" s="145"/>
    </row>
    <row r="26" spans="10:19" ht="13.5" thickBot="1">
      <c r="J26" s="138">
        <f>courbes!A25</f>
        <v>1.9166666666666667</v>
      </c>
      <c r="K26" s="139">
        <f t="shared" ca="1" si="0"/>
        <v>5.707471010657715E+19</v>
      </c>
      <c r="L26" s="141">
        <f>courbes!J25</f>
        <v>1.9166666666666667</v>
      </c>
      <c r="M26" s="139">
        <f t="shared" ca="1" si="1"/>
        <v>5.7029537096738398E+19</v>
      </c>
      <c r="N26" s="139">
        <f>courbes!U25</f>
        <v>1.9166666666666667</v>
      </c>
      <c r="O26" s="139">
        <f t="shared" ca="1" si="2"/>
        <v>5.7029494611385844E+19</v>
      </c>
      <c r="P26" s="138">
        <f>courbes!AE25</f>
        <v>4.5999999999999996</v>
      </c>
      <c r="Q26" s="139">
        <f t="shared" ca="1" si="3"/>
        <v>6.1782803367242342E+19</v>
      </c>
      <c r="R26" s="145"/>
      <c r="S26" s="145"/>
    </row>
    <row r="27" spans="10:19" ht="13.5" thickBot="1">
      <c r="J27" s="138">
        <f>courbes!A26</f>
        <v>2</v>
      </c>
      <c r="K27" s="139">
        <f t="shared" ca="1" si="0"/>
        <v>5.7272791998874051E+19</v>
      </c>
      <c r="L27" s="141">
        <f>courbes!J26</f>
        <v>2</v>
      </c>
      <c r="M27" s="139">
        <f t="shared" ca="1" si="1"/>
        <v>5.7227329387158503E+19</v>
      </c>
      <c r="N27" s="139">
        <f>courbes!U26</f>
        <v>2</v>
      </c>
      <c r="O27" s="139">
        <f t="shared" ca="1" si="2"/>
        <v>5.7227277143026303E+19</v>
      </c>
      <c r="P27" s="138">
        <f>courbes!AE26</f>
        <v>4.8</v>
      </c>
      <c r="Q27" s="139">
        <f t="shared" ca="1" si="3"/>
        <v>6.2095900319475417E+19</v>
      </c>
      <c r="R27" s="145"/>
      <c r="S27" s="145"/>
    </row>
    <row r="28" spans="10:19" ht="13.5" thickBot="1">
      <c r="J28" s="138">
        <f>courbes!A27</f>
        <v>2.0833333333333335</v>
      </c>
      <c r="K28" s="139">
        <f t="shared" ca="1" si="0"/>
        <v>5.7467063801284682E+19</v>
      </c>
      <c r="L28" s="141">
        <f>courbes!J27</f>
        <v>2.0833333333333335</v>
      </c>
      <c r="M28" s="139">
        <f t="shared" ca="1" si="1"/>
        <v>5.7421381101686874E+19</v>
      </c>
      <c r="N28" s="139">
        <f>courbes!U27</f>
        <v>2.0833333333333335</v>
      </c>
      <c r="O28" s="139">
        <f t="shared" ca="1" si="2"/>
        <v>5.7421329114073399E+19</v>
      </c>
      <c r="P28" s="138">
        <f>courbes!AE27</f>
        <v>5</v>
      </c>
      <c r="Q28" s="139">
        <f t="shared" ca="1" si="3"/>
        <v>6.2403014527398314E+19</v>
      </c>
      <c r="R28" s="145"/>
      <c r="S28" s="145"/>
    </row>
    <row r="29" spans="10:19" ht="13.5" thickBot="1">
      <c r="J29" s="138">
        <f>courbes!A28</f>
        <v>2.1666666666666665</v>
      </c>
      <c r="K29" s="139">
        <f t="shared" ca="1" si="0"/>
        <v>5.765766158171408E+19</v>
      </c>
      <c r="L29" s="141">
        <f>courbes!J28</f>
        <v>2.1666666666666665</v>
      </c>
      <c r="M29" s="139">
        <f t="shared" ca="1" si="1"/>
        <v>5.7611833292816613E+19</v>
      </c>
      <c r="N29" s="139">
        <f>courbes!U28</f>
        <v>2.1666666666666665</v>
      </c>
      <c r="O29" s="139">
        <f t="shared" ca="1" si="2"/>
        <v>5.7611781346681225E+19</v>
      </c>
      <c r="P29" s="138">
        <f>courbes!AE28</f>
        <v>5.2</v>
      </c>
      <c r="Q29" s="139">
        <f t="shared" ca="1" si="3"/>
        <v>6.2705143115062723E+19</v>
      </c>
      <c r="R29" s="145"/>
      <c r="S29" s="145"/>
    </row>
    <row r="30" spans="10:19" ht="13.5" thickBot="1">
      <c r="J30" s="138">
        <f>courbes!A29</f>
        <v>2.25</v>
      </c>
      <c r="K30" s="139">
        <f t="shared" ca="1" si="0"/>
        <v>5.784471671866481E+19</v>
      </c>
      <c r="L30" s="141">
        <f>courbes!J29</f>
        <v>2.25</v>
      </c>
      <c r="M30" s="139">
        <f t="shared" ca="1" si="1"/>
        <v>5.7798812344617558E+19</v>
      </c>
      <c r="N30" s="139">
        <f>courbes!U29</f>
        <v>2.25</v>
      </c>
      <c r="O30" s="139">
        <f t="shared" ca="1" si="2"/>
        <v>5.7798760204869796E+19</v>
      </c>
      <c r="P30" s="138">
        <f>courbes!AE29</f>
        <v>5.4</v>
      </c>
      <c r="Q30" s="139">
        <f t="shared" ca="1" si="3"/>
        <v>6.3002286082468643E+19</v>
      </c>
      <c r="R30" s="145"/>
      <c r="S30" s="145"/>
    </row>
    <row r="31" spans="10:19" ht="13.5" thickBot="1">
      <c r="J31" s="138">
        <f>courbes!A30</f>
        <v>2.3333333333333335</v>
      </c>
      <c r="K31" s="139">
        <f t="shared" ca="1" si="0"/>
        <v>5.8028356045568705E+19</v>
      </c>
      <c r="L31" s="141">
        <f>courbes!J30</f>
        <v>2.3333333333333335</v>
      </c>
      <c r="M31" s="139">
        <f t="shared" ca="1" si="1"/>
        <v>5.7982440328300675E+19</v>
      </c>
      <c r="N31" s="139">
        <f>courbes!U30</f>
        <v>2.3333333333333335</v>
      </c>
      <c r="O31" s="139">
        <f t="shared" ca="1" si="2"/>
        <v>5.7982387729983177E+19</v>
      </c>
      <c r="P31" s="138">
        <f>courbes!AE30</f>
        <v>5.6</v>
      </c>
      <c r="Q31" s="139">
        <f t="shared" ca="1" si="3"/>
        <v>6.3295440553667772E+19</v>
      </c>
      <c r="R31" s="145"/>
      <c r="S31" s="145"/>
    </row>
    <row r="32" spans="10:19" ht="13.5" thickBot="1">
      <c r="J32" s="138">
        <f>courbes!A31</f>
        <v>2.4166666666666665</v>
      </c>
      <c r="K32" s="139">
        <f t="shared" ca="1" si="0"/>
        <v>5.8208701990852534E+19</v>
      </c>
      <c r="L32" s="141">
        <f>courbes!J31</f>
        <v>2.4166666666666665</v>
      </c>
      <c r="M32" s="139">
        <f t="shared" ca="1" si="1"/>
        <v>5.8162835143782515E+19</v>
      </c>
      <c r="N32" s="139">
        <f>courbes!U31</f>
        <v>2.4166666666666665</v>
      </c>
      <c r="O32" s="139">
        <f t="shared" ca="1" si="2"/>
        <v>5.8162781772207555E+19</v>
      </c>
      <c r="P32" s="138">
        <f>courbes!AE31</f>
        <v>5.8</v>
      </c>
      <c r="Q32" s="139">
        <f t="shared" ca="1" si="3"/>
        <v>6.358460652866012E+19</v>
      </c>
      <c r="R32" s="145"/>
      <c r="S32" s="145"/>
    </row>
    <row r="33" spans="10:19" ht="13.5" thickBot="1">
      <c r="J33" s="138">
        <f>courbes!A32</f>
        <v>2.5</v>
      </c>
      <c r="K33" s="139">
        <f t="shared" ca="1" si="0"/>
        <v>5.8385872713863242E+19</v>
      </c>
      <c r="L33" s="141">
        <f>courbes!J32</f>
        <v>2.5</v>
      </c>
      <c r="M33" s="139">
        <f t="shared" ca="1" si="1"/>
        <v>5.8340110661249786E+19</v>
      </c>
      <c r="N33" s="139">
        <f>courbes!U32</f>
        <v>2.5</v>
      </c>
      <c r="O33" s="139">
        <f t="shared" ca="1" si="2"/>
        <v>5.8340056118258729E+19</v>
      </c>
      <c r="P33" s="138">
        <f>courbes!AE32</f>
        <v>6</v>
      </c>
      <c r="Q33" s="139">
        <f t="shared" ca="1" si="3"/>
        <v>6.3869784007445651E+19</v>
      </c>
      <c r="R33" s="145"/>
      <c r="S33" s="145"/>
    </row>
    <row r="34" spans="10:19" ht="13.5" thickBot="1">
      <c r="J34" s="138">
        <f>courbes!A33</f>
        <v>2.5833333333333335</v>
      </c>
      <c r="K34" s="139">
        <f t="shared" ca="1" si="0"/>
        <v>5.8559982236774572E+19</v>
      </c>
      <c r="L34" s="141">
        <f>courbes!J33</f>
        <v>2.5833333333333335</v>
      </c>
      <c r="M34" s="139">
        <f t="shared" ca="1" si="1"/>
        <v>5.8514376862723817E+19</v>
      </c>
      <c r="N34" s="139">
        <f>courbes!U33</f>
        <v>2.5833333333333335</v>
      </c>
      <c r="O34" s="139">
        <f t="shared" ca="1" si="2"/>
        <v>5.851432061534693E+19</v>
      </c>
      <c r="P34" s="138">
        <f>courbes!AE33</f>
        <v>6.2</v>
      </c>
      <c r="Q34" s="139">
        <f t="shared" ca="1" si="3"/>
        <v>6.4151970114076115E+19</v>
      </c>
      <c r="R34" s="145"/>
      <c r="S34" s="145"/>
    </row>
    <row r="35" spans="10:19" ht="13.5" thickBot="1">
      <c r="J35" s="138">
        <f>courbes!A34</f>
        <v>2.6666666666666665</v>
      </c>
      <c r="K35" s="139">
        <f t="shared" ca="1" si="0"/>
        <v>5.873114057259334E+19</v>
      </c>
      <c r="L35" s="141">
        <f>courbes!J34</f>
        <v>2.6666666666666665</v>
      </c>
      <c r="M35" s="139">
        <f t="shared" ca="1" si="1"/>
        <v>5.868573998362511E+19</v>
      </c>
      <c r="N35" s="139">
        <f>courbes!U34</f>
        <v>2.6666666666666665</v>
      </c>
      <c r="O35" s="139">
        <f t="shared" ca="1" si="2"/>
        <v>5.8685681291534631E+19</v>
      </c>
      <c r="P35" s="138">
        <f>courbes!AE34</f>
        <v>6.4</v>
      </c>
      <c r="Q35" s="139">
        <f t="shared" ca="1" si="3"/>
        <v>6.4430167724499788E+19</v>
      </c>
      <c r="R35" s="145"/>
      <c r="S35" s="145"/>
    </row>
    <row r="36" spans="10:19" ht="13.5" thickBot="1">
      <c r="J36" s="138">
        <f>courbes!A35</f>
        <v>2.75</v>
      </c>
      <c r="K36" s="139">
        <f t="shared" ca="1" si="0"/>
        <v>5.8899453849380094E+19</v>
      </c>
      <c r="L36" s="141">
        <f>courbes!J35</f>
        <v>2.75</v>
      </c>
      <c r="M36" s="139">
        <f t="shared" ca="1" si="1"/>
        <v>5.885430265433781E+19</v>
      </c>
      <c r="N36" s="139">
        <f>courbes!U35</f>
        <v>2.75</v>
      </c>
      <c r="O36" s="139">
        <f t="shared" ca="1" si="2"/>
        <v>5.885424047258334E+19</v>
      </c>
      <c r="P36" s="138">
        <f>courbes!AE35</f>
        <v>6.6</v>
      </c>
      <c r="Q36" s="139">
        <f t="shared" ca="1" si="3"/>
        <v>6.4706371086820041E+19</v>
      </c>
      <c r="R36" s="145"/>
      <c r="S36" s="145"/>
    </row>
    <row r="37" spans="10:19" ht="13.5" thickBot="1">
      <c r="J37" s="138">
        <f>courbes!A36</f>
        <v>2.8333333333333335</v>
      </c>
      <c r="K37" s="139">
        <f t="shared" ca="1" si="0"/>
        <v>5.9065024430795506E+19</v>
      </c>
      <c r="L37" s="141">
        <f>courbes!J36</f>
        <v>2.8333333333333335</v>
      </c>
      <c r="M37" s="139">
        <f t="shared" ca="1" si="1"/>
        <v>5.9020164041774268E+19</v>
      </c>
      <c r="N37" s="139">
        <f>courbes!U36</f>
        <v>2.8333333333333335</v>
      </c>
      <c r="O37" s="139">
        <f t="shared" ca="1" si="2"/>
        <v>5.9020096895397331E+19</v>
      </c>
      <c r="P37" s="138">
        <f>courbes!AE36</f>
        <v>6.8</v>
      </c>
      <c r="Q37" s="139">
        <f t="shared" ca="1" si="3"/>
        <v>6.4979583076985209E+19</v>
      </c>
      <c r="R37" s="145"/>
      <c r="S37" s="145"/>
    </row>
    <row r="38" spans="10:19" ht="13.5" thickBot="1">
      <c r="J38" s="138">
        <f>courbes!A37</f>
        <v>2.9166666666666665</v>
      </c>
      <c r="K38" s="139">
        <f t="shared" ca="1" si="0"/>
        <v>5.9227951033080545E+19</v>
      </c>
      <c r="L38" s="141">
        <f>courbes!J37</f>
        <v>2.9166666666666665</v>
      </c>
      <c r="M38" s="139">
        <f t="shared" ca="1" si="1"/>
        <v>5.9183419990939501E+19</v>
      </c>
      <c r="N38" s="139">
        <f>courbes!U37</f>
        <v>2.9166666666666665</v>
      </c>
      <c r="O38" s="139">
        <f t="shared" ca="1" si="2"/>
        <v>5.918334581815876E+19</v>
      </c>
      <c r="P38" s="138">
        <f>courbes!AE37</f>
        <v>7</v>
      </c>
      <c r="Q38" s="139">
        <f t="shared" ca="1" si="3"/>
        <v>6.525080081904699E+19</v>
      </c>
      <c r="R38" s="145"/>
      <c r="S38" s="145"/>
    </row>
    <row r="39" spans="10:19" ht="13.5" thickBot="1">
      <c r="J39" s="138">
        <f>courbes!A38</f>
        <v>3</v>
      </c>
      <c r="K39" s="139">
        <f t="shared" ca="1" si="0"/>
        <v>5.9388328838575292E+19</v>
      </c>
      <c r="L39" s="141">
        <f>courbes!J38</f>
        <v>3</v>
      </c>
      <c r="M39" s="139">
        <f t="shared" ca="1" si="1"/>
        <v>5.9344163166495744E+19</v>
      </c>
      <c r="N39" s="139">
        <f>courbes!U38</f>
        <v>3</v>
      </c>
      <c r="O39" s="139">
        <f t="shared" ca="1" si="2"/>
        <v>5.9344079127252533E+19</v>
      </c>
      <c r="P39" s="138">
        <f>courbes!AE38</f>
        <v>7.2</v>
      </c>
      <c r="Q39" s="139">
        <f t="shared" ca="1" si="3"/>
        <v>6.5519027188953686E+19</v>
      </c>
      <c r="R39" s="145"/>
      <c r="S39" s="145"/>
    </row>
    <row r="40" spans="10:19" ht="13.5" thickBot="1">
      <c r="J40" s="138">
        <f>courbes!A39</f>
        <v>3.0833333333333335</v>
      </c>
      <c r="K40" s="139">
        <f t="shared" ca="1" si="0"/>
        <v>5.9546249605878137E+19</v>
      </c>
      <c r="L40" s="141">
        <f>courbes!J39</f>
        <v>3.0833333333333335</v>
      </c>
      <c r="M40" s="139">
        <f t="shared" ca="1" si="1"/>
        <v>5.9502472640465789E+19</v>
      </c>
      <c r="N40" s="139">
        <f>courbes!U39</f>
        <v>3.0833333333333335</v>
      </c>
      <c r="O40" s="139">
        <f t="shared" ca="1" si="2"/>
        <v>5.9502385441072939E+19</v>
      </c>
      <c r="P40" s="138">
        <f>courbes!AE39</f>
        <v>7.4</v>
      </c>
      <c r="Q40" s="139">
        <f t="shared" ca="1" si="3"/>
        <v>6.5785259310756979E+19</v>
      </c>
      <c r="R40" s="145"/>
      <c r="S40" s="145"/>
    </row>
    <row r="41" spans="10:19" ht="13.5" thickBot="1">
      <c r="J41" s="138">
        <f>courbes!A40</f>
        <v>3.1666666666666665</v>
      </c>
      <c r="K41" s="139">
        <f t="shared" ca="1" si="0"/>
        <v>5.9701801776744047E+19</v>
      </c>
      <c r="L41" s="141">
        <f>courbes!J40</f>
        <v>3.1666666666666665</v>
      </c>
      <c r="M41" s="139">
        <f t="shared" ca="1" si="1"/>
        <v>5.9658441061338784E+19</v>
      </c>
      <c r="N41" s="139">
        <f>courbes!U40</f>
        <v>3.1666666666666665</v>
      </c>
      <c r="O41" s="139">
        <f t="shared" ca="1" si="2"/>
        <v>5.9658350210799796E+19</v>
      </c>
      <c r="P41" s="138">
        <f>courbes!AE40</f>
        <v>7.6</v>
      </c>
      <c r="Q41" s="139">
        <f t="shared" ca="1" si="3"/>
        <v>6.6050494308508574E+19</v>
      </c>
      <c r="R41" s="145"/>
      <c r="S41" s="145"/>
    </row>
    <row r="42" spans="10:19" ht="13.5" thickBot="1">
      <c r="J42" s="138">
        <f>courbes!A41</f>
        <v>3.25</v>
      </c>
      <c r="K42" s="139">
        <f t="shared" ca="1" si="0"/>
        <v>5.9855070579817824E+19</v>
      </c>
      <c r="L42" s="141">
        <f>courbes!J41</f>
        <v>3.25</v>
      </c>
      <c r="M42" s="139">
        <f t="shared" ca="1" si="1"/>
        <v>5.9812150839716348E+19</v>
      </c>
      <c r="N42" s="139">
        <f>courbes!U41</f>
        <v>3.25</v>
      </c>
      <c r="O42" s="139">
        <f t="shared" ca="1" si="2"/>
        <v>5.9812055818238394E+19</v>
      </c>
      <c r="P42" s="138">
        <f>courbes!AE41</f>
        <v>7.8</v>
      </c>
      <c r="Q42" s="139">
        <f t="shared" ca="1" si="3"/>
        <v>6.6312737934105068E+19</v>
      </c>
      <c r="R42" s="145"/>
      <c r="S42" s="145"/>
    </row>
    <row r="43" spans="10:19" ht="13.5" thickBot="1">
      <c r="J43" s="138">
        <f>courbes!A42</f>
        <v>3.3333333333333335</v>
      </c>
      <c r="K43" s="139">
        <f t="shared" ca="1" si="0"/>
        <v>6.0006138131295248E+19</v>
      </c>
      <c r="L43" s="141">
        <f>courbes!J42</f>
        <v>3.3333333333333335</v>
      </c>
      <c r="M43" s="139">
        <f t="shared" ca="1" si="1"/>
        <v>5.9963681418726294E+19</v>
      </c>
      <c r="N43" s="139">
        <f>courbes!U42</f>
        <v>3.3333333333333335</v>
      </c>
      <c r="O43" s="139">
        <f t="shared" ca="1" si="2"/>
        <v>5.9963581670798492E+19</v>
      </c>
      <c r="P43" s="138">
        <f>courbes!AE42</f>
        <v>8</v>
      </c>
      <c r="Q43" s="139">
        <f t="shared" ca="1" si="3"/>
        <v>6.6572987311598182E+19</v>
      </c>
      <c r="R43" s="145"/>
      <c r="S43" s="145"/>
    </row>
    <row r="44" spans="10:19" ht="13.5" thickBot="1">
      <c r="J44" s="138">
        <f>courbes!A43</f>
        <v>3.4166666666666665</v>
      </c>
      <c r="K44" s="139">
        <f t="shared" ca="1" si="0"/>
        <v>6.0155083532602335E+19</v>
      </c>
      <c r="L44" s="141">
        <f>courbes!J43</f>
        <v>3.4166666666666665</v>
      </c>
      <c r="M44" s="139">
        <f t="shared" ca="1" si="1"/>
        <v>6.0113109373273948E+19</v>
      </c>
      <c r="N44" s="139">
        <f>courbes!U43</f>
        <v>3.4166666666666665</v>
      </c>
      <c r="O44" s="139">
        <f t="shared" ca="1" si="2"/>
        <v>6.011300429370386E+19</v>
      </c>
      <c r="P44" s="138">
        <f>courbes!AE43</f>
        <v>8.1999999999999993</v>
      </c>
      <c r="Q44" s="139">
        <f t="shared" ca="1" si="3"/>
        <v>6.6831242440987886E+19</v>
      </c>
      <c r="R44" s="145"/>
      <c r="S44" s="145"/>
    </row>
    <row r="45" spans="10:19" ht="13.5" thickBot="1">
      <c r="J45" s="138">
        <f>courbes!A44</f>
        <v>3.5</v>
      </c>
      <c r="K45" s="139">
        <f t="shared" ca="1" si="0"/>
        <v>6.0301982965180367E+19</v>
      </c>
      <c r="L45" s="141">
        <f>courbes!J44</f>
        <v>3.5</v>
      </c>
      <c r="M45" s="139">
        <f t="shared" ca="1" si="1"/>
        <v>6.026050850929324E+19</v>
      </c>
      <c r="N45" s="139">
        <f>courbes!U44</f>
        <v>3.5</v>
      </c>
      <c r="O45" s="139">
        <f t="shared" ca="1" si="2"/>
        <v>6.0260397419508695E+19</v>
      </c>
      <c r="P45" s="138">
        <f>courbes!AE44</f>
        <v>8.4</v>
      </c>
      <c r="Q45" s="139">
        <f t="shared" ca="1" si="3"/>
        <v>6.7088500446325899E+19</v>
      </c>
      <c r="R45" s="145"/>
      <c r="S45" s="145"/>
    </row>
    <row r="46" spans="10:19" ht="13.5" thickBot="1">
      <c r="J46" s="138">
        <f>courbes!A45</f>
        <v>3.5833333333333335</v>
      </c>
      <c r="K46" s="139">
        <f t="shared" ca="1" si="0"/>
        <v>6.0446909782461563E+19</v>
      </c>
      <c r="L46" s="141">
        <f>courbes!J45</f>
        <v>3.5833333333333335</v>
      </c>
      <c r="M46" s="139">
        <f t="shared" ca="1" si="1"/>
        <v>6.0405949962998071E+19</v>
      </c>
      <c r="N46" s="139">
        <f>courbes!U45</f>
        <v>3.5833333333333335</v>
      </c>
      <c r="O46" s="139">
        <f t="shared" ca="1" si="2"/>
        <v>6.0405832074996777E+19</v>
      </c>
      <c r="P46" s="138">
        <f>courbes!AE45</f>
        <v>8.6</v>
      </c>
      <c r="Q46" s="139">
        <f t="shared" ca="1" si="3"/>
        <v>6.7343764203560509E+19</v>
      </c>
      <c r="R46" s="145"/>
      <c r="S46" s="145"/>
    </row>
    <row r="47" spans="10:19" ht="13.5" thickBot="1">
      <c r="J47" s="138">
        <f>courbes!A46</f>
        <v>3.6666666666666665</v>
      </c>
      <c r="K47" s="139">
        <f t="shared" ca="1" si="0"/>
        <v>6.0589934599117898E+19</v>
      </c>
      <c r="L47" s="141">
        <f>courbes!J46</f>
        <v>3.6666666666666665</v>
      </c>
      <c r="M47" s="139">
        <f t="shared" ca="1" si="1"/>
        <v>6.0549502300133417E+19</v>
      </c>
      <c r="N47" s="139">
        <f>courbes!U46</f>
        <v>3.6666666666666665</v>
      </c>
      <c r="O47" s="139">
        <f t="shared" ca="1" si="2"/>
        <v>6.0549376665543246E+19</v>
      </c>
      <c r="P47" s="138">
        <f>courbes!AE46</f>
        <v>8.8000000000000007</v>
      </c>
      <c r="Q47" s="139">
        <f t="shared" ca="1" si="3"/>
        <v>6.7597033712691741E+19</v>
      </c>
      <c r="R47" s="145"/>
      <c r="S47" s="145"/>
    </row>
    <row r="48" spans="10:19" ht="13.5" thickBot="1">
      <c r="J48" s="138">
        <f>courbes!A47</f>
        <v>3.75</v>
      </c>
      <c r="K48" s="139">
        <f t="shared" ca="1" si="0"/>
        <v>6.0731125377663148E+19</v>
      </c>
      <c r="L48" s="141">
        <f>courbes!J47</f>
        <v>3.75</v>
      </c>
      <c r="M48" s="139">
        <f t="shared" ca="1" si="1"/>
        <v>6.0691231615226561E+19</v>
      </c>
      <c r="N48" s="139">
        <f>courbes!U47</f>
        <v>3.75</v>
      </c>
      <c r="O48" s="139">
        <f t="shared" ca="1" si="2"/>
        <v>6.0691097057009533E+19</v>
      </c>
      <c r="P48" s="138">
        <f>courbes!AE47</f>
        <v>9</v>
      </c>
      <c r="Q48" s="139">
        <f t="shared" ca="1" si="3"/>
        <v>6.7848308973719552E+19</v>
      </c>
      <c r="R48" s="145"/>
      <c r="S48" s="145"/>
    </row>
    <row r="49" spans="10:19" ht="13.5" thickBot="1">
      <c r="J49" s="138">
        <f>courbes!A48</f>
        <v>3.8333333333333335</v>
      </c>
      <c r="K49" s="139">
        <f t="shared" ca="1" si="0"/>
        <v>6.0870547512485741E+19</v>
      </c>
      <c r="L49" s="141">
        <f>courbes!J48</f>
        <v>3.8333333333333335</v>
      </c>
      <c r="M49" s="139">
        <f t="shared" ca="1" si="1"/>
        <v>6.0831201630838391E+19</v>
      </c>
      <c r="N49" s="139">
        <f>courbes!U48</f>
        <v>3.8333333333333335</v>
      </c>
      <c r="O49" s="139">
        <f t="shared" ca="1" si="2"/>
        <v>6.0831056655242625E+19</v>
      </c>
      <c r="P49" s="138">
        <f>courbes!AE48</f>
        <v>9.1999999999999993</v>
      </c>
      <c r="Q49" s="139">
        <f t="shared" ca="1" si="3"/>
        <v>6.8098587110695674E+19</v>
      </c>
      <c r="R49" s="145"/>
      <c r="S49" s="145"/>
    </row>
    <row r="50" spans="10:19" ht="13.5" thickBot="1">
      <c r="J50" s="138">
        <f>courbes!A49</f>
        <v>3.9166666666666665</v>
      </c>
      <c r="K50" s="139">
        <f t="shared" ca="1" si="0"/>
        <v>6.1008263911387881E+19</v>
      </c>
      <c r="L50" s="141">
        <f>courbes!J49</f>
        <v>3.9166666666666665</v>
      </c>
      <c r="M50" s="139">
        <f t="shared" ca="1" si="1"/>
        <v>6.0969473796814529E+19</v>
      </c>
      <c r="N50" s="139">
        <f>courbes!U49</f>
        <v>3.9166666666666665</v>
      </c>
      <c r="O50" s="139">
        <f t="shared" ca="1" si="2"/>
        <v>6.0969316483249766E+19</v>
      </c>
      <c r="P50" s="138">
        <f>courbes!AE49</f>
        <v>9.4</v>
      </c>
      <c r="Q50" s="139">
        <f t="shared" ca="1" si="3"/>
        <v>6.8345873875516719E+19</v>
      </c>
      <c r="R50" s="145"/>
      <c r="S50" s="145"/>
    </row>
    <row r="51" spans="10:19" ht="13.5" thickBot="1">
      <c r="J51" s="138">
        <f>courbes!A50</f>
        <v>4</v>
      </c>
      <c r="K51" s="139">
        <f t="shared" ca="1" si="0"/>
        <v>6.1144335074704015E+19</v>
      </c>
      <c r="L51" s="141">
        <f>courbes!J50</f>
        <v>4</v>
      </c>
      <c r="M51" s="139">
        <f t="shared" ca="1" si="1"/>
        <v>6.1106107389536633E+19</v>
      </c>
      <c r="N51" s="139">
        <f>courbes!U50</f>
        <v>4</v>
      </c>
      <c r="O51" s="139">
        <f t="shared" ca="1" si="2"/>
        <v>6.1105935256113381E+19</v>
      </c>
      <c r="P51" s="138">
        <f>courbes!AE50</f>
        <v>9.6</v>
      </c>
      <c r="Q51" s="139">
        <f t="shared" ca="1" si="3"/>
        <v>6.8592163516286042E+19</v>
      </c>
      <c r="R51" s="145"/>
      <c r="S51" s="145"/>
    </row>
    <row r="52" spans="10:19" ht="13.5" thickBot="1">
      <c r="J52" s="138">
        <f>courbes!A51</f>
        <v>4.083333333333333</v>
      </c>
      <c r="K52" s="139">
        <f t="shared" ca="1" si="0"/>
        <v>6.1278819172069655E+19</v>
      </c>
      <c r="L52" s="141">
        <f>courbes!J51</f>
        <v>4.083333333333333</v>
      </c>
      <c r="M52" s="139">
        <f t="shared" ca="1" si="1"/>
        <v>6.1241152194658583E+19</v>
      </c>
      <c r="N52" s="139">
        <f>courbes!U51</f>
        <v>4.083333333333333</v>
      </c>
      <c r="O52" s="139">
        <f t="shared" ca="1" si="2"/>
        <v>6.1240969453713359E+19</v>
      </c>
      <c r="P52" s="138">
        <f>courbes!AE51</f>
        <v>9.8000000000000007</v>
      </c>
      <c r="Q52" s="139">
        <f t="shared" ca="1" si="3"/>
        <v>6.8836458908951994E+19</v>
      </c>
      <c r="R52" s="145"/>
      <c r="S52" s="145"/>
    </row>
    <row r="53" spans="10:19" ht="13.5" thickBot="1">
      <c r="J53" s="138">
        <f>courbes!A52</f>
        <v>4.166666666666667</v>
      </c>
      <c r="K53" s="139">
        <f t="shared" ca="1" si="0"/>
        <v>6.1411772116909507E+19</v>
      </c>
      <c r="L53" s="141">
        <f>courbes!J52</f>
        <v>4.166666666666667</v>
      </c>
      <c r="M53" s="139">
        <f t="shared" ca="1" si="1"/>
        <v>6.1374667598933328E+19</v>
      </c>
      <c r="N53" s="139">
        <f>courbes!U52</f>
        <v>4.166666666666667</v>
      </c>
      <c r="O53" s="139">
        <f t="shared" ca="1" si="2"/>
        <v>6.1374473391319024E+19</v>
      </c>
      <c r="Q53" s="139">
        <f t="shared" ca="1" si="3"/>
        <v>0</v>
      </c>
      <c r="R53" s="145"/>
      <c r="S53" s="145"/>
    </row>
    <row r="54" spans="10:19" ht="13.5" thickBot="1">
      <c r="J54" s="138">
        <f>courbes!A53</f>
        <v>4.25</v>
      </c>
      <c r="K54" s="139">
        <f t="shared" ca="1" si="0"/>
        <v>6.1543247638711714E+19</v>
      </c>
      <c r="L54" s="141">
        <f>courbes!J53</f>
        <v>4.25</v>
      </c>
      <c r="M54" s="139">
        <f t="shared" ca="1" si="1"/>
        <v>6.1506705855702352E+19</v>
      </c>
      <c r="N54" s="139">
        <f>courbes!U53</f>
        <v>4.25</v>
      </c>
      <c r="O54" s="139">
        <f t="shared" ca="1" si="2"/>
        <v>6.1506499288112103E+19</v>
      </c>
      <c r="Q54" s="139">
        <f t="shared" ca="1" si="3"/>
        <v>0</v>
      </c>
      <c r="R54" s="145"/>
      <c r="S54" s="145"/>
    </row>
    <row r="55" spans="10:19" ht="13.5" thickBot="1">
      <c r="J55" s="138">
        <f>courbes!A54</f>
        <v>4.333333333333333</v>
      </c>
      <c r="K55" s="139">
        <f t="shared" ca="1" si="0"/>
        <v>6.167329735315311E+19</v>
      </c>
      <c r="L55" s="141">
        <f>courbes!J54</f>
        <v>4.333333333333333</v>
      </c>
      <c r="M55" s="139">
        <f t="shared" ca="1" si="1"/>
        <v>6.1637317193449054E+19</v>
      </c>
      <c r="N55" s="139">
        <f>courbes!U54</f>
        <v>4.333333333333333</v>
      </c>
      <c r="O55" s="139">
        <f t="shared" ca="1" si="2"/>
        <v>6.1637097333701181E+19</v>
      </c>
      <c r="Q55" s="139">
        <f t="shared" ca="1" si="3"/>
        <v>0</v>
      </c>
      <c r="R55" s="145"/>
      <c r="S55" s="145"/>
    </row>
    <row r="56" spans="10:19" ht="13.5" thickBot="1">
      <c r="J56" s="138">
        <f>courbes!A55</f>
        <v>4.416666666666667</v>
      </c>
      <c r="K56" s="139">
        <f t="shared" ca="1" si="0"/>
        <v>6.1801970830138483E+19</v>
      </c>
      <c r="L56" s="141">
        <f>courbes!J55</f>
        <v>4.416666666666667</v>
      </c>
      <c r="M56" s="139">
        <f t="shared" ca="1" si="1"/>
        <v>6.1766549885304979E+19</v>
      </c>
      <c r="N56" s="139">
        <f>courbes!U55</f>
        <v>4.416666666666667</v>
      </c>
      <c r="O56" s="139">
        <f t="shared" ca="1" si="2"/>
        <v>6.1766315752685601E+19</v>
      </c>
      <c r="Q56" s="139">
        <f t="shared" ca="1" si="3"/>
        <v>0</v>
      </c>
      <c r="R56" s="145"/>
      <c r="S56" s="145"/>
    </row>
    <row r="57" spans="10:19" ht="13.5" thickBot="1">
      <c r="J57" s="138">
        <f>courbes!A56</f>
        <v>4.5</v>
      </c>
      <c r="K57" s="139">
        <f t="shared" ca="1" si="0"/>
        <v>6.1929315659814978E+19</v>
      </c>
      <c r="L57" s="141">
        <f>courbes!J56</f>
        <v>4.5</v>
      </c>
      <c r="M57" s="139">
        <f t="shared" ca="1" si="1"/>
        <v>6.1894450318556054E+19</v>
      </c>
      <c r="N57" s="139">
        <f>courbes!U56</f>
        <v>4.5</v>
      </c>
      <c r="O57" s="139">
        <f t="shared" ca="1" si="2"/>
        <v>6.1894200867322692E+19</v>
      </c>
      <c r="Q57" s="139">
        <f t="shared" ca="1" si="3"/>
        <v>0</v>
      </c>
      <c r="R57" s="145"/>
      <c r="S57" s="145"/>
    </row>
    <row r="58" spans="10:19" ht="13.5" thickBot="1">
      <c r="J58" s="138">
        <f>courbes!A57</f>
        <v>4.583333333333333</v>
      </c>
      <c r="K58" s="139">
        <f t="shared" ca="1" si="0"/>
        <v>6.2055377516620939E+19</v>
      </c>
      <c r="L58" s="141">
        <f>courbes!J57</f>
        <v>4.583333333333333</v>
      </c>
      <c r="M58" s="139">
        <f t="shared" ca="1" si="1"/>
        <v>6.2021063064148836E+19</v>
      </c>
      <c r="N58" s="139">
        <f>courbes!U57</f>
        <v>4.583333333333333</v>
      </c>
      <c r="O58" s="139">
        <f t="shared" ca="1" si="2"/>
        <v>6.202079715835809E+19</v>
      </c>
      <c r="Q58" s="139">
        <f t="shared" ca="1" si="3"/>
        <v>0</v>
      </c>
      <c r="R58" s="145"/>
      <c r="S58" s="145"/>
    </row>
    <row r="59" spans="10:19" ht="13.5" thickBot="1">
      <c r="J59" s="138">
        <f>courbes!A58</f>
        <v>4.666666666666667</v>
      </c>
      <c r="K59" s="139">
        <f t="shared" ca="1" si="0"/>
        <v>6.2180200221426803E+19</v>
      </c>
      <c r="L59" s="141">
        <f>courbes!J58</f>
        <v>4.666666666666667</v>
      </c>
      <c r="M59" s="139">
        <f t="shared" ca="1" si="1"/>
        <v>6.2146430946196824E+19</v>
      </c>
      <c r="N59" s="139">
        <f>courbes!U58</f>
        <v>4.666666666666667</v>
      </c>
      <c r="O59" s="139">
        <f t="shared" ca="1" si="2"/>
        <v>6.2146147324065317E+19</v>
      </c>
      <c r="Q59" s="139">
        <f t="shared" ca="1" si="3"/>
        <v>0</v>
      </c>
      <c r="R59" s="145"/>
      <c r="S59" s="145"/>
    </row>
    <row r="60" spans="10:19" ht="13.5" thickBot="1">
      <c r="J60" s="138">
        <f>courbes!A59</f>
        <v>4.75</v>
      </c>
      <c r="K60" s="139">
        <f t="shared" ca="1" si="0"/>
        <v>6.2303825801823863E+19</v>
      </c>
      <c r="L60" s="141">
        <f>courbes!J59</f>
        <v>4.75</v>
      </c>
      <c r="M60" s="139">
        <f t="shared" ca="1" si="1"/>
        <v>6.2270595111486513E+19</v>
      </c>
      <c r="N60" s="139">
        <f>courbes!U59</f>
        <v>4.75</v>
      </c>
      <c r="O60" s="139">
        <f t="shared" ca="1" si="2"/>
        <v>6.2270292337553637E+19</v>
      </c>
      <c r="Q60" s="139">
        <f t="shared" ca="1" si="3"/>
        <v>0</v>
      </c>
      <c r="R60" s="145"/>
      <c r="S60" s="145"/>
    </row>
    <row r="61" spans="10:19" ht="13.5" thickBot="1">
      <c r="J61" s="138">
        <f>courbes!A60</f>
        <v>4.833333333333333</v>
      </c>
      <c r="K61" s="139">
        <f t="shared" ca="1" si="0"/>
        <v>6.2426294550615237E+19</v>
      </c>
      <c r="L61" s="141">
        <f>courbes!J60</f>
        <v>4.833333333333333</v>
      </c>
      <c r="M61" s="139">
        <f t="shared" ca="1" si="1"/>
        <v>6.2393595098983842E+19</v>
      </c>
      <c r="N61" s="139">
        <f>courbes!U60</f>
        <v>4.833333333333333</v>
      </c>
      <c r="O61" s="139">
        <f t="shared" ca="1" si="2"/>
        <v>6.2393271502388298E+19</v>
      </c>
      <c r="Q61" s="139">
        <f t="shared" ca="1" si="3"/>
        <v>0</v>
      </c>
      <c r="R61" s="145"/>
      <c r="S61" s="145"/>
    </row>
    <row r="62" spans="10:19" ht="13.5" thickBot="1">
      <c r="J62" s="138">
        <f>courbes!A61</f>
        <v>4.916666666666667</v>
      </c>
      <c r="K62" s="139">
        <f t="shared" ca="1" si="0"/>
        <v>6.2547645082561569E+19</v>
      </c>
      <c r="L62" s="141">
        <f>courbes!J61</f>
        <v>4.916666666666667</v>
      </c>
      <c r="M62" s="139">
        <f t="shared" ca="1" si="1"/>
        <v>6.2515468909340328E+19</v>
      </c>
      <c r="N62" s="139">
        <f>courbes!U61</f>
        <v>4.916666666666667</v>
      </c>
      <c r="O62" s="139">
        <f t="shared" ca="1" si="2"/>
        <v>6.2515122506572857E+19</v>
      </c>
      <c r="Q62" s="139">
        <f t="shared" ca="1" si="3"/>
        <v>0</v>
      </c>
      <c r="R62" s="145"/>
      <c r="S62" s="145"/>
    </row>
    <row r="63" spans="10:19" ht="13.5" thickBot="1">
      <c r="J63" s="138">
        <f>courbes!A62</f>
        <v>5</v>
      </c>
      <c r="K63" s="139">
        <f t="shared" ca="1" si="0"/>
        <v>6.2667914389432656E+19</v>
      </c>
      <c r="L63" s="141">
        <f>courbes!J62</f>
        <v>5</v>
      </c>
      <c r="M63" s="139">
        <f t="shared" ca="1" si="1"/>
        <v>6.2636253074399281E+19</v>
      </c>
      <c r="N63" s="139">
        <f>courbes!U62</f>
        <v>5</v>
      </c>
      <c r="O63" s="139">
        <f t="shared" ca="1" si="2"/>
        <v>6.2635881474945417E+19</v>
      </c>
      <c r="Q63" s="139">
        <f t="shared" ca="1" si="3"/>
        <v>0</v>
      </c>
      <c r="R63" s="145"/>
      <c r="S63" s="145"/>
    </row>
    <row r="64" spans="10:19" ht="13.5" thickBot="1">
      <c r="J64" s="138">
        <f>courbes!A63</f>
        <v>5.083333333333333</v>
      </c>
      <c r="K64" s="139">
        <f t="shared" ca="1" si="0"/>
        <v>6.2787137893414511E+19</v>
      </c>
      <c r="L64" s="141">
        <f>courbes!J63</f>
        <v>5.083333333333333</v>
      </c>
      <c r="M64" s="139">
        <f t="shared" ca="1" si="1"/>
        <v>6.275597751085985E+19</v>
      </c>
      <c r="N64" s="139">
        <f>courbes!U63</f>
        <v>5.083333333333333</v>
      </c>
      <c r="O64" s="139">
        <f t="shared" ca="1" si="2"/>
        <v>6.2755583020027838E+19</v>
      </c>
      <c r="Q64" s="139">
        <f t="shared" ca="1" si="3"/>
        <v>0</v>
      </c>
      <c r="R64" s="145"/>
      <c r="S64" s="145"/>
    </row>
    <row r="65" spans="10:19" ht="13.5" thickBot="1">
      <c r="J65" s="138">
        <f>courbes!A64</f>
        <v>5.166666666666667</v>
      </c>
      <c r="K65" s="139">
        <f t="shared" ca="1" si="0"/>
        <v>6.2905349498920018E+19</v>
      </c>
      <c r="L65" s="141">
        <f>courbes!J64</f>
        <v>5.166666666666667</v>
      </c>
      <c r="M65" s="139">
        <f t="shared" ca="1" si="1"/>
        <v>6.2874678946464039E+19</v>
      </c>
      <c r="N65" s="139">
        <f>courbes!U64</f>
        <v>5.166666666666667</v>
      </c>
      <c r="O65" s="139">
        <f t="shared" ca="1" si="2"/>
        <v>6.2874260291376677E+19</v>
      </c>
      <c r="Q65" s="139">
        <f t="shared" ca="1" si="3"/>
        <v>0</v>
      </c>
      <c r="R65" s="145"/>
      <c r="S65" s="145"/>
    </row>
    <row r="66" spans="10:19" ht="13.5" thickBot="1">
      <c r="J66" s="138">
        <f>courbes!A65</f>
        <v>5.25</v>
      </c>
      <c r="K66" s="139">
        <f t="shared" ca="1" si="0"/>
        <v>6.3022581642849952E+19</v>
      </c>
      <c r="L66" s="141">
        <f>courbes!J65</f>
        <v>5.25</v>
      </c>
      <c r="M66" s="139">
        <f t="shared" ca="1" si="1"/>
        <v>6.2992389151244018E+19</v>
      </c>
      <c r="N66" s="139">
        <f>courbes!U65</f>
        <v>5.25</v>
      </c>
      <c r="O66" s="139">
        <f t="shared" ca="1" si="2"/>
        <v>6.2991945023478071E+19</v>
      </c>
      <c r="Q66" s="139">
        <f t="shared" ca="1" si="3"/>
        <v>0</v>
      </c>
      <c r="R66" s="145"/>
      <c r="S66" s="145"/>
    </row>
    <row r="67" spans="10:19" ht="13.5" thickBot="1">
      <c r="J67" s="138">
        <f>courbes!A66</f>
        <v>5.333333333333333</v>
      </c>
      <c r="K67" s="139">
        <f t="shared" ref="K67:K130" ca="1" si="5">INDIRECT("courbes!"&amp;INDEX($D$3:$H$10,MATCH($B$2,$C$3:$C$10,0),MATCH(K$1,$D$2:$H$2,0))&amp;ROW($J66))</f>
        <v>6.3138865343349588E+19</v>
      </c>
      <c r="L67" s="141">
        <f>courbes!J66</f>
        <v>5.333333333333333</v>
      </c>
      <c r="M67" s="139">
        <f t="shared" ref="M67:M123" ca="1" si="6">INDIRECT("courbes!"&amp;INDEX($D$3:$H$10,MATCH($B$2,$C$3:$C$10,0),MATCH(M$1,$D$2:$H$2,0))&amp;ROW($J66))</f>
        <v>6.3109138529718493E+19</v>
      </c>
      <c r="N67" s="139">
        <f>courbes!U66</f>
        <v>5.333333333333333</v>
      </c>
      <c r="O67" s="139">
        <f t="shared" ref="O67:O130" ca="1" si="7">INDIRECT("courbes!"&amp;INDEX($D$3:$H$10,MATCH($B$2,$C$3:$C$10,0),MATCH(O$1,$D$2:$H$2,0))&amp;ROW($J66))</f>
        <v>6.31086675822283E+19</v>
      </c>
      <c r="Q67" s="139">
        <f t="shared" ref="Q67:Q130" ca="1" si="8">INDIRECT("courbes!"&amp;INDEX($D$3:$H$10,MATCH($B$2,$C$3:$C$10,0),MATCH(Q$1,$D$2:$H$2,0))&amp;ROW($J66))</f>
        <v>0</v>
      </c>
      <c r="R67" s="145"/>
      <c r="S67" s="145"/>
    </row>
    <row r="68" spans="10:19" ht="13.5" thickBot="1">
      <c r="J68" s="138">
        <f>courbes!A67</f>
        <v>5.416666666666667</v>
      </c>
      <c r="K68" s="139">
        <f t="shared" ca="1" si="5"/>
        <v>6.3254230247105036E+19</v>
      </c>
      <c r="L68" s="141">
        <f>courbes!J67</f>
        <v>5.416666666666667</v>
      </c>
      <c r="M68" s="139">
        <f t="shared" ca="1" si="6"/>
        <v>6.3224956169474064E+19</v>
      </c>
      <c r="N68" s="139">
        <f>courbes!U67</f>
        <v>5.416666666666667</v>
      </c>
      <c r="O68" s="139">
        <f t="shared" ca="1" si="7"/>
        <v>6.3224457010041094E+19</v>
      </c>
      <c r="Q68" s="139">
        <f t="shared" ca="1" si="8"/>
        <v>0</v>
      </c>
      <c r="R68" s="145"/>
      <c r="S68" s="145"/>
    </row>
    <row r="69" spans="10:19" ht="13.5" thickBot="1">
      <c r="J69" s="138">
        <f>courbes!A68</f>
        <v>5.5</v>
      </c>
      <c r="K69" s="139">
        <f t="shared" ca="1" si="5"/>
        <v>6.3368704675221922E+19</v>
      </c>
      <c r="L69" s="141">
        <f>courbes!J68</f>
        <v>5.5</v>
      </c>
      <c r="M69" s="139">
        <f t="shared" ca="1" si="6"/>
        <v>6.3339869889746371E+19</v>
      </c>
      <c r="N69" s="139">
        <f>courbes!U68</f>
        <v>5.5</v>
      </c>
      <c r="O69" s="139">
        <f t="shared" ca="1" si="7"/>
        <v>6.3339341069620576E+19</v>
      </c>
      <c r="Q69" s="139">
        <f t="shared" ca="1" si="8"/>
        <v>0</v>
      </c>
      <c r="R69" s="145"/>
      <c r="S69" s="145"/>
    </row>
    <row r="70" spans="10:19" ht="13.5" thickBot="1">
      <c r="J70" s="138">
        <f>courbes!A69</f>
        <v>5.583333333333333</v>
      </c>
      <c r="K70" s="139">
        <f t="shared" ca="1" si="5"/>
        <v>6.3482315667727933E+19</v>
      </c>
      <c r="L70" s="141">
        <f>courbes!J69</f>
        <v>5.583333333333333</v>
      </c>
      <c r="M70" s="139">
        <f t="shared" ca="1" si="6"/>
        <v>6.3453906290001322E+19</v>
      </c>
      <c r="N70" s="139">
        <f>courbes!U69</f>
        <v>5.583333333333333</v>
      </c>
      <c r="O70" s="139">
        <f t="shared" ca="1" si="7"/>
        <v>6.3453346286439268E+19</v>
      </c>
      <c r="Q70" s="139">
        <f t="shared" ca="1" si="8"/>
        <v>0</v>
      </c>
      <c r="R70" s="145"/>
      <c r="S70" s="145"/>
    </row>
    <row r="71" spans="10:19" ht="13.5" thickBot="1">
      <c r="J71" s="138">
        <f>courbes!A70</f>
        <v>5.666666666666667</v>
      </c>
      <c r="K71" s="139">
        <f t="shared" ca="1" si="5"/>
        <v>6.359508902673947E+19</v>
      </c>
      <c r="L71" s="141">
        <f>courbes!J70</f>
        <v>5.666666666666667</v>
      </c>
      <c r="M71" s="139">
        <f t="shared" ca="1" si="6"/>
        <v>6.3567090798516355E+19</v>
      </c>
      <c r="N71" s="139">
        <f>courbes!U70</f>
        <v>5.666666666666667</v>
      </c>
      <c r="O71" s="139">
        <f t="shared" ca="1" si="7"/>
        <v>6.3566497989957255E+19</v>
      </c>
      <c r="Q71" s="139">
        <f t="shared" ca="1" si="8"/>
        <v>0</v>
      </c>
      <c r="R71" s="145"/>
      <c r="S71" s="145"/>
    </row>
    <row r="72" spans="10:19" ht="13.5" thickBot="1">
      <c r="J72" s="138">
        <f>courbes!A71</f>
        <v>5.75</v>
      </c>
      <c r="K72" s="139">
        <f t="shared" ca="1" si="5"/>
        <v>6.3707049358331421E+19</v>
      </c>
      <c r="L72" s="141">
        <f>courbes!J71</f>
        <v>5.75</v>
      </c>
      <c r="M72" s="139">
        <f t="shared" ca="1" si="6"/>
        <v>6.3679447720961647E+19</v>
      </c>
      <c r="N72" s="139">
        <f>courbes!U71</f>
        <v>5.75</v>
      </c>
      <c r="O72" s="139">
        <f t="shared" ca="1" si="7"/>
        <v>6.3678820353619722E+19</v>
      </c>
      <c r="Q72" s="139">
        <f t="shared" ca="1" si="8"/>
        <v>0</v>
      </c>
      <c r="R72" s="145"/>
      <c r="S72" s="145"/>
    </row>
    <row r="73" spans="10:19" ht="13.5" thickBot="1">
      <c r="J73" s="138">
        <f>courbes!A72</f>
        <v>5.833333333333333</v>
      </c>
      <c r="K73" s="139">
        <f t="shared" ca="1" si="5"/>
        <v>6.3818220113148076E+19</v>
      </c>
      <c r="L73" s="141">
        <f>courbes!J72</f>
        <v>5.833333333333333</v>
      </c>
      <c r="M73" s="139">
        <f t="shared" ca="1" si="6"/>
        <v>6.3791000288981393E+19</v>
      </c>
      <c r="N73" s="139">
        <f>courbes!U72</f>
        <v>5.833333333333333</v>
      </c>
      <c r="O73" s="139">
        <f t="shared" ca="1" si="7"/>
        <v>6.3790336433669243E+19</v>
      </c>
      <c r="Q73" s="139">
        <f t="shared" ca="1" si="8"/>
        <v>0</v>
      </c>
      <c r="R73" s="145"/>
      <c r="S73" s="145"/>
    </row>
    <row r="74" spans="10:19" ht="13.5" thickBot="1">
      <c r="J74" s="138">
        <f>courbes!A73</f>
        <v>5.916666666666667</v>
      </c>
      <c r="K74" s="139">
        <f t="shared" ca="1" si="5"/>
        <v>6.3928623625791873E+19</v>
      </c>
      <c r="L74" s="141">
        <f>courbes!J73</f>
        <v>5.916666666666667</v>
      </c>
      <c r="M74" s="139">
        <f t="shared" ca="1" si="6"/>
        <v>6.3901770708774896E+19</v>
      </c>
      <c r="N74" s="139">
        <f>courbes!U73</f>
        <v>5.916666666666667</v>
      </c>
      <c r="O74" s="139">
        <f t="shared" ca="1" si="7"/>
        <v>6.3901068206801617E+19</v>
      </c>
      <c r="Q74" s="139">
        <f t="shared" ca="1" si="8"/>
        <v>0</v>
      </c>
      <c r="R74" s="145"/>
      <c r="S74" s="145"/>
    </row>
    <row r="75" spans="10:19" ht="13.5" thickBot="1">
      <c r="J75" s="138">
        <f>courbes!A74</f>
        <v>6</v>
      </c>
      <c r="K75" s="139">
        <f t="shared" ca="1" si="5"/>
        <v>6.4038281153025778E+19</v>
      </c>
      <c r="L75" s="141">
        <f>courbes!J74</f>
        <v>6</v>
      </c>
      <c r="M75" s="139">
        <f t="shared" ca="1" si="6"/>
        <v>6.4011780209677976E+19</v>
      </c>
      <c r="N75" s="139">
        <f>courbes!U74</f>
        <v>6</v>
      </c>
      <c r="O75" s="139">
        <f t="shared" ca="1" si="7"/>
        <v>6.401103660670727E+19</v>
      </c>
      <c r="Q75" s="139">
        <f t="shared" ca="1" si="8"/>
        <v>0</v>
      </c>
      <c r="R75" s="145"/>
      <c r="S75" s="145"/>
    </row>
    <row r="76" spans="10:19" ht="13.5" thickBot="1">
      <c r="J76" s="138">
        <f>courbes!A75</f>
        <v>6.083333333333333</v>
      </c>
      <c r="K76" s="139">
        <f t="shared" ca="1" si="5"/>
        <v>6.4147212910823973E+19</v>
      </c>
      <c r="L76" s="141">
        <f>courbes!J75</f>
        <v>6.083333333333333</v>
      </c>
      <c r="M76" s="139">
        <f t="shared" ca="1" si="6"/>
        <v>6.4121045422194622E+19</v>
      </c>
      <c r="N76" s="139">
        <f>courbes!U75</f>
        <v>6.083333333333333</v>
      </c>
      <c r="O76" s="139">
        <f t="shared" ca="1" si="7"/>
        <v>6.4120261559521116E+19</v>
      </c>
      <c r="Q76" s="139">
        <f t="shared" ca="1" si="8"/>
        <v>0</v>
      </c>
      <c r="R76" s="145"/>
      <c r="S76" s="145"/>
    </row>
    <row r="77" spans="10:19" ht="13.5" thickBot="1">
      <c r="J77" s="138">
        <f>courbes!A76</f>
        <v>6.166666666666667</v>
      </c>
      <c r="K77" s="139">
        <f t="shared" ca="1" si="5"/>
        <v>6.4255438110304477E+19</v>
      </c>
      <c r="L77" s="141">
        <f>courbes!J76</f>
        <v>6.166666666666667</v>
      </c>
      <c r="M77" s="139">
        <f t="shared" ca="1" si="6"/>
        <v>6.42295878259224E+19</v>
      </c>
      <c r="N77" s="139">
        <f>courbes!U76</f>
        <v>6.166666666666667</v>
      </c>
      <c r="O77" s="139">
        <f t="shared" ca="1" si="7"/>
        <v>6.4228762018219983E+19</v>
      </c>
      <c r="Q77" s="139">
        <f t="shared" ca="1" si="8"/>
        <v>0</v>
      </c>
      <c r="R77" s="145"/>
      <c r="S77" s="145"/>
    </row>
    <row r="78" spans="10:19" ht="13.5" thickBot="1">
      <c r="J78" s="138">
        <f>courbes!A77</f>
        <v>6.25</v>
      </c>
      <c r="K78" s="139">
        <f t="shared" ca="1" si="5"/>
        <v>6.4362974992576455E+19</v>
      </c>
      <c r="L78" s="141">
        <f>courbes!J77</f>
        <v>6.25</v>
      </c>
      <c r="M78" s="139">
        <f t="shared" ca="1" si="6"/>
        <v>6.4337425467452604E+19</v>
      </c>
      <c r="N78" s="139">
        <f>courbes!U77</f>
        <v>6.25</v>
      </c>
      <c r="O78" s="139">
        <f t="shared" ca="1" si="7"/>
        <v>6.4336555995992261E+19</v>
      </c>
      <c r="Q78" s="139">
        <f t="shared" ca="1" si="8"/>
        <v>0</v>
      </c>
      <c r="R78" s="145"/>
      <c r="S78" s="145"/>
    </row>
    <row r="79" spans="10:19" ht="13.5" thickBot="1">
      <c r="J79" s="138">
        <f>courbes!A78</f>
        <v>6.333333333333333</v>
      </c>
      <c r="K79" s="139">
        <f t="shared" ca="1" si="5"/>
        <v>6.4469840862533804E+19</v>
      </c>
      <c r="L79" s="141">
        <f>courbes!J78</f>
        <v>6.333333333333333</v>
      </c>
      <c r="M79" s="139">
        <f t="shared" ca="1" si="6"/>
        <v>6.4444575487855272E+19</v>
      </c>
      <c r="N79" s="139">
        <f>courbes!U78</f>
        <v>6.333333333333333</v>
      </c>
      <c r="O79" s="139">
        <f t="shared" ca="1" si="7"/>
        <v>6.4443660598611837E+19</v>
      </c>
      <c r="Q79" s="139">
        <f t="shared" ca="1" si="8"/>
        <v>0</v>
      </c>
      <c r="R79" s="145"/>
      <c r="S79" s="145"/>
    </row>
    <row r="80" spans="10:19" ht="13.5" thickBot="1">
      <c r="J80" s="138">
        <f>courbes!A79</f>
        <v>6.416666666666667</v>
      </c>
      <c r="K80" s="139">
        <f t="shared" ca="1" si="5"/>
        <v>6.4576052121625969E+19</v>
      </c>
      <c r="L80" s="141">
        <f>courbes!J79</f>
        <v>6.416666666666667</v>
      </c>
      <c r="M80" s="139">
        <f t="shared" ca="1" si="6"/>
        <v>6.4551054156531876E+19</v>
      </c>
      <c r="N80" s="139">
        <f>courbes!U79</f>
        <v>6.416666666666667</v>
      </c>
      <c r="O80" s="139">
        <f t="shared" ca="1" si="7"/>
        <v>6.4550092055847502E+19</v>
      </c>
      <c r="Q80" s="139">
        <f t="shared" ca="1" si="8"/>
        <v>0</v>
      </c>
      <c r="R80" s="145"/>
      <c r="S80" s="145"/>
    </row>
    <row r="81" spans="10:19" ht="13.5" thickBot="1">
      <c r="J81" s="138">
        <f>courbes!A80</f>
        <v>6.5</v>
      </c>
      <c r="K81" s="139">
        <f t="shared" ca="1" si="5"/>
        <v>6.4681624299635761E+19</v>
      </c>
      <c r="L81" s="141">
        <f>courbes!J80</f>
        <v>6.5</v>
      </c>
      <c r="M81" s="139">
        <f t="shared" ca="1" si="6"/>
        <v>6.4656876905067708E+19</v>
      </c>
      <c r="N81" s="139">
        <f>courbes!U80</f>
        <v>6.5</v>
      </c>
      <c r="O81" s="139">
        <f t="shared" ca="1" si="7"/>
        <v>6.4655865751927521E+19</v>
      </c>
      <c r="Q81" s="139">
        <f t="shared" ca="1" si="8"/>
        <v>0</v>
      </c>
      <c r="R81" s="145"/>
      <c r="S81" s="145"/>
    </row>
    <row r="82" spans="10:19" ht="13.5" thickBot="1">
      <c r="J82" s="138">
        <f>courbes!A81</f>
        <v>6.583333333333333</v>
      </c>
      <c r="K82" s="139">
        <f t="shared" ca="1" si="5"/>
        <v>6.4786572085493244E+19</v>
      </c>
      <c r="L82" s="141">
        <f>courbes!J81</f>
        <v>6.583333333333333</v>
      </c>
      <c r="M82" s="139">
        <f t="shared" ca="1" si="6"/>
        <v>6.4762058361084551E+19</v>
      </c>
      <c r="N82" s="139">
        <f>courbes!U81</f>
        <v>6.583333333333333</v>
      </c>
      <c r="O82" s="139">
        <f t="shared" ca="1" si="7"/>
        <v>6.4760996255098995E+19</v>
      </c>
      <c r="Q82" s="139">
        <f t="shared" ca="1" si="8"/>
        <v>0</v>
      </c>
    </row>
    <row r="83" spans="10:19" ht="13.5" thickBot="1">
      <c r="J83" s="138">
        <f>courbes!A82</f>
        <v>6.666666666666667</v>
      </c>
      <c r="K83" s="139">
        <f t="shared" ca="1" si="5"/>
        <v>6.4890909357153829E+19</v>
      </c>
      <c r="L83" s="141">
        <f>courbes!J82</f>
        <v>6.666666666666667</v>
      </c>
      <c r="M83" s="139">
        <f t="shared" ca="1" si="6"/>
        <v>6.4866612382093066E+19</v>
      </c>
      <c r="N83" s="139">
        <f>courbes!U82</f>
        <v>6.666666666666667</v>
      </c>
      <c r="O83" s="139">
        <f t="shared" ca="1" si="7"/>
        <v>6.4865497346293498E+19</v>
      </c>
      <c r="Q83" s="139">
        <f t="shared" ca="1" si="8"/>
        <v>0</v>
      </c>
    </row>
    <row r="84" spans="10:19" ht="13.5" thickBot="1">
      <c r="J84" s="138">
        <f>courbes!A83</f>
        <v>6.75</v>
      </c>
      <c r="K84" s="139">
        <f t="shared" ca="1" si="5"/>
        <v>6.4994649210567967E+19</v>
      </c>
      <c r="L84" s="141">
        <f>courbes!J83</f>
        <v>6.75</v>
      </c>
      <c r="M84" s="139">
        <f t="shared" ca="1" si="6"/>
        <v>6.4970552089345352E+19</v>
      </c>
      <c r="N84" s="139">
        <f>courbes!U83</f>
        <v>6.75</v>
      </c>
      <c r="O84" s="139">
        <f t="shared" ca="1" si="7"/>
        <v>6.4969382046938694E+19</v>
      </c>
      <c r="Q84" s="139">
        <f t="shared" ca="1" si="8"/>
        <v>0</v>
      </c>
    </row>
    <row r="85" spans="10:19" ht="13.5" thickBot="1">
      <c r="J85" s="138">
        <f>courbes!A84</f>
        <v>6.833333333333333</v>
      </c>
      <c r="K85" s="139">
        <f t="shared" ca="1" si="5"/>
        <v>6.5097803987768943E+19</v>
      </c>
      <c r="L85" s="141">
        <f>courbes!J84</f>
        <v>6.833333333333333</v>
      </c>
      <c r="M85" s="139">
        <f t="shared" ca="1" si="6"/>
        <v>6.5073889901687562E+19</v>
      </c>
      <c r="N85" s="139">
        <f>courbes!U84</f>
        <v>6.833333333333333</v>
      </c>
      <c r="O85" s="139">
        <f t="shared" ca="1" si="7"/>
        <v>6.5072662645929247E+19</v>
      </c>
      <c r="Q85" s="139">
        <f t="shared" ca="1" si="8"/>
        <v>0</v>
      </c>
    </row>
    <row r="86" spans="10:19" ht="13.5" thickBot="1">
      <c r="J86" s="138">
        <f>courbes!A85</f>
        <v>6.916666666666667</v>
      </c>
      <c r="K86" s="139">
        <f t="shared" ca="1" si="5"/>
        <v>6.5200385304104559E+19</v>
      </c>
      <c r="L86" s="141">
        <f>courbes!J85</f>
        <v>6.916666666666667</v>
      </c>
      <c r="M86" s="139">
        <f t="shared" ca="1" si="6"/>
        <v>6.517663756941226E+19</v>
      </c>
      <c r="N86" s="139">
        <f>courbes!U85</f>
        <v>6.916666666666667</v>
      </c>
      <c r="O86" s="139">
        <f t="shared" ca="1" si="7"/>
        <v>6.5175350725789811E+19</v>
      </c>
      <c r="Q86" s="139">
        <f t="shared" ca="1" si="8"/>
        <v>0</v>
      </c>
    </row>
    <row r="87" spans="10:19" ht="13.5" thickBot="1">
      <c r="J87" s="138">
        <f>courbes!A86</f>
        <v>7</v>
      </c>
      <c r="K87" s="139">
        <f t="shared" ca="1" si="5"/>
        <v>6.5302404074637689E+19</v>
      </c>
      <c r="L87" s="141">
        <f>courbes!J86</f>
        <v>7</v>
      </c>
      <c r="M87" s="139">
        <f t="shared" ca="1" si="6"/>
        <v>6.5278806208111084E+19</v>
      </c>
      <c r="N87" s="139">
        <f>courbes!U86</f>
        <v>7</v>
      </c>
      <c r="O87" s="139">
        <f t="shared" ca="1" si="7"/>
        <v>6.5277457188045652E+19</v>
      </c>
      <c r="Q87" s="139">
        <f t="shared" ca="1" si="8"/>
        <v>0</v>
      </c>
    </row>
    <row r="88" spans="10:19" ht="13.5" thickBot="1">
      <c r="J88" s="138">
        <f>courbes!A87</f>
        <v>7.083333333333333</v>
      </c>
      <c r="K88" s="139">
        <f t="shared" ca="1" si="5"/>
        <v>6.5403870539740054E+19</v>
      </c>
      <c r="L88" s="141">
        <f>courbes!J87</f>
        <v>7.083333333333333</v>
      </c>
      <c r="M88" s="139">
        <f t="shared" ca="1" si="6"/>
        <v>6.5380403748300882E+19</v>
      </c>
      <c r="N88" s="139">
        <f>courbes!U87</f>
        <v>7.083333333333333</v>
      </c>
      <c r="O88" s="139">
        <f t="shared" ca="1" si="7"/>
        <v>6.5378992277832892E+19</v>
      </c>
      <c r="Q88" s="139">
        <f t="shared" ca="1" si="8"/>
        <v>0</v>
      </c>
    </row>
    <row r="89" spans="10:19" ht="13.5" thickBot="1">
      <c r="J89" s="138">
        <f>courbes!A88</f>
        <v>7.166666666666667</v>
      </c>
      <c r="K89" s="139">
        <f t="shared" ca="1" si="5"/>
        <v>6.5504794289902739E+19</v>
      </c>
      <c r="L89" s="141">
        <f>courbes!J88</f>
        <v>7.166666666666667</v>
      </c>
      <c r="M89" s="139">
        <f t="shared" ca="1" si="6"/>
        <v>6.5481441586761097E+19</v>
      </c>
      <c r="N89" s="139">
        <f>courbes!U88</f>
        <v>7.166666666666667</v>
      </c>
      <c r="O89" s="139">
        <f t="shared" ca="1" si="7"/>
        <v>6.5479965607758135E+19</v>
      </c>
      <c r="Q89" s="139">
        <f t="shared" ca="1" si="8"/>
        <v>0</v>
      </c>
    </row>
    <row r="90" spans="10:19" ht="13.5" thickBot="1">
      <c r="J90" s="138">
        <f>courbes!A89</f>
        <v>7.25</v>
      </c>
      <c r="K90" s="139">
        <f t="shared" ca="1" si="5"/>
        <v>6.5605184289786356E+19</v>
      </c>
      <c r="L90" s="141">
        <f>courbes!J89</f>
        <v>7.25</v>
      </c>
      <c r="M90" s="139">
        <f t="shared" ca="1" si="6"/>
        <v>6.5581928755328508E+19</v>
      </c>
      <c r="N90" s="139">
        <f>courbes!U89</f>
        <v>7.25</v>
      </c>
      <c r="O90" s="139">
        <f t="shared" ca="1" si="7"/>
        <v>6.5580386181043454E+19</v>
      </c>
      <c r="Q90" s="139">
        <f t="shared" ca="1" si="8"/>
        <v>0</v>
      </c>
    </row>
    <row r="91" spans="10:19" ht="13.5" thickBot="1">
      <c r="J91" s="138">
        <f>courbes!A90</f>
        <v>7.333333333333333</v>
      </c>
      <c r="K91" s="139">
        <f t="shared" ca="1" si="5"/>
        <v>6.5705048901533073E+19</v>
      </c>
      <c r="L91" s="141">
        <f>courbes!J90</f>
        <v>7.333333333333333</v>
      </c>
      <c r="M91" s="139">
        <f t="shared" ca="1" si="6"/>
        <v>6.5681873699958014E+19</v>
      </c>
      <c r="N91" s="139">
        <f>courbes!U90</f>
        <v>7.333333333333333</v>
      </c>
      <c r="O91" s="139">
        <f t="shared" ca="1" si="7"/>
        <v>6.5680262413963166E+19</v>
      </c>
      <c r="Q91" s="139">
        <f t="shared" ca="1" si="8"/>
        <v>0</v>
      </c>
    </row>
    <row r="92" spans="10:19" ht="13.5" thickBot="1">
      <c r="J92" s="138">
        <f>courbes!A91</f>
        <v>7.416666666666667</v>
      </c>
      <c r="K92" s="139">
        <f t="shared" ca="1" si="5"/>
        <v>6.5804395907362111E+19</v>
      </c>
      <c r="L92" s="141">
        <f>courbes!J91</f>
        <v>7.416666666666667</v>
      </c>
      <c r="M92" s="139">
        <f t="shared" ca="1" si="6"/>
        <v>6.578128430420453E+19</v>
      </c>
      <c r="N92" s="139">
        <f>courbes!U91</f>
        <v>7.416666666666667</v>
      </c>
      <c r="O92" s="139">
        <f t="shared" ca="1" si="7"/>
        <v>6.5779602157604831E+19</v>
      </c>
      <c r="Q92" s="139">
        <f t="shared" ca="1" si="8"/>
        <v>0</v>
      </c>
    </row>
    <row r="93" spans="10:19" ht="13.5" thickBot="1">
      <c r="J93" s="138">
        <f>courbes!A92</f>
        <v>7.5</v>
      </c>
      <c r="K93" s="139">
        <f t="shared" ca="1" si="5"/>
        <v>6.5903232531469574E+19</v>
      </c>
      <c r="L93" s="141">
        <f>courbes!J92</f>
        <v>7.5</v>
      </c>
      <c r="M93" s="139">
        <f t="shared" ca="1" si="6"/>
        <v>6.5880167912704991E+19</v>
      </c>
      <c r="N93" s="139">
        <f>courbes!U92</f>
        <v>7.5</v>
      </c>
      <c r="O93" s="139">
        <f t="shared" ca="1" si="7"/>
        <v>6.5878412718964441E+19</v>
      </c>
      <c r="Q93" s="139">
        <f t="shared" ca="1" si="8"/>
        <v>0</v>
      </c>
    </row>
    <row r="94" spans="10:19" ht="13.5" thickBot="1">
      <c r="J94" s="138">
        <f>courbes!A93</f>
        <v>7.583333333333333</v>
      </c>
      <c r="K94" s="139">
        <f t="shared" ca="1" si="5"/>
        <v>6.6001565461253022E+19</v>
      </c>
      <c r="L94" s="141">
        <f>courbes!J93</f>
        <v>7.583333333333333</v>
      </c>
      <c r="M94" s="139">
        <f t="shared" ca="1" si="6"/>
        <v>6.5978531354660282E+19</v>
      </c>
      <c r="N94" s="139">
        <f>courbes!U93</f>
        <v>7.583333333333333</v>
      </c>
      <c r="O94" s="139">
        <f t="shared" ca="1" si="7"/>
        <v>6.59767008814022E+19</v>
      </c>
      <c r="Q94" s="139">
        <f t="shared" ca="1" si="8"/>
        <v>0</v>
      </c>
    </row>
    <row r="95" spans="10:19" ht="13.5" thickBot="1">
      <c r="J95" s="138">
        <f>courbes!A94</f>
        <v>7.666666666666667</v>
      </c>
      <c r="K95" s="139">
        <f t="shared" ca="1" si="5"/>
        <v>6.6099400867880509E+19</v>
      </c>
      <c r="L95" s="141">
        <f>courbes!J94</f>
        <v>7.666666666666667</v>
      </c>
      <c r="M95" s="139">
        <f t="shared" ca="1" si="6"/>
        <v>6.6076380967317217E+19</v>
      </c>
      <c r="N95" s="139">
        <f>courbes!U94</f>
        <v>7.666666666666667</v>
      </c>
      <c r="O95" s="139">
        <f t="shared" ca="1" si="7"/>
        <v>6.607447292447241E+19</v>
      </c>
      <c r="Q95" s="139">
        <f t="shared" ca="1" si="8"/>
        <v>0</v>
      </c>
    </row>
    <row r="96" spans="10:19" ht="13.5" thickBot="1">
      <c r="J96" s="138">
        <f>courbes!A95</f>
        <v>7.75</v>
      </c>
      <c r="K96" s="139">
        <f t="shared" ca="1" si="5"/>
        <v>6.6196744426223206E+19</v>
      </c>
      <c r="L96" s="141">
        <f>courbes!J95</f>
        <v>7.75</v>
      </c>
      <c r="M96" s="139">
        <f t="shared" ca="1" si="6"/>
        <v>6.617372261945054E+19</v>
      </c>
      <c r="N96" s="139">
        <f>courbes!U95</f>
        <v>7.75</v>
      </c>
      <c r="O96" s="139">
        <f t="shared" ca="1" si="7"/>
        <v>6.6171734643147309E+19</v>
      </c>
      <c r="Q96" s="139">
        <f t="shared" ca="1" si="8"/>
        <v>0</v>
      </c>
      <c r="R96" s="153"/>
      <c r="S96" s="153"/>
    </row>
    <row r="97" spans="10:19" ht="13.5" thickBot="1">
      <c r="J97" s="138">
        <f>courbes!A96</f>
        <v>7.833333333333333</v>
      </c>
      <c r="K97" s="139">
        <f t="shared" ca="1" si="5"/>
        <v>6.6293601334170272E+19</v>
      </c>
      <c r="L97" s="141">
        <f>courbes!J96</f>
        <v>7.833333333333333</v>
      </c>
      <c r="M97" s="139">
        <f t="shared" ca="1" si="6"/>
        <v>6.6270561734844867E+19</v>
      </c>
      <c r="N97" s="139">
        <f>courbes!U96</f>
        <v>7.833333333333333</v>
      </c>
      <c r="O97" s="139">
        <f t="shared" ca="1" si="7"/>
        <v>6.6268491366454624E+19</v>
      </c>
      <c r="Q97" s="139">
        <f t="shared" ca="1" si="8"/>
        <v>0</v>
      </c>
      <c r="R97" s="153"/>
      <c r="S97" s="153"/>
    </row>
    <row r="98" spans="10:19" ht="13.5" thickBot="1">
      <c r="J98" s="138">
        <f>courbes!A97</f>
        <v>7.916666666666667</v>
      </c>
      <c r="K98" s="139">
        <f t="shared" ca="1" si="5"/>
        <v>6.6389976331343995E+19</v>
      </c>
      <c r="L98" s="141">
        <f>courbes!J97</f>
        <v>7.916666666666667</v>
      </c>
      <c r="M98" s="139">
        <f t="shared" ca="1" si="6"/>
        <v>6.6366903315776627E+19</v>
      </c>
      <c r="N98" s="139">
        <f>courbes!U97</f>
        <v>7.916666666666667</v>
      </c>
      <c r="O98" s="139">
        <f t="shared" ca="1" si="7"/>
        <v>6.6364747975539556E+19</v>
      </c>
      <c r="Q98" s="139">
        <f t="shared" ca="1" si="8"/>
        <v>0</v>
      </c>
      <c r="R98" s="153"/>
      <c r="S98" s="153"/>
    </row>
    <row r="99" spans="10:19" ht="13.5" thickBot="1">
      <c r="J99" s="138">
        <f>courbes!A98</f>
        <v>8</v>
      </c>
      <c r="K99" s="139">
        <f t="shared" ca="1" si="5"/>
        <v>6.6485873717232787E+19</v>
      </c>
      <c r="L99" s="141">
        <f>courbes!J98</f>
        <v>8</v>
      </c>
      <c r="M99" s="139">
        <f t="shared" ca="1" si="6"/>
        <v>6.6462751966496096E+19</v>
      </c>
      <c r="N99" s="139">
        <f>courbes!U98</f>
        <v>8</v>
      </c>
      <c r="O99" s="139">
        <f t="shared" ca="1" si="7"/>
        <v>6.6460508921175769E+19</v>
      </c>
      <c r="Q99" s="139">
        <f t="shared" ca="1" si="8"/>
        <v>0</v>
      </c>
      <c r="R99" s="153"/>
      <c r="S99" s="153"/>
    </row>
    <row r="100" spans="10:19" ht="13.5" thickBot="1">
      <c r="J100" s="138">
        <f>courbes!A99</f>
        <v>8.0833333333333339</v>
      </c>
      <c r="K100" s="139">
        <f t="shared" ca="1" si="5"/>
        <v>6.6581297368758993E+19</v>
      </c>
      <c r="L100" s="141">
        <f>courbes!J99</f>
        <v>8.0833333333333339</v>
      </c>
      <c r="M100" s="139">
        <f t="shared" ca="1" si="6"/>
        <v>6.6558110097062633E+19</v>
      </c>
      <c r="N100" s="139">
        <f>courbes!U99</f>
        <v>8.0833333333333339</v>
      </c>
      <c r="O100" s="139">
        <f t="shared" ca="1" si="7"/>
        <v>6.6555778240733872E+19</v>
      </c>
      <c r="Q100" s="139">
        <f t="shared" ca="1" si="8"/>
        <v>0</v>
      </c>
      <c r="R100" s="153"/>
      <c r="S100" s="153"/>
    </row>
    <row r="101" spans="10:19" ht="13.5" thickBot="1">
      <c r="J101" s="138">
        <f>courbes!A100</f>
        <v>8.1666666666666661</v>
      </c>
      <c r="K101" s="139">
        <f t="shared" ca="1" si="5"/>
        <v>6.667625075729811E+19</v>
      </c>
      <c r="L101" s="141">
        <f>courbes!J100</f>
        <v>8.1666666666666661</v>
      </c>
      <c r="M101" s="139">
        <f t="shared" ca="1" si="6"/>
        <v>6.6652982606448599E+19</v>
      </c>
      <c r="N101" s="139">
        <f>courbes!U100</f>
        <v>8.1666666666666661</v>
      </c>
      <c r="O101" s="139">
        <f t="shared" ca="1" si="7"/>
        <v>6.6650559574629319E+19</v>
      </c>
      <c r="Q101" s="139">
        <f t="shared" ca="1" si="8"/>
        <v>0</v>
      </c>
      <c r="R101" s="153"/>
      <c r="S101" s="153"/>
    </row>
    <row r="102" spans="10:19" ht="13.5" thickBot="1">
      <c r="J102" s="138">
        <f>courbes!A101</f>
        <v>8.25</v>
      </c>
      <c r="K102" s="139">
        <f t="shared" ca="1" si="5"/>
        <v>6.6770736965165449E+19</v>
      </c>
      <c r="L102" s="141">
        <f>courbes!J101</f>
        <v>8.25</v>
      </c>
      <c r="M102" s="139">
        <f t="shared" ca="1" si="6"/>
        <v>6.6747372776208253E+19</v>
      </c>
      <c r="N102" s="139">
        <f>courbes!U101</f>
        <v>8.25</v>
      </c>
      <c r="O102" s="139">
        <f t="shared" ca="1" si="7"/>
        <v>6.6744856182258336E+19</v>
      </c>
      <c r="Q102" s="139">
        <f t="shared" ca="1" si="8"/>
        <v>0</v>
      </c>
      <c r="R102" s="153"/>
      <c r="S102" s="153"/>
    </row>
    <row r="103" spans="10:19" ht="13.5" thickBot="1">
      <c r="J103" s="138">
        <f>courbes!A102</f>
        <v>8.3333333333333339</v>
      </c>
      <c r="K103" s="139">
        <f t="shared" ca="1" si="5"/>
        <v>6.6864758701585801E+19</v>
      </c>
      <c r="L103" s="141">
        <f>courbes!J102</f>
        <v>8.3333333333333339</v>
      </c>
      <c r="M103" s="139">
        <f t="shared" ca="1" si="6"/>
        <v>6.6841283522829304E+19</v>
      </c>
      <c r="N103" s="139">
        <f>courbes!U102</f>
        <v>8.3333333333333339</v>
      </c>
      <c r="O103" s="139">
        <f t="shared" ca="1" si="7"/>
        <v>6.6838670957444071E+19</v>
      </c>
      <c r="P103" s="153"/>
      <c r="Q103" s="139">
        <f t="shared" ca="1" si="8"/>
        <v>0</v>
      </c>
      <c r="R103" s="153"/>
      <c r="S103" s="153"/>
    </row>
    <row r="104" spans="10:19" ht="13.5" thickBot="1">
      <c r="J104" s="138">
        <f>courbes!A103</f>
        <v>8.4166666666666661</v>
      </c>
      <c r="K104" s="139">
        <f t="shared" ca="1" si="5"/>
        <v>6.6958318318161256E+19</v>
      </c>
      <c r="L104" s="141">
        <f>courbes!J103</f>
        <v>8.4166666666666661</v>
      </c>
      <c r="M104" s="139">
        <f t="shared" ca="1" si="6"/>
        <v>6.6934717413913403E+19</v>
      </c>
      <c r="N104" s="139">
        <f>courbes!U103</f>
        <v>8.4166666666666661</v>
      </c>
      <c r="O104" s="139">
        <f t="shared" ca="1" si="7"/>
        <v>6.6932006443399676E+19</v>
      </c>
      <c r="P104" s="153"/>
      <c r="Q104" s="139">
        <f t="shared" ca="1" si="8"/>
        <v>0</v>
      </c>
      <c r="R104" s="153"/>
      <c r="S104" s="153"/>
    </row>
    <row r="105" spans="10:19" ht="13.5" thickBot="1">
      <c r="J105" s="138">
        <f>courbes!A104</f>
        <v>8.5</v>
      </c>
      <c r="K105" s="139">
        <f t="shared" ca="1" si="5"/>
        <v>6.7051417823851897E+19</v>
      </c>
      <c r="L105" s="141">
        <f>courbes!J104</f>
        <v>8.5</v>
      </c>
      <c r="M105" s="139">
        <f t="shared" ca="1" si="6"/>
        <v>6.702767668435642E+19</v>
      </c>
      <c r="N105" s="139">
        <f>courbes!U104</f>
        <v>8.5</v>
      </c>
      <c r="O105" s="139">
        <f t="shared" ca="1" si="7"/>
        <v>6.7024864847227978E+19</v>
      </c>
      <c r="P105" s="153"/>
      <c r="Q105" s="139">
        <f t="shared" ca="1" si="8"/>
        <v>0</v>
      </c>
      <c r="R105" s="153"/>
      <c r="S105" s="153"/>
    </row>
    <row r="106" spans="10:19" ht="13.5" thickBot="1">
      <c r="J106" s="138">
        <f>courbes!A105</f>
        <v>8.5833333333333339</v>
      </c>
      <c r="K106" s="139">
        <f t="shared" ca="1" si="5"/>
        <v>6.7144058899483566E+19</v>
      </c>
      <c r="L106" s="141">
        <f>courbes!J105</f>
        <v>8.5833333333333339</v>
      </c>
      <c r="M106" s="139">
        <f t="shared" ca="1" si="6"/>
        <v>6.7120163252528923E+19</v>
      </c>
      <c r="N106" s="139">
        <f>courbes!U105</f>
        <v>8.5833333333333339</v>
      </c>
      <c r="O106" s="139">
        <f t="shared" ca="1" si="7"/>
        <v>6.7117248053967585E+19</v>
      </c>
      <c r="P106" s="153"/>
      <c r="Q106" s="139">
        <f t="shared" ca="1" si="8"/>
        <v>0</v>
      </c>
      <c r="R106" s="153"/>
      <c r="S106" s="153"/>
    </row>
    <row r="107" spans="10:19" ht="13.5" thickBot="1">
      <c r="J107" s="138">
        <f>courbes!A106</f>
        <v>8.6666666666666661</v>
      </c>
      <c r="K107" s="139">
        <f t="shared" ca="1" si="5"/>
        <v>6.7236242911796634E+19</v>
      </c>
      <c r="L107" s="141">
        <f>courbes!J106</f>
        <v>8.6666666666666661</v>
      </c>
      <c r="M107" s="139">
        <f t="shared" ca="1" si="6"/>
        <v>6.7212178736456516E+19</v>
      </c>
      <c r="N107" s="139">
        <f>courbes!U106</f>
        <v>8.6666666666666661</v>
      </c>
      <c r="O107" s="139">
        <f t="shared" ca="1" si="7"/>
        <v>6.7209157640200421E+19</v>
      </c>
      <c r="P107" s="153"/>
      <c r="Q107" s="139">
        <f t="shared" ca="1" si="8"/>
        <v>0</v>
      </c>
      <c r="R107" s="153"/>
      <c r="S107" s="153"/>
    </row>
    <row r="108" spans="10:19" ht="13.5" thickBot="1">
      <c r="J108" s="138">
        <f>courbes!A107</f>
        <v>8.75</v>
      </c>
      <c r="K108" s="139">
        <f t="shared" ca="1" si="5"/>
        <v>6.7327970927049122E+19</v>
      </c>
      <c r="L108" s="141">
        <f>courbes!J107</f>
        <v>8.75</v>
      </c>
      <c r="M108" s="139">
        <f t="shared" ca="1" si="6"/>
        <v>6.7303724470000222E+19</v>
      </c>
      <c r="N108" s="139">
        <f>courbes!U107</f>
        <v>8.75</v>
      </c>
      <c r="O108" s="139">
        <f t="shared" ca="1" si="7"/>
        <v>6.730059488723275E+19</v>
      </c>
      <c r="P108" s="153"/>
      <c r="Q108" s="139">
        <f t="shared" ca="1" si="8"/>
        <v>0</v>
      </c>
      <c r="R108" s="153"/>
      <c r="S108" s="153"/>
    </row>
    <row r="109" spans="10:19" ht="13.5" thickBot="1">
      <c r="J109" s="138">
        <f>courbes!A108</f>
        <v>8.8333333333333339</v>
      </c>
      <c r="K109" s="139">
        <f t="shared" ca="1" si="5"/>
        <v>6.7419243724187361E+19</v>
      </c>
      <c r="L109" s="141">
        <f>courbes!J108</f>
        <v>8.8333333333333339</v>
      </c>
      <c r="M109" s="139">
        <f t="shared" ca="1" si="6"/>
        <v>6.7394801519036891E+19</v>
      </c>
      <c r="N109" s="139">
        <f>courbes!U108</f>
        <v>8.8333333333333339</v>
      </c>
      <c r="O109" s="139">
        <f t="shared" ca="1" si="7"/>
        <v>6.7391560793861423E+19</v>
      </c>
      <c r="P109" s="153"/>
      <c r="Q109" s="139">
        <f t="shared" ca="1" si="8"/>
        <v>0</v>
      </c>
      <c r="R109" s="153"/>
      <c r="S109" s="153"/>
    </row>
    <row r="110" spans="10:19" ht="13.5" thickBot="1">
      <c r="J110" s="138">
        <f>courbes!A109</f>
        <v>8.9166666666666661</v>
      </c>
      <c r="K110" s="139">
        <f t="shared" ca="1" si="5"/>
        <v>6.7510061807596749E+19</v>
      </c>
      <c r="L110" s="141">
        <f>courbes!J109</f>
        <v>8.9166666666666661</v>
      </c>
      <c r="M110" s="139">
        <f t="shared" ca="1" si="6"/>
        <v>6.7485410697639608E+19</v>
      </c>
      <c r="N110" s="139">
        <f>courbes!U109</f>
        <v>8.9166666666666661</v>
      </c>
      <c r="O110" s="139">
        <f t="shared" ca="1" si="7"/>
        <v>6.7482056088739217E+19</v>
      </c>
      <c r="P110" s="153"/>
      <c r="Q110" s="139">
        <f t="shared" ca="1" si="8"/>
        <v>0</v>
      </c>
      <c r="R110" s="153"/>
      <c r="S110" s="153"/>
    </row>
    <row r="111" spans="10:19" ht="13.5" thickBot="1">
      <c r="J111" s="138">
        <f>courbes!A110</f>
        <v>9</v>
      </c>
      <c r="K111" s="139">
        <f t="shared" ca="1" si="5"/>
        <v>6.7600425419445002E+19</v>
      </c>
      <c r="L111" s="141">
        <f>courbes!J110</f>
        <v>9</v>
      </c>
      <c r="M111" s="139">
        <f t="shared" ca="1" si="6"/>
        <v>6.7575552584257995E+19</v>
      </c>
      <c r="N111" s="139">
        <f>courbes!U110</f>
        <v>9</v>
      </c>
      <c r="O111" s="139">
        <f t="shared" ca="1" si="7"/>
        <v>6.7572081242347733E+19</v>
      </c>
      <c r="P111" s="153"/>
      <c r="Q111" s="139">
        <f t="shared" ca="1" si="8"/>
        <v>0</v>
      </c>
      <c r="R111" s="153"/>
      <c r="S111" s="153"/>
    </row>
    <row r="112" spans="10:19" ht="13.5" thickBot="1">
      <c r="J112" s="138">
        <f>courbes!A111</f>
        <v>9.0833333333333339</v>
      </c>
      <c r="K112" s="139">
        <f t="shared" ca="1" si="5"/>
        <v>6.7690334551629783E+19</v>
      </c>
      <c r="L112" s="141">
        <f>courbes!J111</f>
        <v>9.0833333333333339</v>
      </c>
      <c r="M112" s="139">
        <f t="shared" ca="1" si="6"/>
        <v>6.7665226257032962E+19</v>
      </c>
      <c r="N112" s="139">
        <f>courbes!U111</f>
        <v>9.0833333333333339</v>
      </c>
      <c r="O112" s="139">
        <f t="shared" ca="1" si="7"/>
        <v>6.7661636478593335E+19</v>
      </c>
      <c r="P112" s="153"/>
      <c r="Q112" s="139">
        <f t="shared" ca="1" si="8"/>
        <v>0</v>
      </c>
      <c r="R112" s="153"/>
      <c r="S112" s="153"/>
    </row>
    <row r="113" spans="10:19" ht="13.5" thickBot="1">
      <c r="J113" s="138">
        <f>courbes!A112</f>
        <v>9.1666666666666661</v>
      </c>
      <c r="K113" s="139">
        <f t="shared" ca="1" si="5"/>
        <v>6.7779788957342392E+19</v>
      </c>
      <c r="L113" s="141">
        <f>courbes!J112</f>
        <v>9.1666666666666661</v>
      </c>
      <c r="M113" s="139">
        <f t="shared" ca="1" si="6"/>
        <v>6.7754432589992894E+19</v>
      </c>
      <c r="N113" s="139">
        <f>courbes!U112</f>
        <v>9.1666666666666661</v>
      </c>
      <c r="O113" s="139">
        <f t="shared" ca="1" si="7"/>
        <v>6.7750721786031768E+19</v>
      </c>
      <c r="P113" s="153"/>
      <c r="Q113" s="139">
        <f t="shared" ca="1" si="8"/>
        <v>0</v>
      </c>
      <c r="R113" s="153"/>
      <c r="S113" s="153"/>
    </row>
    <row r="114" spans="10:19" ht="13.5" thickBot="1">
      <c r="J114" s="138">
        <f>courbes!A113</f>
        <v>9.25</v>
      </c>
      <c r="K114" s="139">
        <f t="shared" ca="1" si="5"/>
        <v>6.7868788162258723E+19</v>
      </c>
      <c r="L114" s="141">
        <f>courbes!J113</f>
        <v>9.25</v>
      </c>
      <c r="M114" s="139">
        <f t="shared" ca="1" si="6"/>
        <v>6.7843171362121875E+19</v>
      </c>
      <c r="N114" s="139">
        <f>courbes!U113</f>
        <v>9.25</v>
      </c>
      <c r="O114" s="139">
        <f t="shared" ca="1" si="7"/>
        <v>6.7839336928738509E+19</v>
      </c>
      <c r="P114" s="153"/>
      <c r="Q114" s="139">
        <f t="shared" ca="1" si="8"/>
        <v>0</v>
      </c>
      <c r="R114" s="153"/>
      <c r="S114" s="153"/>
    </row>
    <row r="115" spans="10:19" ht="13.5" thickBot="1">
      <c r="J115" s="138">
        <f>courbes!A114</f>
        <v>9.3333333333333339</v>
      </c>
      <c r="K115" s="139">
        <f t="shared" ca="1" si="5"/>
        <v>6.7957331475368468E+19</v>
      </c>
      <c r="L115" s="141">
        <f>courbes!J114</f>
        <v>9.3333333333333339</v>
      </c>
      <c r="M115" s="139">
        <f t="shared" ca="1" si="6"/>
        <v>6.7931442138596557E+19</v>
      </c>
      <c r="N115" s="139">
        <f>courbes!U114</f>
        <v>9.3333333333333339</v>
      </c>
      <c r="O115" s="139">
        <f t="shared" ca="1" si="7"/>
        <v>6.7927481456829891E+19</v>
      </c>
      <c r="P115" s="153"/>
      <c r="Q115" s="139">
        <f t="shared" ca="1" si="8"/>
        <v>0</v>
      </c>
      <c r="R115" s="153"/>
      <c r="S115" s="153"/>
    </row>
    <row r="116" spans="10:19" ht="13.5" thickBot="1">
      <c r="J116" s="138">
        <f>courbes!A115</f>
        <v>9.4166666666666661</v>
      </c>
      <c r="K116" s="139">
        <f t="shared" ca="1" si="5"/>
        <v>6.8045417999453209E+19</v>
      </c>
      <c r="L116" s="141">
        <f>courbes!J115</f>
        <v>9.4166666666666661</v>
      </c>
      <c r="M116" s="139">
        <f t="shared" ca="1" si="6"/>
        <v>6.801924428182877E+19</v>
      </c>
      <c r="N116" s="139">
        <f>courbes!U115</f>
        <v>9.4166666666666661</v>
      </c>
      <c r="O116" s="139">
        <f t="shared" ca="1" si="7"/>
        <v>6.80151547166469E+19</v>
      </c>
      <c r="P116" s="153"/>
      <c r="Q116" s="139">
        <f t="shared" ca="1" si="8"/>
        <v>0</v>
      </c>
      <c r="R116" s="153"/>
      <c r="S116" s="153"/>
    </row>
    <row r="117" spans="10:19" ht="13.5" thickBot="1">
      <c r="J117" s="138">
        <f>courbes!A116</f>
        <v>9.5</v>
      </c>
      <c r="K117" s="139">
        <f t="shared" ca="1" si="5"/>
        <v>6.8133046641223655E+19</v>
      </c>
      <c r="L117" s="141">
        <f>courbes!J116</f>
        <v>9.5</v>
      </c>
      <c r="M117" s="139">
        <f t="shared" ca="1" si="6"/>
        <v>6.8106576962508055E+19</v>
      </c>
      <c r="N117" s="139">
        <f>courbes!U116</f>
        <v>9.5</v>
      </c>
      <c r="O117" s="139">
        <f t="shared" ca="1" si="7"/>
        <v>6.810235586061176E+19</v>
      </c>
      <c r="P117" s="153"/>
      <c r="Q117" s="139">
        <f t="shared" ca="1" si="8"/>
        <v>0</v>
      </c>
      <c r="R117" s="153"/>
      <c r="S117" s="153"/>
    </row>
    <row r="118" spans="10:19" ht="13.5" thickBot="1">
      <c r="J118" s="138">
        <f>courbes!A117</f>
        <v>9.5833333333333339</v>
      </c>
      <c r="K118" s="139">
        <f t="shared" ca="1" si="5"/>
        <v>6.8220216121126109E+19</v>
      </c>
      <c r="L118" s="141">
        <f>courbes!J117</f>
        <v>9.5833333333333339</v>
      </c>
      <c r="M118" s="139">
        <f t="shared" ca="1" si="6"/>
        <v>6.8193439170644181E+19</v>
      </c>
      <c r="N118" s="139">
        <f>courbes!U117</f>
        <v>9.5833333333333339</v>
      </c>
      <c r="O118" s="139">
        <f t="shared" ca="1" si="7"/>
        <v>6.81890838567685E+19</v>
      </c>
      <c r="P118" s="153"/>
      <c r="Q118" s="139">
        <f t="shared" ca="1" si="8"/>
        <v>0</v>
      </c>
      <c r="R118" s="153"/>
      <c r="S118" s="153"/>
    </row>
    <row r="119" spans="10:19" ht="13.5" thickBot="1">
      <c r="J119" s="138">
        <f>courbes!A118</f>
        <v>9.6666666666666661</v>
      </c>
      <c r="K119" s="139">
        <f t="shared" ca="1" si="5"/>
        <v>6.8306924982827901E+19</v>
      </c>
      <c r="L119" s="141">
        <f>courbes!J118</f>
        <v>9.6666666666666661</v>
      </c>
      <c r="M119" s="139">
        <f t="shared" ca="1" si="6"/>
        <v>6.8279829726609826E+19</v>
      </c>
      <c r="N119" s="139">
        <f>courbes!U118</f>
        <v>9.6666666666666661</v>
      </c>
      <c r="O119" s="139">
        <f t="shared" ca="1" si="7"/>
        <v>6.8275337498011599E+19</v>
      </c>
      <c r="P119" s="153"/>
      <c r="Q119" s="139">
        <f t="shared" ca="1" si="8"/>
        <v>0</v>
      </c>
      <c r="R119" s="153"/>
      <c r="S119" s="153"/>
    </row>
    <row r="120" spans="10:19" ht="13.5" thickBot="1">
      <c r="J120" s="138">
        <f>courbes!A119</f>
        <v>9.75</v>
      </c>
      <c r="K120" s="139">
        <f t="shared" ca="1" si="5"/>
        <v>6.8393171602391146E+19</v>
      </c>
      <c r="L120" s="141">
        <f>courbes!J119</f>
        <v>9.75</v>
      </c>
      <c r="M120" s="139">
        <f t="shared" ca="1" si="6"/>
        <v>6.8365747292182995E+19</v>
      </c>
      <c r="N120" s="139">
        <f>courbes!U119</f>
        <v>9.75</v>
      </c>
      <c r="O120" s="139">
        <f t="shared" ca="1" si="7"/>
        <v>6.8361115411016876E+19</v>
      </c>
      <c r="P120" s="153"/>
      <c r="Q120" s="139">
        <f t="shared" ca="1" si="8"/>
        <v>0</v>
      </c>
      <c r="R120" s="153"/>
      <c r="S120" s="153"/>
    </row>
    <row r="121" spans="10:19" ht="13.5" thickBot="1">
      <c r="J121" s="138">
        <f>courbes!A120</f>
        <v>9.8333333333333339</v>
      </c>
      <c r="K121" s="139">
        <f t="shared" ca="1" si="5"/>
        <v>6.8478954197144142E+19</v>
      </c>
      <c r="L121" s="141">
        <f>courbes!J120</f>
        <v>9.8333333333333339</v>
      </c>
      <c r="M121" s="139">
        <f t="shared" ca="1" si="6"/>
        <v>6.8451190381589643E+19</v>
      </c>
      <c r="N121" s="139">
        <f>courbes!U120</f>
        <v>9.8333333333333339</v>
      </c>
      <c r="O121" s="139">
        <f t="shared" ca="1" si="7"/>
        <v>6.8446416064881656E+19</v>
      </c>
      <c r="P121" s="153"/>
      <c r="Q121" s="139">
        <f t="shared" ca="1" si="8"/>
        <v>0</v>
      </c>
      <c r="R121" s="153"/>
      <c r="S121" s="153"/>
    </row>
    <row r="122" spans="10:19" ht="13.5" thickBot="1">
      <c r="J122" s="138">
        <f>courbes!A121</f>
        <v>9.9166666666666661</v>
      </c>
      <c r="K122" s="139">
        <f t="shared" ca="1" si="5"/>
        <v>6.8564270834259182E+19</v>
      </c>
      <c r="L122" s="141">
        <f>courbes!J121</f>
        <v>9.9166666666666661</v>
      </c>
      <c r="M122" s="139">
        <f t="shared" ca="1" si="6"/>
        <v>6.8536157372546245E+19</v>
      </c>
      <c r="N122" s="139">
        <f>courbes!U121</f>
        <v>9.9166666666666661</v>
      </c>
      <c r="O122" s="139">
        <f t="shared" ca="1" si="7"/>
        <v>6.8531237779480871E+19</v>
      </c>
      <c r="P122" s="153"/>
      <c r="Q122" s="139">
        <f t="shared" ca="1" si="8"/>
        <v>0</v>
      </c>
      <c r="R122" s="153"/>
      <c r="S122" s="153"/>
    </row>
    <row r="123" spans="10:19" ht="13.5" thickBot="1">
      <c r="J123" s="138">
        <f>courbes!A122</f>
        <v>10</v>
      </c>
      <c r="K123" s="139">
        <f t="shared" ca="1" si="5"/>
        <v>6.8649119439045526E+19</v>
      </c>
      <c r="L123" s="141">
        <f>courbes!J122</f>
        <v>10</v>
      </c>
      <c r="M123" s="139">
        <f t="shared" ca="1" si="6"/>
        <v>6.8620646517302395E+19</v>
      </c>
      <c r="N123" s="139">
        <f>courbes!U122</f>
        <v>10</v>
      </c>
      <c r="O123" s="139">
        <f t="shared" ca="1" si="7"/>
        <v>6.8615578733550305E+19</v>
      </c>
      <c r="P123" s="153"/>
      <c r="Q123" s="139">
        <f t="shared" ca="1" si="8"/>
        <v>0</v>
      </c>
      <c r="R123" s="153"/>
      <c r="S123" s="153"/>
    </row>
    <row r="124" spans="10:19" ht="13.5" thickBot="1">
      <c r="J124" s="138">
        <f>courbes!A123</f>
        <v>10.083333333333334</v>
      </c>
      <c r="K124" s="139">
        <f t="shared" ca="1" si="5"/>
        <v>6.8733497802965901E+19</v>
      </c>
      <c r="L124" s="149"/>
      <c r="M124" s="150"/>
      <c r="N124" s="139">
        <f>courbes!U123</f>
        <v>10.083333333333334</v>
      </c>
      <c r="O124" s="139">
        <f t="shared" ca="1" si="7"/>
        <v>6.8699436972502614E+19</v>
      </c>
      <c r="P124" s="153"/>
      <c r="Q124" s="139">
        <f t="shared" ca="1" si="8"/>
        <v>0</v>
      </c>
      <c r="R124" s="153"/>
      <c r="S124" s="153"/>
    </row>
    <row r="125" spans="10:19" ht="13.5" thickBot="1">
      <c r="J125" s="138">
        <f>courbes!A124</f>
        <v>10.166666666666666</v>
      </c>
      <c r="K125" s="139">
        <f t="shared" ca="1" si="5"/>
        <v>6.8817403591384687E+19</v>
      </c>
      <c r="L125" s="149"/>
      <c r="M125" s="150"/>
      <c r="N125" s="139">
        <f>courbes!U124</f>
        <v>10.166666666666666</v>
      </c>
      <c r="O125" s="139">
        <f t="shared" ca="1" si="7"/>
        <v>6.8782810415985099E+19</v>
      </c>
      <c r="P125" s="153"/>
      <c r="Q125" s="139">
        <f t="shared" ca="1" si="8"/>
        <v>0</v>
      </c>
      <c r="R125" s="153"/>
      <c r="S125" s="153"/>
    </row>
    <row r="126" spans="10:19" ht="13.5" thickBot="1">
      <c r="J126" s="138">
        <f>courbes!A125</f>
        <v>10.25</v>
      </c>
      <c r="K126" s="139">
        <f t="shared" ca="1" si="5"/>
        <v>6.8900834351055725E+19</v>
      </c>
      <c r="L126" s="149"/>
      <c r="M126" s="150"/>
      <c r="N126" s="139">
        <f>courbes!U125</f>
        <v>10.25</v>
      </c>
      <c r="O126" s="139">
        <f t="shared" ca="1" si="7"/>
        <v>6.8865696865186316E+19</v>
      </c>
      <c r="P126" s="153"/>
      <c r="Q126" s="139">
        <f t="shared" ca="1" si="8"/>
        <v>0</v>
      </c>
      <c r="R126" s="153"/>
      <c r="S126" s="153"/>
    </row>
    <row r="127" spans="10:19" ht="13.5" thickBot="1">
      <c r="J127" s="138">
        <f>courbes!A126</f>
        <v>10.333333333333334</v>
      </c>
      <c r="K127" s="139">
        <f t="shared" ca="1" si="5"/>
        <v>6.8983787517357416E+19</v>
      </c>
      <c r="L127" s="149"/>
      <c r="M127" s="150"/>
      <c r="N127" s="139">
        <f>courbes!U126</f>
        <v>10.333333333333334</v>
      </c>
      <c r="O127" s="139">
        <f t="shared" ca="1" si="7"/>
        <v>6.8948094009898893E+19</v>
      </c>
      <c r="P127" s="153"/>
      <c r="Q127" s="139">
        <f t="shared" ca="1" si="8"/>
        <v>0</v>
      </c>
      <c r="R127" s="153"/>
      <c r="S127" s="153"/>
    </row>
    <row r="128" spans="10:19" ht="13.5" thickBot="1">
      <c r="J128" s="138">
        <f>courbes!A127</f>
        <v>10.416666666666666</v>
      </c>
      <c r="K128" s="139">
        <f t="shared" ca="1" si="5"/>
        <v>6.906626042128266E+19</v>
      </c>
      <c r="L128" s="149"/>
      <c r="M128" s="150"/>
      <c r="N128" s="139">
        <f>courbes!U127</f>
        <v>10.416666666666666</v>
      </c>
      <c r="O128" s="139">
        <f t="shared" ca="1" si="7"/>
        <v>6.9029999435346018E+19</v>
      </c>
      <c r="P128" s="153"/>
      <c r="Q128" s="139">
        <f t="shared" ca="1" si="8"/>
        <v>0</v>
      </c>
      <c r="R128" s="153"/>
      <c r="S128" s="153"/>
    </row>
    <row r="129" spans="10:19" ht="13.5" thickBot="1">
      <c r="J129" s="138">
        <f>courbes!A128</f>
        <v>10.5</v>
      </c>
      <c r="K129" s="139">
        <f t="shared" ca="1" si="5"/>
        <v>6.9148250296190763E+19</v>
      </c>
      <c r="L129" s="149"/>
      <c r="M129" s="150"/>
      <c r="N129" s="139">
        <f>courbes!U128</f>
        <v>10.5</v>
      </c>
      <c r="O129" s="139">
        <f t="shared" ca="1" si="7"/>
        <v>6.9111410628778459E+19</v>
      </c>
      <c r="P129" s="153"/>
      <c r="Q129" s="139">
        <f t="shared" ca="1" si="8"/>
        <v>0</v>
      </c>
      <c r="R129" s="153"/>
      <c r="S129" s="153"/>
    </row>
    <row r="130" spans="10:19" ht="13.5" thickBot="1">
      <c r="J130" s="138">
        <f>courbes!A129</f>
        <v>10.583333333333334</v>
      </c>
      <c r="K130" s="139">
        <f t="shared" ca="1" si="5"/>
        <v>6.9229754284328485E+19</v>
      </c>
      <c r="L130" s="149"/>
      <c r="M130" s="150"/>
      <c r="N130" s="139">
        <f>courbes!U129</f>
        <v>10.583333333333334</v>
      </c>
      <c r="O130" s="139">
        <f t="shared" ca="1" si="7"/>
        <v>6.9192324985846596E+19</v>
      </c>
      <c r="P130" s="153"/>
      <c r="Q130" s="139">
        <f t="shared" ca="1" si="8"/>
        <v>0</v>
      </c>
      <c r="R130" s="153"/>
      <c r="S130" s="153"/>
    </row>
    <row r="131" spans="10:19" ht="13.5" thickBot="1">
      <c r="J131" s="138">
        <f>courbes!A130</f>
        <v>10.666666666666666</v>
      </c>
      <c r="K131" s="139">
        <f t="shared" ref="K131:K137" ca="1" si="9">INDIRECT("courbes!"&amp;INDEX($D$3:$H$10,MATCH($B$2,$C$3:$C$10,0),MATCH(K$1,$D$2:$H$2,0))&amp;ROW($J130))</f>
        <v>6.9310769443127001E+19</v>
      </c>
      <c r="L131" s="149"/>
      <c r="M131" s="150"/>
      <c r="N131" s="139">
        <f>courbes!U130</f>
        <v>10.666666666666666</v>
      </c>
      <c r="O131" s="139">
        <f t="shared" ref="O131:O137" ca="1" si="10">INDIRECT("courbes!"&amp;INDEX($D$3:$H$10,MATCH($B$2,$C$3:$C$10,0),MATCH(O$1,$D$2:$H$2,0))&amp;ROW($J130))</f>
        <v>6.9272739816759853E+19</v>
      </c>
      <c r="P131" s="153"/>
      <c r="Q131" s="139">
        <f t="shared" ref="Q131:Q137" ca="1" si="11">INDIRECT("courbes!"&amp;INDEX($D$3:$H$10,MATCH($B$2,$C$3:$C$10,0),MATCH(Q$1,$D$2:$H$2,0))&amp;ROW($J130))</f>
        <v>0</v>
      </c>
      <c r="R131" s="153"/>
      <c r="S131" s="153"/>
    </row>
    <row r="132" spans="10:19" ht="13.5" thickBot="1">
      <c r="J132" s="138">
        <f>courbes!A131</f>
        <v>10.75</v>
      </c>
      <c r="K132" s="139">
        <f t="shared" ca="1" si="9"/>
        <v>6.9391292751281471E+19</v>
      </c>
      <c r="L132" s="149"/>
      <c r="M132" s="150"/>
      <c r="N132" s="139">
        <f>courbes!U131</f>
        <v>10.75</v>
      </c>
      <c r="O132" s="139">
        <f t="shared" ca="1" si="10"/>
        <v>6.9352652352232096E+19</v>
      </c>
      <c r="P132" s="153"/>
      <c r="Q132" s="139">
        <f t="shared" ca="1" si="11"/>
        <v>0</v>
      </c>
      <c r="R132" s="153"/>
      <c r="S132" s="153"/>
    </row>
    <row r="133" spans="10:19" ht="13.5" thickBot="1">
      <c r="J133" s="138">
        <f>courbes!A132</f>
        <v>10.833333333333334</v>
      </c>
      <c r="K133" s="139">
        <f t="shared" ca="1" si="9"/>
        <v>6.9471321114619593E+19</v>
      </c>
      <c r="L133" s="149"/>
      <c r="M133" s="150"/>
      <c r="N133" s="139">
        <f>courbes!U132</f>
        <v>10.833333333333334</v>
      </c>
      <c r="O133" s="139">
        <f t="shared" ca="1" si="10"/>
        <v>6.9432059749225529E+19</v>
      </c>
      <c r="P133" s="153"/>
      <c r="Q133" s="139">
        <f t="shared" ca="1" si="11"/>
        <v>0</v>
      </c>
      <c r="R133" s="153"/>
      <c r="S133" s="153"/>
    </row>
    <row r="134" spans="10:19" ht="13.5" thickBot="1">
      <c r="J134" s="138">
        <f>courbes!A133</f>
        <v>10.916666666666666</v>
      </c>
      <c r="K134" s="139">
        <f t="shared" ca="1" si="9"/>
        <v>6.9550851371765514E+19</v>
      </c>
      <c r="L134" s="149"/>
      <c r="M134" s="150"/>
      <c r="N134" s="139">
        <f>courbes!U133</f>
        <v>10.916666666666666</v>
      </c>
      <c r="O134" s="139">
        <f t="shared" ca="1" si="10"/>
        <v>6.9510959096495669E+19</v>
      </c>
      <c r="Q134" s="139">
        <f t="shared" ca="1" si="11"/>
        <v>0</v>
      </c>
    </row>
    <row r="135" spans="10:19" ht="13.5" thickBot="1">
      <c r="J135" s="138">
        <f>courbes!A134</f>
        <v>11</v>
      </c>
      <c r="K135" s="139">
        <f t="shared" ca="1" si="9"/>
        <v>6.9629880299605123E+19</v>
      </c>
      <c r="L135" s="149"/>
      <c r="M135" s="150"/>
      <c r="N135" s="139">
        <f>courbes!U134</f>
        <v>11</v>
      </c>
      <c r="O135" s="139">
        <f t="shared" ca="1" si="10"/>
        <v>6.9589347419943797E+19</v>
      </c>
      <c r="Q135" s="139">
        <f t="shared" ca="1" si="11"/>
        <v>0</v>
      </c>
    </row>
    <row r="136" spans="10:19" ht="13.5" thickBot="1">
      <c r="J136" s="138">
        <f>courbes!A135</f>
        <v>11.083333333333334</v>
      </c>
      <c r="K136" s="139">
        <f t="shared" ca="1" si="9"/>
        <v>6.9708404618558611E+19</v>
      </c>
      <c r="L136" s="149"/>
      <c r="M136" s="150"/>
      <c r="N136" s="139">
        <f>courbes!U135</f>
        <v>11.083333333333334</v>
      </c>
      <c r="O136" s="139">
        <f t="shared" ca="1" si="10"/>
        <v>6.9667221687784767E+19</v>
      </c>
      <c r="Q136" s="139">
        <f t="shared" ca="1" si="11"/>
        <v>0</v>
      </c>
    </row>
    <row r="137" spans="10:19">
      <c r="J137" s="138">
        <f>courbes!A136</f>
        <v>11.166666666666666</v>
      </c>
      <c r="K137" s="139">
        <f t="shared" ca="1" si="9"/>
        <v>6.9786420997666144E+19</v>
      </c>
      <c r="L137" s="149"/>
      <c r="M137" s="150"/>
      <c r="N137" s="139">
        <f>courbes!U136</f>
        <v>11.166666666666666</v>
      </c>
      <c r="O137" s="139">
        <f t="shared" ca="1" si="10"/>
        <v>6.9744578815531057E+19</v>
      </c>
      <c r="Q137" s="139">
        <f t="shared" ca="1" si="11"/>
        <v>0</v>
      </c>
    </row>
    <row r="178" spans="10:19">
      <c r="J178" s="145"/>
      <c r="K178" s="145"/>
      <c r="L178" s="145"/>
      <c r="M178" s="145"/>
      <c r="N178" s="149"/>
      <c r="O178" s="145"/>
      <c r="P178" s="145"/>
      <c r="Q178" s="145"/>
      <c r="R178" s="145"/>
      <c r="S178" s="145"/>
    </row>
    <row r="179" spans="10:19">
      <c r="J179" s="145"/>
      <c r="K179" s="145"/>
      <c r="L179" s="145"/>
      <c r="M179" s="145"/>
      <c r="N179" s="149"/>
      <c r="O179" s="145"/>
      <c r="P179" s="145"/>
      <c r="Q179" s="145"/>
      <c r="R179" s="145"/>
      <c r="S179" s="145"/>
    </row>
    <row r="180" spans="10:19">
      <c r="J180" s="145"/>
      <c r="K180" s="145"/>
      <c r="L180" s="145"/>
      <c r="M180" s="145"/>
      <c r="N180" s="149"/>
      <c r="O180" s="145"/>
      <c r="P180" s="145"/>
      <c r="Q180" s="145"/>
      <c r="R180" s="145"/>
      <c r="S180" s="145"/>
    </row>
    <row r="181" spans="10:19">
      <c r="J181" s="145"/>
      <c r="K181" s="145"/>
      <c r="L181" s="145"/>
      <c r="M181" s="145"/>
      <c r="N181" s="149"/>
      <c r="O181" s="145"/>
      <c r="P181" s="145"/>
      <c r="Q181" s="145"/>
      <c r="R181" s="145"/>
      <c r="S181" s="145"/>
    </row>
    <row r="182" spans="10:19">
      <c r="J182" s="145"/>
      <c r="K182" s="145"/>
      <c r="L182" s="145"/>
      <c r="M182" s="145"/>
      <c r="N182" s="149"/>
      <c r="O182" s="145"/>
      <c r="P182" s="145"/>
      <c r="Q182" s="145"/>
      <c r="R182" s="145"/>
      <c r="S182" s="145"/>
    </row>
    <row r="183" spans="10:19">
      <c r="J183" s="145"/>
      <c r="K183" s="145"/>
      <c r="L183" s="145"/>
      <c r="M183" s="145"/>
      <c r="N183" s="149"/>
      <c r="O183" s="145"/>
      <c r="P183" s="145"/>
      <c r="Q183" s="145"/>
      <c r="R183" s="145"/>
      <c r="S183" s="145"/>
    </row>
    <row r="184" spans="10:19">
      <c r="J184" s="145"/>
      <c r="K184" s="145"/>
      <c r="L184" s="145"/>
      <c r="M184" s="145"/>
      <c r="N184" s="149"/>
      <c r="O184" s="145"/>
      <c r="P184" s="145"/>
      <c r="Q184" s="145"/>
      <c r="R184" s="145"/>
      <c r="S184" s="145"/>
    </row>
    <row r="185" spans="10:19">
      <c r="J185" s="145"/>
      <c r="K185" s="145"/>
      <c r="L185" s="145"/>
      <c r="M185" s="145"/>
      <c r="N185" s="149"/>
      <c r="O185" s="145"/>
      <c r="P185" s="145"/>
      <c r="Q185" s="145"/>
      <c r="R185" s="145"/>
      <c r="S185" s="145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7" sqref="B27"/>
    </sheetView>
  </sheetViews>
  <sheetFormatPr baseColWidth="10" defaultColWidth="17.875" defaultRowHeight="12.75"/>
  <cols>
    <col min="1" max="1" width="5.25" style="145" bestFit="1" customWidth="1"/>
    <col min="2" max="2" width="33.75" style="137" bestFit="1" customWidth="1"/>
    <col min="3" max="4" width="9.125" style="137" customWidth="1"/>
    <col min="5" max="5" width="20.125" style="137" customWidth="1"/>
    <col min="6" max="8" width="9.125" style="145" customWidth="1"/>
    <col min="9" max="9" width="2.5" style="145" customWidth="1"/>
    <col min="10" max="10" width="11" style="146" customWidth="1"/>
    <col min="11" max="11" width="10.625" style="146" bestFit="1" customWidth="1"/>
    <col min="12" max="12" width="9.125" style="153" bestFit="1" customWidth="1"/>
    <col min="13" max="13" width="9.75" style="146" bestFit="1" customWidth="1"/>
    <col min="14" max="14" width="9.125" style="146" bestFit="1" customWidth="1"/>
    <col min="15" max="15" width="16.625" style="146" bestFit="1" customWidth="1"/>
    <col min="16" max="16" width="9.25" style="146" bestFit="1" customWidth="1"/>
    <col min="17" max="17" width="11.75" style="146" bestFit="1" customWidth="1"/>
    <col min="18" max="18" width="9.25" style="146" bestFit="1" customWidth="1"/>
    <col min="19" max="19" width="10.375" style="146" bestFit="1" customWidth="1"/>
    <col min="20" max="16384" width="17.875" style="145"/>
  </cols>
  <sheetData>
    <row r="1" spans="1:19" ht="13.5" thickBot="1">
      <c r="K1" s="146" t="s">
        <v>40</v>
      </c>
      <c r="M1" s="137" t="s">
        <v>258</v>
      </c>
      <c r="O1" s="145" t="s">
        <v>168</v>
      </c>
      <c r="Q1" s="145" t="s">
        <v>259</v>
      </c>
      <c r="S1" s="145" t="s">
        <v>260</v>
      </c>
    </row>
    <row r="2" spans="1:19" ht="24.75" thickBot="1">
      <c r="A2" s="145" t="s">
        <v>257</v>
      </c>
      <c r="B2" s="143" t="s">
        <v>14</v>
      </c>
      <c r="D2" s="137" t="s">
        <v>40</v>
      </c>
      <c r="E2" s="137" t="s">
        <v>258</v>
      </c>
      <c r="F2" s="145" t="s">
        <v>168</v>
      </c>
      <c r="G2" s="145" t="s">
        <v>259</v>
      </c>
      <c r="H2" s="145" t="s">
        <v>260</v>
      </c>
      <c r="J2" s="138" t="str">
        <f>courbes!A1</f>
        <v>t(y)</v>
      </c>
      <c r="K2" s="139" t="str">
        <f ca="1">INDIRECT("courbes!"&amp;INDEX($D$3:$H$10,MATCH($B$2,$C$3:$C$10,0),MATCH(K$1,$D$2:$H$2,0))&amp;ROW($J1))</f>
        <v>RK1 - Am241</v>
      </c>
      <c r="L2" s="141" t="str">
        <f>courbes!J1</f>
        <v>t(y)</v>
      </c>
      <c r="M2" s="139" t="str">
        <f ca="1">INDIRECT("courbes!"&amp;INDEX($D$3:$H$10,MATCH($B$2,$C$3:$C$10,0),MATCH(M$1,$D$2:$H$2,0))&amp;ROW($J1))</f>
        <v>O5 - Am241</v>
      </c>
      <c r="N2" s="139" t="str">
        <f>courbes!U1</f>
        <v>t(y)</v>
      </c>
      <c r="O2" s="139" t="str">
        <f ca="1">INDIRECT("courbes!"&amp;INDEX($D$3:$H$10,MATCH($B$2,$C$3:$C$10,0),MATCH(O$1,$D$2:$H$2,0))&amp;ROW($J1))</f>
        <v xml:space="preserve"> Exact Simpl. - Am241</v>
      </c>
      <c r="P2" s="138" t="str">
        <f>courbes!AE1</f>
        <v>t(y)</v>
      </c>
      <c r="Q2" s="139" t="str">
        <f ca="1">INDIRECT("courbes!"&amp;INDEX($D$3:$H$10,MATCH($B$2,$C$3:$C$10,0),MATCH(Q$1,$D$2:$H$2,0))&amp;ROW($J1))</f>
        <v>DRAGON - Am241</v>
      </c>
      <c r="R2" s="138" t="str">
        <f>courbes!AO1</f>
        <v>t(y)</v>
      </c>
      <c r="S2" s="139" t="str">
        <f ca="1">INDIRECT("courbes!"&amp;INDEX($D$3:$H$10,MATCH($B$2,$C$3:$C$10,0),MATCH(S$1,$D$2:$H$2,0))&amp;ROW($J1))</f>
        <v xml:space="preserve">VESTA - Am241 </v>
      </c>
    </row>
    <row r="3" spans="1:19" ht="13.5" thickBot="1">
      <c r="C3" s="143" t="s">
        <v>7</v>
      </c>
      <c r="D3" s="137" t="s">
        <v>261</v>
      </c>
      <c r="E3" s="137" t="s">
        <v>192</v>
      </c>
      <c r="F3" s="145" t="s">
        <v>128</v>
      </c>
      <c r="G3" s="145" t="s">
        <v>262</v>
      </c>
      <c r="H3" s="145" t="s">
        <v>263</v>
      </c>
      <c r="J3" s="138" t="e">
        <f>courbes!A2</f>
        <v>#NAME?</v>
      </c>
      <c r="K3" s="139">
        <f t="shared" ref="K3:K66" ca="1" si="0">INDIRECT("courbes!"&amp;INDEX($D$3:$H$10,MATCH($B$2,$C$3:$C$10,0),MATCH(K$1,$D$2:$H$2,0))&amp;ROW($J2))</f>
        <v>3.2520680334545068E+19</v>
      </c>
      <c r="L3" s="141">
        <f>courbes!J2</f>
        <v>0</v>
      </c>
      <c r="M3" s="139">
        <f t="shared" ref="M3:M66" ca="1" si="1">INDIRECT("courbes!"&amp;INDEX($D$3:$H$10,MATCH($B$2,$C$3:$C$10,0),MATCH(M$1,$D$2:$H$2,0))&amp;ROW($J2))</f>
        <v>3.2520680334545068E+19</v>
      </c>
      <c r="N3" s="139">
        <f>courbes!U2</f>
        <v>0</v>
      </c>
      <c r="O3" s="139">
        <f t="shared" ref="O3:O66" ca="1" si="2">INDIRECT("courbes!"&amp;INDEX($D$3:$H$10,MATCH($B$2,$C$3:$C$10,0),MATCH(O$1,$D$2:$H$2,0))&amp;ROW($J2))</f>
        <v>3.2520680334545175E+19</v>
      </c>
      <c r="P3" s="138">
        <f>courbes!AE2</f>
        <v>0</v>
      </c>
      <c r="Q3" s="139">
        <f t="shared" ref="Q3:Q66" ca="1" si="3">INDIRECT("courbes!"&amp;INDEX($D$3:$H$10,MATCH($B$2,$C$3:$C$10,0),MATCH(Q$1,$D$2:$H$2,0))&amp;ROW($J2))</f>
        <v>3.2520680334545068E+19</v>
      </c>
      <c r="R3" s="138">
        <f>courbes!AO2</f>
        <v>0</v>
      </c>
      <c r="S3" s="139">
        <f t="shared" ref="S3:S9" ca="1" si="4">INDIRECT("courbes!"&amp;INDEX($D$3:$H$10,MATCH($B$2,$C$3:$C$10,0),MATCH(S$1,$D$2:$H$2,0))&amp;ROW($J2))</f>
        <v>3.2520680334545068E+19</v>
      </c>
    </row>
    <row r="4" spans="1:19" ht="13.5" thickBot="1">
      <c r="C4" s="143" t="s">
        <v>9</v>
      </c>
      <c r="D4" s="137" t="s">
        <v>264</v>
      </c>
      <c r="E4" s="137" t="s">
        <v>265</v>
      </c>
      <c r="F4" s="145" t="s">
        <v>266</v>
      </c>
      <c r="G4" s="145" t="s">
        <v>268</v>
      </c>
      <c r="H4" s="145" t="s">
        <v>269</v>
      </c>
      <c r="J4" s="138">
        <f>courbes!A3</f>
        <v>8.3333333333333329E-2</v>
      </c>
      <c r="K4" s="139">
        <f t="shared" ca="1" si="0"/>
        <v>3.2534653574734283E+19</v>
      </c>
      <c r="L4" s="141">
        <f>courbes!J3</f>
        <v>8.3333333333333329E-2</v>
      </c>
      <c r="M4" s="139">
        <f t="shared" ca="1" si="1"/>
        <v>3.2531438086500602E+19</v>
      </c>
      <c r="N4" s="139">
        <f>courbes!U3</f>
        <v>8.3333333333333329E-2</v>
      </c>
      <c r="O4" s="139">
        <f t="shared" ca="1" si="2"/>
        <v>3.2531438086477447E+19</v>
      </c>
      <c r="P4" s="138">
        <f>courbes!AE3</f>
        <v>0.2</v>
      </c>
      <c r="Q4" s="139">
        <f t="shared" ca="1" si="3"/>
        <v>3.267224541122535E+19</v>
      </c>
      <c r="R4" s="138">
        <f>courbes!AO3</f>
        <v>0.13689999999999999</v>
      </c>
      <c r="S4" s="139">
        <f t="shared" ca="1" si="4"/>
        <v>3.2520680334545068E+19</v>
      </c>
    </row>
    <row r="5" spans="1:19" ht="13.5" thickBot="1">
      <c r="C5" s="143" t="s">
        <v>10</v>
      </c>
      <c r="D5" s="137" t="s">
        <v>270</v>
      </c>
      <c r="E5" s="137" t="s">
        <v>276</v>
      </c>
      <c r="F5" s="145" t="s">
        <v>129</v>
      </c>
      <c r="G5" s="145" t="s">
        <v>287</v>
      </c>
      <c r="H5" s="145" t="s">
        <v>267</v>
      </c>
      <c r="J5" s="138">
        <f>courbes!A4</f>
        <v>0.16666666666666666</v>
      </c>
      <c r="K5" s="139">
        <f t="shared" ca="1" si="0"/>
        <v>3.2542074725729509E+19</v>
      </c>
      <c r="L5" s="141">
        <f>courbes!J4</f>
        <v>0.16666666666666666</v>
      </c>
      <c r="M5" s="139">
        <f t="shared" ca="1" si="1"/>
        <v>3.2536002229100179E+19</v>
      </c>
      <c r="N5" s="139">
        <f>courbes!U4</f>
        <v>0.16666666666666666</v>
      </c>
      <c r="O5" s="139">
        <f t="shared" ca="1" si="2"/>
        <v>3.2536002227588538E+19</v>
      </c>
      <c r="P5" s="138">
        <f>courbes!AE4</f>
        <v>0.4</v>
      </c>
      <c r="Q5" s="139">
        <f t="shared" ca="1" si="3"/>
        <v>3.27849220800732E+19</v>
      </c>
      <c r="R5" s="138">
        <f>courbes!AO4</f>
        <v>0.41070000000000001</v>
      </c>
      <c r="S5" s="139">
        <f t="shared" ca="1" si="4"/>
        <v>3.2494808671589978E+19</v>
      </c>
    </row>
    <row r="6" spans="1:19" ht="13.5" thickBot="1">
      <c r="C6" s="143" t="s">
        <v>11</v>
      </c>
      <c r="D6" s="137" t="s">
        <v>271</v>
      </c>
      <c r="E6" s="137" t="s">
        <v>277</v>
      </c>
      <c r="F6" s="145" t="s">
        <v>282</v>
      </c>
      <c r="G6" s="145" t="s">
        <v>288</v>
      </c>
      <c r="H6" s="145" t="s">
        <v>293</v>
      </c>
      <c r="J6" s="138">
        <f>courbes!A5</f>
        <v>0.25</v>
      </c>
      <c r="K6" s="139">
        <f t="shared" ca="1" si="0"/>
        <v>3.2543310821702263E+19</v>
      </c>
      <c r="L6" s="141">
        <f>courbes!J5</f>
        <v>0.25</v>
      </c>
      <c r="M6" s="139">
        <f t="shared" ca="1" si="1"/>
        <v>3.2534718116800365E+19</v>
      </c>
      <c r="N6" s="139">
        <f>courbes!U5</f>
        <v>0.25</v>
      </c>
      <c r="O6" s="139">
        <f t="shared" ca="1" si="2"/>
        <v>3.2534718099636453E+19</v>
      </c>
      <c r="P6" s="138">
        <f>courbes!AE5</f>
        <v>0.6</v>
      </c>
      <c r="Q6" s="139">
        <f t="shared" ca="1" si="3"/>
        <v>3.2859707479750967E+19</v>
      </c>
      <c r="R6" s="138">
        <f>courbes!AO5</f>
        <v>0.99929999999999997</v>
      </c>
      <c r="S6" s="139">
        <f t="shared" ca="1" si="4"/>
        <v>3.2305083143252664E+19</v>
      </c>
    </row>
    <row r="7" spans="1:19" ht="13.5" thickBot="1">
      <c r="C7" s="143" t="s">
        <v>13</v>
      </c>
      <c r="D7" s="137" t="s">
        <v>272</v>
      </c>
      <c r="E7" s="137" t="s">
        <v>278</v>
      </c>
      <c r="F7" s="145" t="s">
        <v>283</v>
      </c>
      <c r="G7" s="145" t="s">
        <v>289</v>
      </c>
      <c r="H7" s="145" t="s">
        <v>294</v>
      </c>
      <c r="J7" s="138">
        <f>courbes!A6</f>
        <v>0.33333333333333331</v>
      </c>
      <c r="K7" s="139">
        <f t="shared" ca="1" si="0"/>
        <v>3.2538714008387015E+19</v>
      </c>
      <c r="L7" s="141">
        <f>courbes!J6</f>
        <v>0.33333333333333331</v>
      </c>
      <c r="M7" s="139">
        <f t="shared" ca="1" si="1"/>
        <v>3.2527917260325671E+19</v>
      </c>
      <c r="N7" s="139">
        <f>courbes!U6</f>
        <v>0.33333333333333331</v>
      </c>
      <c r="O7" s="139">
        <f t="shared" ca="1" si="2"/>
        <v>3.2527917164369732E+19</v>
      </c>
      <c r="P7" s="138">
        <f>courbes!AE6</f>
        <v>0.8</v>
      </c>
      <c r="Q7" s="139">
        <f t="shared" ca="1" si="3"/>
        <v>3.2900590164908151E+19</v>
      </c>
      <c r="R7" s="138">
        <f>courbes!AO6</f>
        <v>1.9990000000000001</v>
      </c>
      <c r="S7" s="139">
        <f t="shared" ca="1" si="4"/>
        <v>3.1761778221195825E+19</v>
      </c>
    </row>
    <row r="8" spans="1:19" ht="13.5" thickBot="1">
      <c r="C8" s="143" t="s">
        <v>14</v>
      </c>
      <c r="D8" s="137" t="s">
        <v>273</v>
      </c>
      <c r="E8" s="137" t="s">
        <v>279</v>
      </c>
      <c r="F8" s="145" t="s">
        <v>284</v>
      </c>
      <c r="G8" s="145" t="s">
        <v>290</v>
      </c>
      <c r="H8" s="145" t="s">
        <v>295</v>
      </c>
      <c r="J8" s="138">
        <f>courbes!A7</f>
        <v>0.41666666666666669</v>
      </c>
      <c r="K8" s="139">
        <f t="shared" ca="1" si="0"/>
        <v>3.2528622065433682E+19</v>
      </c>
      <c r="L8" s="141">
        <f>courbes!J7</f>
        <v>0.41666666666666669</v>
      </c>
      <c r="M8" s="139">
        <f t="shared" ca="1" si="1"/>
        <v>3.2515917849021063E+19</v>
      </c>
      <c r="N8" s="139">
        <f>courbes!U7</f>
        <v>0.41666666666666669</v>
      </c>
      <c r="O8" s="139">
        <f t="shared" ca="1" si="2"/>
        <v>3.2515917484860047E+19</v>
      </c>
      <c r="P8" s="138">
        <f>courbes!AE7</f>
        <v>1</v>
      </c>
      <c r="Q8" s="139">
        <f t="shared" ca="1" si="3"/>
        <v>3.290956441286948E+19</v>
      </c>
      <c r="R8" s="138">
        <f>courbes!AO7</f>
        <v>4.9989999999999997</v>
      </c>
      <c r="S8" s="139">
        <f t="shared" ca="1" si="4"/>
        <v>2.9916266263732916E+19</v>
      </c>
    </row>
    <row r="9" spans="1:19" ht="13.5" thickBot="1">
      <c r="C9" s="143" t="s">
        <v>15</v>
      </c>
      <c r="D9" s="137" t="s">
        <v>274</v>
      </c>
      <c r="E9" s="137" t="s">
        <v>280</v>
      </c>
      <c r="F9" s="145" t="s">
        <v>285</v>
      </c>
      <c r="G9" s="145" t="s">
        <v>291</v>
      </c>
      <c r="H9" s="145" t="s">
        <v>297</v>
      </c>
      <c r="J9" s="138">
        <f>courbes!A8</f>
        <v>0.5</v>
      </c>
      <c r="K9" s="139">
        <f t="shared" ca="1" si="0"/>
        <v>3.251335891169187E+19</v>
      </c>
      <c r="L9" s="141">
        <f>courbes!J8</f>
        <v>0.5</v>
      </c>
      <c r="M9" s="139">
        <f t="shared" ca="1" si="1"/>
        <v>3.2499025273204437E+19</v>
      </c>
      <c r="N9" s="139">
        <f>courbes!U8</f>
        <v>0.5</v>
      </c>
      <c r="O9" s="139">
        <f t="shared" ca="1" si="2"/>
        <v>3.2499024191312675E+19</v>
      </c>
      <c r="P9" s="138">
        <f>courbes!AE8</f>
        <v>1.2</v>
      </c>
      <c r="Q9" s="139">
        <f t="shared" ca="1" si="3"/>
        <v>3.2891615916946821E+19</v>
      </c>
      <c r="R9" s="138">
        <f>courbes!AO8</f>
        <v>9.9990000000000006</v>
      </c>
      <c r="S9" s="139">
        <f t="shared" ca="1" si="4"/>
        <v>2.9269474689855726E+19</v>
      </c>
    </row>
    <row r="10" spans="1:19" ht="13.5" thickBot="1">
      <c r="A10" s="145" t="s">
        <v>253</v>
      </c>
      <c r="B10" s="161" t="str">
        <f>"Comparaison des modèles pour le "&amp;B2</f>
        <v>Comparaison des modèles pour le Am241</v>
      </c>
      <c r="C10" s="143" t="s">
        <v>16</v>
      </c>
      <c r="D10" s="137" t="s">
        <v>275</v>
      </c>
      <c r="E10" s="137" t="s">
        <v>281</v>
      </c>
      <c r="F10" s="145" t="s">
        <v>286</v>
      </c>
      <c r="G10" s="145" t="s">
        <v>292</v>
      </c>
      <c r="H10" s="145" t="s">
        <v>296</v>
      </c>
      <c r="J10" s="138">
        <f>courbes!A9</f>
        <v>0.58333333333333337</v>
      </c>
      <c r="K10" s="139">
        <f t="shared" ca="1" si="0"/>
        <v>3.2493235093964632E+19</v>
      </c>
      <c r="L10" s="141">
        <f>courbes!J9</f>
        <v>0.58333333333333337</v>
      </c>
      <c r="M10" s="139">
        <f t="shared" ca="1" si="1"/>
        <v>3.2477532646519136E+19</v>
      </c>
      <c r="N10" s="139">
        <f>courbes!U9</f>
        <v>0.58333333333333337</v>
      </c>
      <c r="O10" s="139">
        <f t="shared" ca="1" si="2"/>
        <v>3.2477529931837759E+19</v>
      </c>
      <c r="P10" s="138">
        <f>courbes!AE9</f>
        <v>1.4</v>
      </c>
      <c r="Q10" s="139">
        <f t="shared" ca="1" si="3"/>
        <v>3.284774181580252E+19</v>
      </c>
      <c r="S10" s="144"/>
    </row>
    <row r="11" spans="1:19" ht="13.5" thickBot="1">
      <c r="A11" s="145" t="s">
        <v>254</v>
      </c>
      <c r="B11" s="161" t="s">
        <v>256</v>
      </c>
      <c r="C11" s="161"/>
      <c r="D11" s="161"/>
      <c r="E11" s="161"/>
      <c r="J11" s="138">
        <f>courbes!A10</f>
        <v>0.66666666666666663</v>
      </c>
      <c r="K11" s="139">
        <f t="shared" ca="1" si="0"/>
        <v>3.246854825975296E+19</v>
      </c>
      <c r="L11" s="141">
        <f>courbes!J10</f>
        <v>0.66666666666666663</v>
      </c>
      <c r="M11" s="139">
        <f t="shared" ca="1" si="1"/>
        <v>3.2451721328286433E+19</v>
      </c>
      <c r="N11" s="139">
        <f>courbes!U10</f>
        <v>0.66666666666666663</v>
      </c>
      <c r="O11" s="139">
        <f t="shared" ca="1" si="2"/>
        <v>3.245171530864744E+19</v>
      </c>
      <c r="P11" s="138">
        <f>courbes!AE10</f>
        <v>1.6</v>
      </c>
      <c r="Q11" s="139">
        <f t="shared" ca="1" si="3"/>
        <v>3.2782927802748453E+19</v>
      </c>
    </row>
    <row r="12" spans="1:19" ht="18" thickBot="1">
      <c r="A12" s="145" t="s">
        <v>255</v>
      </c>
      <c r="B12" s="169" t="s">
        <v>299</v>
      </c>
      <c r="C12" s="161"/>
      <c r="D12" s="161"/>
      <c r="E12" s="161"/>
      <c r="J12" s="138">
        <f>courbes!A11</f>
        <v>0.75</v>
      </c>
      <c r="K12" s="139">
        <f t="shared" ca="1" si="0"/>
        <v>3.2439583614496035E+19</v>
      </c>
      <c r="L12" s="141">
        <f>courbes!J11</f>
        <v>0.75</v>
      </c>
      <c r="M12" s="139">
        <f t="shared" ca="1" si="1"/>
        <v>3.2421861445858046E+19</v>
      </c>
      <c r="N12" s="139">
        <f>courbes!U11</f>
        <v>0.75</v>
      </c>
      <c r="O12" s="139">
        <f t="shared" ca="1" si="2"/>
        <v>3.2421849300135911E+19</v>
      </c>
      <c r="P12" s="138">
        <f>courbes!AE11</f>
        <v>1.8</v>
      </c>
      <c r="Q12" s="139">
        <f t="shared" ca="1" si="3"/>
        <v>3.2697173877784605E+19</v>
      </c>
    </row>
    <row r="13" spans="1:19" ht="13.5" thickBot="1">
      <c r="J13" s="138">
        <f>courbes!A12</f>
        <v>0.83333333333333337</v>
      </c>
      <c r="K13" s="139">
        <f t="shared" ca="1" si="0"/>
        <v>3.2406614363796681E+19</v>
      </c>
      <c r="L13" s="141">
        <f>courbes!J12</f>
        <v>0.83333333333333337</v>
      </c>
      <c r="M13" s="139">
        <f t="shared" ca="1" si="1"/>
        <v>3.238821241696861E+19</v>
      </c>
      <c r="N13" s="139">
        <f>courbes!U12</f>
        <v>0.83333333333333337</v>
      </c>
      <c r="O13" s="139">
        <f t="shared" ca="1" si="2"/>
        <v>3.2388189669278155E+19</v>
      </c>
      <c r="P13" s="138">
        <f>courbes!AE12</f>
        <v>2</v>
      </c>
      <c r="Q13" s="139">
        <f t="shared" ca="1" si="3"/>
        <v>3.2595465734222836E+19</v>
      </c>
    </row>
    <row r="14" spans="1:19" ht="13.5" thickBot="1">
      <c r="J14" s="138">
        <f>courbes!A13</f>
        <v>0.91666666666666663</v>
      </c>
      <c r="K14" s="139">
        <f t="shared" ca="1" si="0"/>
        <v>3.2369902141106323E+19</v>
      </c>
      <c r="L14" s="141">
        <f>courbes!J13</f>
        <v>0.91666666666666663</v>
      </c>
      <c r="M14" s="139">
        <f t="shared" ca="1" si="1"/>
        <v>3.2351023472088191E+19</v>
      </c>
      <c r="N14" s="139">
        <f>courbes!U13</f>
        <v>0.91666666666666663</v>
      </c>
      <c r="O14" s="139">
        <f t="shared" ca="1" si="2"/>
        <v>3.2350983358775943E+19</v>
      </c>
      <c r="P14" s="138">
        <f>courbes!AE13</f>
        <v>2.2000000000000002</v>
      </c>
      <c r="Q14" s="139">
        <f t="shared" ca="1" si="3"/>
        <v>3.2478800510725509E+19</v>
      </c>
    </row>
    <row r="15" spans="1:19" ht="13.5" thickBot="1">
      <c r="J15" s="138">
        <f>courbes!A14</f>
        <v>1</v>
      </c>
      <c r="K15" s="139">
        <f t="shared" ca="1" si="0"/>
        <v>3.2329697421329052E+19</v>
      </c>
      <c r="L15" s="141">
        <f>courbes!J14</f>
        <v>1</v>
      </c>
      <c r="M15" s="139">
        <f t="shared" ca="1" si="1"/>
        <v>3.2310534176774779E+19</v>
      </c>
      <c r="N15" s="139">
        <f>courbes!U14</f>
        <v>1</v>
      </c>
      <c r="O15" s="139">
        <f t="shared" ca="1" si="2"/>
        <v>3.231046687336294E+19</v>
      </c>
      <c r="P15" s="138">
        <f>courbes!AE14</f>
        <v>2.4</v>
      </c>
      <c r="Q15" s="139">
        <f t="shared" ca="1" si="3"/>
        <v>3.2348175345955004E+19</v>
      </c>
    </row>
    <row r="16" spans="1:19" ht="13.5" thickBot="1">
      <c r="J16" s="138">
        <f>courbes!A15</f>
        <v>1.0833333333333333</v>
      </c>
      <c r="K16" s="139">
        <f t="shared" ca="1" si="0"/>
        <v>3.2286239920790135E+19</v>
      </c>
      <c r="L16" s="141">
        <f>courbes!J15</f>
        <v>1.0833333333333333</v>
      </c>
      <c r="M16" s="139">
        <f t="shared" ca="1" si="1"/>
        <v>3.2266931951070454E+19</v>
      </c>
      <c r="N16" s="139">
        <f>courbes!U15</f>
        <v>1.0833333333333333</v>
      </c>
      <c r="O16" s="139">
        <f t="shared" ca="1" si="2"/>
        <v>3.2266866649670263E+19</v>
      </c>
      <c r="P16" s="138">
        <f>courbes!AE15</f>
        <v>2.6</v>
      </c>
      <c r="Q16" s="139">
        <f t="shared" ca="1" si="3"/>
        <v>3.2207578794560786E+19</v>
      </c>
    </row>
    <row r="17" spans="10:19" ht="13.5" thickBot="1">
      <c r="J17" s="138">
        <f>courbes!A16</f>
        <v>1.1666666666666667</v>
      </c>
      <c r="K17" s="139">
        <f t="shared" ca="1" si="0"/>
        <v>3.2239758984000618E+19</v>
      </c>
      <c r="L17" s="141">
        <f>courbes!J16</f>
        <v>1.1666666666666667</v>
      </c>
      <c r="M17" s="139">
        <f t="shared" ca="1" si="1"/>
        <v>3.2220462806552199E+19</v>
      </c>
      <c r="N17" s="139">
        <f>courbes!U16</f>
        <v>1.1666666666666667</v>
      </c>
      <c r="O17" s="139">
        <f t="shared" ca="1" si="2"/>
        <v>3.2220399414039675E+19</v>
      </c>
      <c r="P17" s="138">
        <f>courbes!AE16</f>
        <v>2.8</v>
      </c>
      <c r="Q17" s="139">
        <f t="shared" ca="1" si="3"/>
        <v>3.2057010856542876E+19</v>
      </c>
    </row>
    <row r="18" spans="10:19" ht="13.5" thickBot="1">
      <c r="J18" s="138">
        <f>courbes!A17</f>
        <v>1.25</v>
      </c>
      <c r="K18" s="139">
        <f t="shared" ca="1" si="0"/>
        <v>3.219047395763619E+19</v>
      </c>
      <c r="L18" s="141">
        <f>courbes!J17</f>
        <v>1.25</v>
      </c>
      <c r="M18" s="139">
        <f t="shared" ca="1" si="1"/>
        <v>3.2171334118576828E+19</v>
      </c>
      <c r="N18" s="139">
        <f>courbes!U17</f>
        <v>1.25</v>
      </c>
      <c r="O18" s="139">
        <f t="shared" ca="1" si="2"/>
        <v>3.2171272528662151E+19</v>
      </c>
      <c r="P18" s="138">
        <f>courbes!AE17</f>
        <v>3</v>
      </c>
      <c r="Q18" s="139">
        <f t="shared" ca="1" si="3"/>
        <v>3.1897468670563627E+19</v>
      </c>
      <c r="R18" s="145"/>
      <c r="S18" s="145"/>
    </row>
    <row r="19" spans="10:19" ht="13.5" thickBot="1">
      <c r="J19" s="138">
        <f>courbes!A18</f>
        <v>1.3333333333333333</v>
      </c>
      <c r="K19" s="139">
        <f t="shared" ca="1" si="0"/>
        <v>3.2138594552135512E+19</v>
      </c>
      <c r="L19" s="141">
        <f>courbes!J18</f>
        <v>1.3333333333333333</v>
      </c>
      <c r="M19" s="139">
        <f t="shared" ca="1" si="1"/>
        <v>3.2119744258704642E+19</v>
      </c>
      <c r="N19" s="139">
        <f>courbes!U18</f>
        <v>1.3333333333333333</v>
      </c>
      <c r="O19" s="139">
        <f t="shared" ca="1" si="2"/>
        <v>3.2119684326404997E+19</v>
      </c>
      <c r="P19" s="138">
        <f>courbes!AE18</f>
        <v>3.2</v>
      </c>
      <c r="Q19" s="139">
        <f t="shared" ca="1" si="3"/>
        <v>3.173194365261015E+19</v>
      </c>
      <c r="R19" s="145"/>
      <c r="S19" s="145"/>
    </row>
    <row r="20" spans="10:19" ht="13.5" thickBot="1">
      <c r="J20" s="138">
        <f>courbes!A19</f>
        <v>1.4166666666666667</v>
      </c>
      <c r="K20" s="139">
        <f t="shared" ca="1" si="0"/>
        <v>3.2084321191310774E+19</v>
      </c>
      <c r="L20" s="141">
        <f>courbes!J19</f>
        <v>1.4166666666666667</v>
      </c>
      <c r="M20" s="139">
        <f t="shared" ca="1" si="1"/>
        <v>3.206588294657373E+19</v>
      </c>
      <c r="N20" s="139">
        <f>courbes!U19</f>
        <v>1.4166666666666667</v>
      </c>
      <c r="O20" s="139">
        <f t="shared" ca="1" si="2"/>
        <v>3.2065824434683339E+19</v>
      </c>
      <c r="P20" s="138">
        <f>courbes!AE19</f>
        <v>3.4</v>
      </c>
      <c r="Q20" s="139">
        <f t="shared" ca="1" si="3"/>
        <v>3.1561432941344834E+19</v>
      </c>
      <c r="R20" s="145"/>
      <c r="S20" s="145"/>
    </row>
    <row r="21" spans="10:19" ht="13.5" thickBot="1">
      <c r="J21" s="138">
        <f>courbes!A20</f>
        <v>1.5</v>
      </c>
      <c r="K21" s="139">
        <f t="shared" ca="1" si="0"/>
        <v>3.2027845350350897E+19</v>
      </c>
      <c r="L21" s="141">
        <f>courbes!J20</f>
        <v>1.5</v>
      </c>
      <c r="M21" s="139">
        <f t="shared" ca="1" si="1"/>
        <v>3.2009931601774174E+19</v>
      </c>
      <c r="N21" s="139">
        <f>courbes!U20</f>
        <v>1.5</v>
      </c>
      <c r="O21" s="139">
        <f t="shared" ca="1" si="2"/>
        <v>3.2009874088717091E+19</v>
      </c>
      <c r="P21" s="138">
        <f>courbes!AE20</f>
        <v>3.6</v>
      </c>
      <c r="Q21" s="139">
        <f t="shared" ca="1" si="3"/>
        <v>3.1385936536767664E+19</v>
      </c>
      <c r="R21" s="145"/>
      <c r="S21" s="145"/>
    </row>
    <row r="22" spans="10:19" ht="13.5" thickBot="1">
      <c r="J22" s="138">
        <f>courbes!A21</f>
        <v>1.5833333333333333</v>
      </c>
      <c r="K22" s="139">
        <f t="shared" ca="1" si="0"/>
        <v>3.1969349882586104E+19</v>
      </c>
      <c r="L22" s="141">
        <f>courbes!J21</f>
        <v>1.5833333333333333</v>
      </c>
      <c r="M22" s="139">
        <f t="shared" ca="1" si="1"/>
        <v>3.195206369572234E+19</v>
      </c>
      <c r="N22" s="139">
        <f>courbes!U21</f>
        <v>1.5833333333333333</v>
      </c>
      <c r="O22" s="139">
        <f t="shared" ca="1" si="2"/>
        <v>3.1952006434506555E+19</v>
      </c>
      <c r="P22" s="138">
        <f>courbes!AE21</f>
        <v>3.8</v>
      </c>
      <c r="Q22" s="139">
        <f t="shared" ca="1" si="3"/>
        <v>3.1207448716203377E+19</v>
      </c>
      <c r="R22" s="145"/>
      <c r="S22" s="145"/>
    </row>
    <row r="23" spans="10:19" ht="13.5" thickBot="1">
      <c r="J23" s="138">
        <f>courbes!A22</f>
        <v>1.6666666666666667</v>
      </c>
      <c r="K23" s="139">
        <f t="shared" ca="1" si="0"/>
        <v>3.1909009335371092E+19</v>
      </c>
      <c r="L23" s="141">
        <f>courbes!J22</f>
        <v>1.6666666666666667</v>
      </c>
      <c r="M23" s="139">
        <f t="shared" ca="1" si="1"/>
        <v>3.189244510353517E+19</v>
      </c>
      <c r="N23" s="139">
        <f>courbes!U22</f>
        <v>1.6666666666666667</v>
      </c>
      <c r="O23" s="139">
        <f t="shared" ca="1" si="2"/>
        <v>3.1892386821849555E+19</v>
      </c>
      <c r="P23" s="138">
        <f>courbes!AE22</f>
        <v>4</v>
      </c>
      <c r="Q23" s="139">
        <f t="shared" ca="1" si="3"/>
        <v>3.1026966618314351E+19</v>
      </c>
      <c r="R23" s="145"/>
      <c r="S23" s="145"/>
    </row>
    <row r="24" spans="10:19" ht="13.5" thickBot="1">
      <c r="J24" s="138">
        <f>courbes!A23</f>
        <v>1.75</v>
      </c>
      <c r="K24" s="139">
        <f t="shared" ca="1" si="0"/>
        <v>3.1846990255432958E+19</v>
      </c>
      <c r="L24" s="141">
        <f>courbes!J23</f>
        <v>1.75</v>
      </c>
      <c r="M24" s="139">
        <f t="shared" ca="1" si="1"/>
        <v>3.1831234455904383E+19</v>
      </c>
      <c r="N24" s="139">
        <f>courbes!U23</f>
        <v>1.75</v>
      </c>
      <c r="O24" s="139">
        <f t="shared" ca="1" si="2"/>
        <v>3.1831173087711117E+19</v>
      </c>
      <c r="P24" s="138">
        <f>courbes!AE23</f>
        <v>4.2</v>
      </c>
      <c r="Q24" s="139">
        <f t="shared" ca="1" si="3"/>
        <v>3.0844490243100582E+19</v>
      </c>
      <c r="R24" s="145"/>
      <c r="S24" s="145"/>
    </row>
    <row r="25" spans="10:19" ht="13.5" thickBot="1">
      <c r="J25" s="138">
        <f>courbes!A24</f>
        <v>1.8333333333333333</v>
      </c>
      <c r="K25" s="139">
        <f t="shared" ca="1" si="0"/>
        <v>3.1783451484019261E+19</v>
      </c>
      <c r="L25" s="141">
        <f>courbes!J24</f>
        <v>1.8333333333333333</v>
      </c>
      <c r="M25" s="139">
        <f t="shared" ca="1" si="1"/>
        <v>3.176858349097078E+19</v>
      </c>
      <c r="N25" s="139">
        <f>courbes!U24</f>
        <v>1.8333333333333333</v>
      </c>
      <c r="O25" s="139">
        <f t="shared" ca="1" si="2"/>
        <v>3.176851583024989E+19</v>
      </c>
      <c r="P25" s="138">
        <f>courbes!AE24</f>
        <v>4.4000000000000004</v>
      </c>
      <c r="Q25" s="139">
        <f t="shared" ca="1" si="3"/>
        <v>3.066101672922445E+19</v>
      </c>
      <c r="R25" s="145"/>
      <c r="S25" s="145"/>
    </row>
    <row r="26" spans="10:19" ht="13.5" thickBot="1">
      <c r="J26" s="138">
        <f>courbes!A25</f>
        <v>1.9166666666666667</v>
      </c>
      <c r="K26" s="139">
        <f t="shared" ca="1" si="0"/>
        <v>3.1718544442171183E+19</v>
      </c>
      <c r="L26" s="141">
        <f>courbes!J25</f>
        <v>1.9166666666666667</v>
      </c>
      <c r="M26" s="139">
        <f t="shared" ca="1" si="1"/>
        <v>3.1704637406198501E+19</v>
      </c>
      <c r="N26" s="139">
        <f>courbes!U25</f>
        <v>1.9166666666666667</v>
      </c>
      <c r="O26" s="139">
        <f t="shared" ca="1" si="2"/>
        <v>3.1704558673793942E+19</v>
      </c>
      <c r="P26" s="138">
        <f>courbes!AE25</f>
        <v>4.5999999999999996</v>
      </c>
      <c r="Q26" s="139">
        <f t="shared" ca="1" si="3"/>
        <v>3.0477543215348318E+19</v>
      </c>
      <c r="R26" s="145"/>
      <c r="S26" s="145"/>
    </row>
    <row r="27" spans="10:19" ht="13.5" thickBot="1">
      <c r="J27" s="138">
        <f>courbes!A26</f>
        <v>2</v>
      </c>
      <c r="K27" s="139">
        <f t="shared" ca="1" si="0"/>
        <v>3.165241340643668E+19</v>
      </c>
      <c r="L27" s="141">
        <f>courbes!J26</f>
        <v>2</v>
      </c>
      <c r="M27" s="139">
        <f t="shared" ca="1" si="1"/>
        <v>3.1639535210249282E+19</v>
      </c>
      <c r="N27" s="139">
        <f>courbes!U26</f>
        <v>2</v>
      </c>
      <c r="O27" s="139">
        <f t="shared" ca="1" si="2"/>
        <v>3.1639438525051093E+19</v>
      </c>
      <c r="P27" s="138">
        <f>courbes!AE26</f>
        <v>4.8</v>
      </c>
      <c r="Q27" s="139">
        <f t="shared" ca="1" si="3"/>
        <v>3.0294069701472178E+19</v>
      </c>
      <c r="R27" s="145"/>
      <c r="S27" s="145"/>
    </row>
    <row r="28" spans="10:19" ht="13.5" thickBot="1">
      <c r="J28" s="138">
        <f>courbes!A27</f>
        <v>2.0833333333333335</v>
      </c>
      <c r="K28" s="139">
        <f t="shared" ca="1" si="0"/>
        <v>3.1585195775328662E+19</v>
      </c>
      <c r="L28" s="141">
        <f>courbes!J27</f>
        <v>2.0833333333333335</v>
      </c>
      <c r="M28" s="139">
        <f t="shared" ca="1" si="1"/>
        <v>3.1573380656958255E+19</v>
      </c>
      <c r="N28" s="139">
        <f>courbes!U27</f>
        <v>2.0833333333333335</v>
      </c>
      <c r="O28" s="139">
        <f t="shared" ca="1" si="2"/>
        <v>3.1573285820829344E+19</v>
      </c>
      <c r="P28" s="138">
        <f>courbes!AE27</f>
        <v>5</v>
      </c>
      <c r="Q28" s="139">
        <f t="shared" ca="1" si="3"/>
        <v>3.0111593326258414E+19</v>
      </c>
      <c r="R28" s="145"/>
      <c r="S28" s="145"/>
    </row>
    <row r="29" spans="10:19" ht="13.5" thickBot="1">
      <c r="J29" s="138">
        <f>courbes!A28</f>
        <v>2.1666666666666665</v>
      </c>
      <c r="K29" s="139">
        <f t="shared" ca="1" si="0"/>
        <v>3.1517022326823801E+19</v>
      </c>
      <c r="L29" s="141">
        <f>courbes!J28</f>
        <v>2.1666666666666665</v>
      </c>
      <c r="M29" s="139">
        <f t="shared" ca="1" si="1"/>
        <v>3.150631800119543E+19</v>
      </c>
      <c r="N29" s="139">
        <f>courbes!U28</f>
        <v>2.1666666666666665</v>
      </c>
      <c r="O29" s="139">
        <f t="shared" ca="1" si="2"/>
        <v>3.1506224767534465E+19</v>
      </c>
      <c r="P29" s="138">
        <f>courbes!AE28</f>
        <v>5.2</v>
      </c>
      <c r="Q29" s="139">
        <f t="shared" ca="1" si="3"/>
        <v>2.9930114089707016E+19</v>
      </c>
      <c r="R29" s="145"/>
      <c r="S29" s="145"/>
    </row>
    <row r="30" spans="10:19" ht="13.5" thickBot="1">
      <c r="J30" s="138">
        <f>courbes!A29</f>
        <v>2.25</v>
      </c>
      <c r="K30" s="139">
        <f t="shared" ca="1" si="0"/>
        <v>3.1448017467188322E+19</v>
      </c>
      <c r="L30" s="141">
        <f>courbes!J29</f>
        <v>2.25</v>
      </c>
      <c r="M30" s="139">
        <f t="shared" ca="1" si="1"/>
        <v>3.1438465469479817E+19</v>
      </c>
      <c r="N30" s="139">
        <f>courbes!U29</f>
        <v>2.25</v>
      </c>
      <c r="O30" s="139">
        <f t="shared" ca="1" si="2"/>
        <v>3.1438373572704698E+19</v>
      </c>
      <c r="P30" s="138">
        <f>courbes!AE29</f>
        <v>5.4</v>
      </c>
      <c r="Q30" s="139">
        <f t="shared" ca="1" si="3"/>
        <v>2.9749631991817994E+19</v>
      </c>
      <c r="R30" s="145"/>
      <c r="S30" s="145"/>
    </row>
    <row r="31" spans="10:19" ht="13.5" thickBot="1">
      <c r="J31" s="138">
        <f>courbes!A30</f>
        <v>2.3333333333333335</v>
      </c>
      <c r="K31" s="139">
        <f t="shared" ca="1" si="0"/>
        <v>3.1378299471408247E+19</v>
      </c>
      <c r="L31" s="141">
        <f>courbes!J30</f>
        <v>2.3333333333333335</v>
      </c>
      <c r="M31" s="139">
        <f t="shared" ca="1" si="1"/>
        <v>3.1369935530901938E+19</v>
      </c>
      <c r="N31" s="139">
        <f>courbes!U30</f>
        <v>2.3333333333333335</v>
      </c>
      <c r="O31" s="139">
        <f t="shared" ca="1" si="2"/>
        <v>3.1369844668833554E+19</v>
      </c>
      <c r="P31" s="138">
        <f>courbes!AE30</f>
        <v>5.6</v>
      </c>
      <c r="Q31" s="139">
        <f t="shared" ca="1" si="3"/>
        <v>2.9572141309916082E+19</v>
      </c>
      <c r="R31" s="145"/>
      <c r="S31" s="145"/>
    </row>
    <row r="32" spans="10:19" ht="13.5" thickBot="1">
      <c r="J32" s="138">
        <f>courbes!A31</f>
        <v>2.4166666666666665</v>
      </c>
      <c r="K32" s="139">
        <f t="shared" ca="1" si="0"/>
        <v>3.1307980715492889E+19</v>
      </c>
      <c r="L32" s="141">
        <f>courbes!J31</f>
        <v>2.4166666666666665</v>
      </c>
      <c r="M32" s="139">
        <f t="shared" ca="1" si="1"/>
        <v>3.1300835132535149E+19</v>
      </c>
      <c r="N32" s="139">
        <f>courbes!U31</f>
        <v>2.4166666666666665</v>
      </c>
      <c r="O32" s="139">
        <f t="shared" ca="1" si="2"/>
        <v>3.1300744929723171E+19</v>
      </c>
      <c r="P32" s="138">
        <f>courbes!AE31</f>
        <v>5.8</v>
      </c>
      <c r="Q32" s="139">
        <f t="shared" ca="1" si="3"/>
        <v>2.9395647766676533E+19</v>
      </c>
      <c r="R32" s="145"/>
      <c r="S32" s="145"/>
    </row>
    <row r="33" spans="10:19" ht="13.5" thickBot="1">
      <c r="J33" s="138">
        <f>courbes!A32</f>
        <v>2.5</v>
      </c>
      <c r="K33" s="139">
        <f t="shared" ca="1" si="0"/>
        <v>3.123716790091205E+19</v>
      </c>
      <c r="L33" s="141">
        <f>courbes!J32</f>
        <v>2.5</v>
      </c>
      <c r="M33" s="139">
        <f t="shared" ca="1" si="1"/>
        <v>3.1231265934846951E+19</v>
      </c>
      <c r="N33" s="139">
        <f>courbes!U32</f>
        <v>2.5</v>
      </c>
      <c r="O33" s="139">
        <f t="shared" ca="1" si="2"/>
        <v>3.1231175879606321E+19</v>
      </c>
      <c r="P33" s="138">
        <f>courbes!AE32</f>
        <v>6</v>
      </c>
      <c r="Q33" s="139">
        <f t="shared" ca="1" si="3"/>
        <v>2.9222145639424102E+19</v>
      </c>
      <c r="R33" s="145"/>
      <c r="S33" s="145"/>
    </row>
    <row r="34" spans="10:19" ht="13.5" thickBot="1">
      <c r="J34" s="138">
        <f>courbes!A33</f>
        <v>2.5833333333333335</v>
      </c>
      <c r="K34" s="139">
        <f t="shared" ca="1" si="0"/>
        <v>3.1165962271419195E+19</v>
      </c>
      <c r="L34" s="141">
        <f>courbes!J33</f>
        <v>2.5833333333333335</v>
      </c>
      <c r="M34" s="139">
        <f t="shared" ca="1" si="1"/>
        <v>3.1161324547110334E+19</v>
      </c>
      <c r="N34" s="139">
        <f>courbes!U33</f>
        <v>2.5833333333333335</v>
      </c>
      <c r="O34" s="139">
        <f t="shared" ca="1" si="2"/>
        <v>3.1161233895263445E+19</v>
      </c>
      <c r="P34" s="138">
        <f>courbes!AE33</f>
        <v>6.2</v>
      </c>
      <c r="Q34" s="139">
        <f t="shared" ca="1" si="3"/>
        <v>2.905063778949641E+19</v>
      </c>
      <c r="R34" s="145"/>
      <c r="S34" s="145"/>
    </row>
    <row r="35" spans="10:19" ht="13.5" thickBot="1">
      <c r="J35" s="138">
        <f>courbes!A34</f>
        <v>2.6666666666666665</v>
      </c>
      <c r="K35" s="139">
        <f t="shared" ca="1" si="0"/>
        <v>3.1094459822505075E+19</v>
      </c>
      <c r="L35" s="141">
        <f>courbes!J34</f>
        <v>2.6666666666666665</v>
      </c>
      <c r="M35" s="139">
        <f t="shared" ca="1" si="1"/>
        <v>3.1091102762815099E+19</v>
      </c>
      <c r="N35" s="139">
        <f>courbes!U34</f>
        <v>2.6666666666666665</v>
      </c>
      <c r="O35" s="139">
        <f t="shared" ca="1" si="2"/>
        <v>3.1091010401358766E+19</v>
      </c>
      <c r="P35" s="138">
        <f>courbes!AE34</f>
        <v>6.4</v>
      </c>
      <c r="Q35" s="139">
        <f t="shared" ca="1" si="3"/>
        <v>2.888112421689346E+19</v>
      </c>
      <c r="R35" s="145"/>
      <c r="S35" s="145"/>
    </row>
    <row r="36" spans="10:19" ht="13.5" thickBot="1">
      <c r="J36" s="138">
        <f>courbes!A35</f>
        <v>2.75</v>
      </c>
      <c r="K36" s="139">
        <f t="shared" ca="1" si="0"/>
        <v>3.102275150371858E+19</v>
      </c>
      <c r="L36" s="141">
        <f>courbes!J35</f>
        <v>2.75</v>
      </c>
      <c r="M36" s="139">
        <f t="shared" ca="1" si="1"/>
        <v>3.1020687795079184E+19</v>
      </c>
      <c r="N36" s="139">
        <f>courbes!U35</f>
        <v>2.75</v>
      </c>
      <c r="O36" s="139">
        <f t="shared" ca="1" si="2"/>
        <v>3.1020592059208393E+19</v>
      </c>
      <c r="P36" s="138">
        <f>courbes!AE35</f>
        <v>6.6</v>
      </c>
      <c r="Q36" s="139">
        <f t="shared" ca="1" si="3"/>
        <v>2.8714602060277617E+19</v>
      </c>
      <c r="R36" s="145"/>
      <c r="S36" s="145"/>
    </row>
    <row r="37" spans="10:19" ht="13.5" thickBot="1">
      <c r="J37" s="138">
        <f>courbes!A36</f>
        <v>2.8333333333333335</v>
      </c>
      <c r="K37" s="139">
        <f t="shared" ca="1" si="0"/>
        <v>3.0950923414084243E+19</v>
      </c>
      <c r="L37" s="141">
        <f>courbes!J36</f>
        <v>2.8333333333333335</v>
      </c>
      <c r="M37" s="139">
        <f t="shared" ca="1" si="1"/>
        <v>3.0950162512059998E+19</v>
      </c>
      <c r="N37" s="139">
        <f>courbes!U36</f>
        <v>2.8333333333333335</v>
      </c>
      <c r="O37" s="139">
        <f t="shared" ca="1" si="2"/>
        <v>3.0950060949190124E+19</v>
      </c>
      <c r="P37" s="138">
        <f>courbes!AE36</f>
        <v>6.8</v>
      </c>
      <c r="Q37" s="139">
        <f t="shared" ca="1" si="3"/>
        <v>2.8551071319648887E+19</v>
      </c>
      <c r="R37" s="145"/>
      <c r="S37" s="145"/>
    </row>
    <row r="38" spans="10:19" ht="13.5" thickBot="1">
      <c r="J38" s="138">
        <f>courbes!A37</f>
        <v>2.9166666666666665</v>
      </c>
      <c r="K38" s="139">
        <f t="shared" ca="1" si="0"/>
        <v>3.0879056990838649E+19</v>
      </c>
      <c r="L38" s="141">
        <f>courbes!J37</f>
        <v>2.9166666666666665</v>
      </c>
      <c r="M38" s="139">
        <f t="shared" ca="1" si="1"/>
        <v>3.0879605672365724E+19</v>
      </c>
      <c r="N38" s="139">
        <f>courbes!U37</f>
        <v>2.9166666666666665</v>
      </c>
      <c r="O38" s="139">
        <f t="shared" ca="1" si="2"/>
        <v>3.0879494746996228E+19</v>
      </c>
      <c r="P38" s="138">
        <f>courbes!AE37</f>
        <v>7</v>
      </c>
      <c r="Q38" s="139">
        <f t="shared" ca="1" si="3"/>
        <v>2.83895348563449E+19</v>
      </c>
      <c r="R38" s="145"/>
      <c r="S38" s="145"/>
    </row>
    <row r="39" spans="10:19" ht="13.5" thickBot="1">
      <c r="J39" s="138">
        <f>courbes!A38</f>
        <v>3</v>
      </c>
      <c r="K39" s="139">
        <f t="shared" ca="1" si="0"/>
        <v>3.0807229191701004E+19</v>
      </c>
      <c r="L39" s="141">
        <f>courbes!J38</f>
        <v>3</v>
      </c>
      <c r="M39" s="139">
        <f t="shared" ca="1" si="1"/>
        <v>3.0809092160466678E+19</v>
      </c>
      <c r="N39" s="139">
        <f>courbes!U38</f>
        <v>3</v>
      </c>
      <c r="O39" s="139">
        <f t="shared" ca="1" si="2"/>
        <v>3.0808966893925032E+19</v>
      </c>
      <c r="P39" s="138">
        <f>courbes!AE38</f>
        <v>7.2</v>
      </c>
      <c r="Q39" s="139">
        <f t="shared" ca="1" si="3"/>
        <v>2.8231986947690394E+19</v>
      </c>
      <c r="R39" s="145"/>
      <c r="S39" s="145"/>
    </row>
    <row r="40" spans="10:19" ht="13.5" thickBot="1">
      <c r="J40" s="138">
        <f>courbes!A39</f>
        <v>3.0833333333333335</v>
      </c>
      <c r="K40" s="139">
        <f t="shared" ca="1" si="0"/>
        <v>3.073551267088649E+19</v>
      </c>
      <c r="L40" s="141">
        <f>courbes!J39</f>
        <v>3.0833333333333335</v>
      </c>
      <c r="M40" s="139">
        <f t="shared" ca="1" si="1"/>
        <v>3.0738673164120076E+19</v>
      </c>
      <c r="N40" s="139">
        <f>courbes!U39</f>
        <v>3.0833333333333335</v>
      </c>
      <c r="O40" s="139">
        <f t="shared" ca="1" si="2"/>
        <v>3.07385467614005E+19</v>
      </c>
      <c r="P40" s="138">
        <f>courbes!AE39</f>
        <v>7.4</v>
      </c>
      <c r="Q40" s="139">
        <f t="shared" ca="1" si="3"/>
        <v>2.8075436177698251E+19</v>
      </c>
      <c r="R40" s="145"/>
      <c r="S40" s="145"/>
    </row>
    <row r="41" spans="10:19" ht="13.5" thickBot="1">
      <c r="J41" s="138">
        <f>courbes!A40</f>
        <v>3.1666666666666665</v>
      </c>
      <c r="K41" s="139">
        <f t="shared" ca="1" si="0"/>
        <v>3.0663975949064385E+19</v>
      </c>
      <c r="L41" s="141">
        <f>courbes!J40</f>
        <v>3.1666666666666665</v>
      </c>
      <c r="M41" s="139">
        <f t="shared" ca="1" si="1"/>
        <v>3.0668427828409905E+19</v>
      </c>
      <c r="N41" s="139">
        <f>courbes!U40</f>
        <v>3.1666666666666665</v>
      </c>
      <c r="O41" s="139">
        <f t="shared" ca="1" si="2"/>
        <v>3.0668299809904476E+19</v>
      </c>
      <c r="P41" s="138">
        <f>courbes!AE40</f>
        <v>7.6</v>
      </c>
      <c r="Q41" s="139">
        <f t="shared" ca="1" si="3"/>
        <v>2.7922873962355597E+19</v>
      </c>
      <c r="R41" s="145"/>
      <c r="S41" s="145"/>
    </row>
    <row r="42" spans="10:19" ht="13.5" thickBot="1">
      <c r="J42" s="138">
        <f>courbes!A41</f>
        <v>3.25</v>
      </c>
      <c r="K42" s="139">
        <f t="shared" ca="1" si="0"/>
        <v>3.0592683577456685E+19</v>
      </c>
      <c r="L42" s="141">
        <f>courbes!J41</f>
        <v>3.25</v>
      </c>
      <c r="M42" s="139">
        <f t="shared" ca="1" si="1"/>
        <v>3.0598417880107106E+19</v>
      </c>
      <c r="N42" s="139">
        <f>courbes!U41</f>
        <v>3.25</v>
      </c>
      <c r="O42" s="139">
        <f t="shared" ca="1" si="2"/>
        <v>3.0598287742499062E+19</v>
      </c>
      <c r="P42" s="138">
        <f>courbes!AE41</f>
        <v>7.8</v>
      </c>
      <c r="Q42" s="139">
        <f t="shared" ca="1" si="3"/>
        <v>2.7772306024337682E+19</v>
      </c>
      <c r="R42" s="145"/>
      <c r="S42" s="145"/>
    </row>
    <row r="43" spans="10:19" ht="13.5" thickBot="1">
      <c r="J43" s="138">
        <f>courbes!A42</f>
        <v>3.3333333333333335</v>
      </c>
      <c r="K43" s="139">
        <f t="shared" ca="1" si="0"/>
        <v>3.0521696296266809E+19</v>
      </c>
      <c r="L43" s="141">
        <f>courbes!J42</f>
        <v>3.3333333333333335</v>
      </c>
      <c r="M43" s="139">
        <f t="shared" ca="1" si="1"/>
        <v>3.0528701448736838E+19</v>
      </c>
      <c r="N43" s="139">
        <f>courbes!U42</f>
        <v>3.3333333333333335</v>
      </c>
      <c r="O43" s="139">
        <f t="shared" ca="1" si="2"/>
        <v>3.0528568653111886E+19</v>
      </c>
      <c r="P43" s="138">
        <f>courbes!AE42</f>
        <v>8</v>
      </c>
      <c r="Q43" s="139">
        <f t="shared" ca="1" si="3"/>
        <v>2.7623732363644506E+19</v>
      </c>
      <c r="R43" s="145"/>
      <c r="S43" s="145"/>
    </row>
    <row r="44" spans="10:19" ht="13.5" thickBot="1">
      <c r="J44" s="138">
        <f>courbes!A43</f>
        <v>3.4166666666666665</v>
      </c>
      <c r="K44" s="139">
        <f t="shared" ca="1" si="0"/>
        <v>3.0451071187622023E+19</v>
      </c>
      <c r="L44" s="141">
        <f>courbes!J43</f>
        <v>3.4166666666666665</v>
      </c>
      <c r="M44" s="139">
        <f t="shared" ca="1" si="1"/>
        <v>3.0459333222714343E+19</v>
      </c>
      <c r="N44" s="139">
        <f>courbes!U43</f>
        <v>3.4166666666666665</v>
      </c>
      <c r="O44" s="139">
        <f t="shared" ca="1" si="2"/>
        <v>3.0459197169751212E+19</v>
      </c>
      <c r="P44" s="138">
        <f>courbes!AE43</f>
        <v>8.1999999999999993</v>
      </c>
      <c r="Q44" s="139">
        <f t="shared" ca="1" si="3"/>
        <v>2.7477152980276072E+19</v>
      </c>
      <c r="R44" s="145"/>
      <c r="S44" s="145"/>
    </row>
    <row r="45" spans="10:19" ht="13.5" thickBot="1">
      <c r="J45" s="138">
        <f>courbes!A44</f>
        <v>3.5</v>
      </c>
      <c r="K45" s="139">
        <f t="shared" ca="1" si="0"/>
        <v>3.0380861823207465E+19</v>
      </c>
      <c r="L45" s="141">
        <f>courbes!J44</f>
        <v>3.5</v>
      </c>
      <c r="M45" s="139">
        <f t="shared" ca="1" si="1"/>
        <v>3.0390364605480862E+19</v>
      </c>
      <c r="N45" s="139">
        <f>courbes!U44</f>
        <v>3.5</v>
      </c>
      <c r="O45" s="139">
        <f t="shared" ca="1" si="2"/>
        <v>3.0390224592814137E+19</v>
      </c>
      <c r="P45" s="138">
        <f>courbes!AE44</f>
        <v>8.4</v>
      </c>
      <c r="Q45" s="139">
        <f t="shared" ca="1" si="3"/>
        <v>2.7333565012894749E+19</v>
      </c>
      <c r="R45" s="145"/>
      <c r="S45" s="145"/>
    </row>
    <row r="46" spans="10:19" ht="13.5" thickBot="1">
      <c r="J46" s="138">
        <f>courbes!A45</f>
        <v>3.5833333333333335</v>
      </c>
      <c r="K46" s="139">
        <f t="shared" ca="1" si="0"/>
        <v>3.0311118406764069E+19</v>
      </c>
      <c r="L46" s="141">
        <f>courbes!J45</f>
        <v>3.5833333333333335</v>
      </c>
      <c r="M46" s="139">
        <f t="shared" ca="1" si="1"/>
        <v>3.0321843871639638E+19</v>
      </c>
      <c r="N46" s="139">
        <f>courbes!U45</f>
        <v>3.5833333333333335</v>
      </c>
      <c r="O46" s="139">
        <f t="shared" ca="1" si="2"/>
        <v>3.0321699028643447E+19</v>
      </c>
      <c r="P46" s="138">
        <f>courbes!AE45</f>
        <v>8.6</v>
      </c>
      <c r="Q46" s="139">
        <f t="shared" ca="1" si="3"/>
        <v>2.7191971322838168E+19</v>
      </c>
      <c r="R46" s="145"/>
      <c r="S46" s="145"/>
    </row>
    <row r="47" spans="10:19" ht="13.5" thickBot="1">
      <c r="J47" s="138">
        <f>courbes!A46</f>
        <v>3.6666666666666665</v>
      </c>
      <c r="K47" s="139">
        <f t="shared" ca="1" si="0"/>
        <v>3.024188791161729E+19</v>
      </c>
      <c r="L47" s="141">
        <f>courbes!J46</f>
        <v>3.6666666666666665</v>
      </c>
      <c r="M47" s="139">
        <f t="shared" ca="1" si="1"/>
        <v>3.0253816323091755E+19</v>
      </c>
      <c r="N47" s="139">
        <f>courbes!U46</f>
        <v>3.6666666666666665</v>
      </c>
      <c r="O47" s="139">
        <f t="shared" ca="1" si="2"/>
        <v>3.0253665518486462E+19</v>
      </c>
      <c r="P47" s="138">
        <f>courbes!AE46</f>
        <v>8.8000000000000007</v>
      </c>
      <c r="Q47" s="139">
        <f t="shared" ca="1" si="3"/>
        <v>2.7052371910106321E+19</v>
      </c>
      <c r="R47" s="145"/>
      <c r="S47" s="145"/>
    </row>
    <row r="48" spans="10:19" ht="13.5" thickBot="1">
      <c r="J48" s="138">
        <f>courbes!A47</f>
        <v>3.75</v>
      </c>
      <c r="K48" s="139">
        <f t="shared" ca="1" si="0"/>
        <v>3.017321421339827E+19</v>
      </c>
      <c r="L48" s="141">
        <f>courbes!J47</f>
        <v>3.75</v>
      </c>
      <c r="M48" s="139">
        <f t="shared" ca="1" si="1"/>
        <v>3.0186324445172134E+19</v>
      </c>
      <c r="N48" s="139">
        <f>courbes!U47</f>
        <v>3.75</v>
      </c>
      <c r="O48" s="139">
        <f t="shared" ca="1" si="2"/>
        <v>3.0186166163003269E+19</v>
      </c>
      <c r="P48" s="138">
        <f>courbes!AE47</f>
        <v>9</v>
      </c>
      <c r="Q48" s="139">
        <f t="shared" ca="1" si="3"/>
        <v>2.691376963603685E+19</v>
      </c>
      <c r="R48" s="145"/>
      <c r="S48" s="145"/>
    </row>
    <row r="49" spans="10:19" ht="13.5" thickBot="1">
      <c r="J49" s="138">
        <f>courbes!A48</f>
        <v>3.8333333333333335</v>
      </c>
      <c r="K49" s="139">
        <f t="shared" ca="1" si="0"/>
        <v>3.0105138218114015E+19</v>
      </c>
      <c r="L49" s="141">
        <f>courbes!J48</f>
        <v>3.8333333333333335</v>
      </c>
      <c r="M49" s="139">
        <f t="shared" ca="1" si="1"/>
        <v>3.0119408062785434E+19</v>
      </c>
      <c r="N49" s="139">
        <f>courbes!U48</f>
        <v>3.8333333333333335</v>
      </c>
      <c r="O49" s="139">
        <f t="shared" ca="1" si="2"/>
        <v>3.0119240242466505E+19</v>
      </c>
      <c r="P49" s="138">
        <f>courbes!AE48</f>
        <v>9.1999999999999993</v>
      </c>
      <c r="Q49" s="139">
        <f t="shared" ca="1" si="3"/>
        <v>2.6777161639292121E+19</v>
      </c>
      <c r="R49" s="145"/>
      <c r="S49" s="145"/>
    </row>
    <row r="50" spans="10:19" ht="13.5" thickBot="1">
      <c r="J50" s="138">
        <f>courbes!A49</f>
        <v>3.9166666666666665</v>
      </c>
      <c r="K50" s="139">
        <f t="shared" ca="1" si="0"/>
        <v>3.0037697985718247E+19</v>
      </c>
      <c r="L50" s="141">
        <f>courbes!J49</f>
        <v>3.9166666666666665</v>
      </c>
      <c r="M50" s="139">
        <f t="shared" ca="1" si="1"/>
        <v>3.0053104496541983E+19</v>
      </c>
      <c r="N50" s="139">
        <f>courbes!U49</f>
        <v>3.9166666666666665</v>
      </c>
      <c r="O50" s="139">
        <f t="shared" ca="1" si="2"/>
        <v>3.0052924332792742E+19</v>
      </c>
      <c r="P50" s="138">
        <f>courbes!AE49</f>
        <v>9.4</v>
      </c>
      <c r="Q50" s="139">
        <f t="shared" ca="1" si="3"/>
        <v>2.6642547919872127E+19</v>
      </c>
      <c r="R50" s="145"/>
      <c r="S50" s="145"/>
    </row>
    <row r="51" spans="10:19" ht="13.5" thickBot="1">
      <c r="J51" s="138">
        <f>courbes!A50</f>
        <v>4</v>
      </c>
      <c r="K51" s="139">
        <f t="shared" ca="1" si="0"/>
        <v>2.9970928849329795E+19</v>
      </c>
      <c r="L51" s="141">
        <f>courbes!J50</f>
        <v>4</v>
      </c>
      <c r="M51" s="139">
        <f t="shared" ca="1" si="1"/>
        <v>2.9987448718893703E+19</v>
      </c>
      <c r="N51" s="139">
        <f>courbes!U50</f>
        <v>4</v>
      </c>
      <c r="O51" s="139">
        <f t="shared" ca="1" si="2"/>
        <v>2.998725241753763E+19</v>
      </c>
      <c r="P51" s="138">
        <f>courbes!AE50</f>
        <v>9.6</v>
      </c>
      <c r="Q51" s="139">
        <f t="shared" ca="1" si="3"/>
        <v>2.6508931339114508E+19</v>
      </c>
      <c r="R51" s="145"/>
      <c r="S51" s="145"/>
    </row>
    <row r="52" spans="10:19" ht="13.5" thickBot="1">
      <c r="J52" s="138">
        <f>courbes!A51</f>
        <v>4.083333333333333</v>
      </c>
      <c r="K52" s="139">
        <f t="shared" ca="1" si="0"/>
        <v>2.9904863530240774E+19</v>
      </c>
      <c r="L52" s="141">
        <f>courbes!J51</f>
        <v>4.083333333333333</v>
      </c>
      <c r="M52" s="139">
        <f t="shared" ca="1" si="1"/>
        <v>2.9922459889353515E+19</v>
      </c>
      <c r="N52" s="139">
        <f>courbes!U51</f>
        <v>4.083333333333333</v>
      </c>
      <c r="O52" s="139">
        <f t="shared" ca="1" si="2"/>
        <v>2.9922255995987214E+19</v>
      </c>
      <c r="P52" s="138">
        <f>courbes!AE51</f>
        <v>9.8000000000000007</v>
      </c>
      <c r="Q52" s="139">
        <f t="shared" ca="1" si="3"/>
        <v>2.6376311897019257E+19</v>
      </c>
      <c r="R52" s="145"/>
      <c r="S52" s="145"/>
    </row>
    <row r="53" spans="10:19" ht="13.5" thickBot="1">
      <c r="J53" s="138">
        <f>courbes!A52</f>
        <v>4.166666666666667</v>
      </c>
      <c r="K53" s="139">
        <f t="shared" ca="1" si="0"/>
        <v>2.9839532248852333E+19</v>
      </c>
      <c r="L53" s="141">
        <f>courbes!J52</f>
        <v>4.166666666666667</v>
      </c>
      <c r="M53" s="139">
        <f t="shared" ca="1" si="1"/>
        <v>2.9858176432813711E+19</v>
      </c>
      <c r="N53" s="139">
        <f>courbes!U52</f>
        <v>4.166666666666667</v>
      </c>
      <c r="O53" s="139">
        <f t="shared" ca="1" si="2"/>
        <v>2.9857964187469378E+19</v>
      </c>
      <c r="Q53" s="139">
        <f t="shared" ca="1" si="3"/>
        <v>0</v>
      </c>
      <c r="R53" s="145"/>
      <c r="S53" s="145"/>
    </row>
    <row r="54" spans="10:19" ht="13.5" thickBot="1">
      <c r="J54" s="138">
        <f>courbes!A53</f>
        <v>4.25</v>
      </c>
      <c r="K54" s="139">
        <f t="shared" ca="1" si="0"/>
        <v>2.9774962831671407E+19</v>
      </c>
      <c r="L54" s="141">
        <f>courbes!J53</f>
        <v>4.25</v>
      </c>
      <c r="M54" s="139">
        <f t="shared" ca="1" si="1"/>
        <v>2.9794625214403756E+19</v>
      </c>
      <c r="N54" s="139">
        <f>courbes!U53</f>
        <v>4.25</v>
      </c>
      <c r="O54" s="139">
        <f t="shared" ca="1" si="2"/>
        <v>2.9794403832009032E+19</v>
      </c>
      <c r="Q54" s="139">
        <f t="shared" ca="1" si="3"/>
        <v>0</v>
      </c>
      <c r="R54" s="145"/>
      <c r="S54" s="145"/>
    </row>
    <row r="55" spans="10:19" ht="13.5" thickBot="1">
      <c r="J55" s="138">
        <f>courbes!A54</f>
        <v>4.333333333333333</v>
      </c>
      <c r="K55" s="139">
        <f t="shared" ca="1" si="0"/>
        <v>2.9711180814497681E+19</v>
      </c>
      <c r="L55" s="141">
        <f>courbes!J54</f>
        <v>4.333333333333333</v>
      </c>
      <c r="M55" s="139">
        <f t="shared" ca="1" si="1"/>
        <v>2.9731830924882604E+19</v>
      </c>
      <c r="N55" s="139">
        <f>courbes!U54</f>
        <v>4.333333333333333</v>
      </c>
      <c r="O55" s="139">
        <f t="shared" ca="1" si="2"/>
        <v>2.9731599587444216E+19</v>
      </c>
      <c r="Q55" s="139">
        <f t="shared" ca="1" si="3"/>
        <v>0</v>
      </c>
      <c r="R55" s="145"/>
      <c r="S55" s="145"/>
    </row>
    <row r="56" spans="10:19" ht="13.5" thickBot="1">
      <c r="J56" s="138">
        <f>courbes!A55</f>
        <v>4.416666666666667</v>
      </c>
      <c r="K56" s="139">
        <f t="shared" ca="1" si="0"/>
        <v>2.9648209541925917E+19</v>
      </c>
      <c r="L56" s="141">
        <f>courbes!J55</f>
        <v>4.416666666666667</v>
      </c>
      <c r="M56" s="139">
        <f t="shared" ca="1" si="1"/>
        <v>2.9669816183050772E+19</v>
      </c>
      <c r="N56" s="139">
        <f>courbes!U55</f>
        <v>4.416666666666667</v>
      </c>
      <c r="O56" s="139">
        <f t="shared" ca="1" si="2"/>
        <v>2.9669574023118959E+19</v>
      </c>
      <c r="Q56" s="139">
        <f t="shared" ca="1" si="3"/>
        <v>0</v>
      </c>
      <c r="R56" s="145"/>
      <c r="S56" s="145"/>
    </row>
    <row r="57" spans="10:19" ht="13.5" thickBot="1">
      <c r="J57" s="138">
        <f>courbes!A56</f>
        <v>4.5</v>
      </c>
      <c r="K57" s="139">
        <f t="shared" ca="1" si="0"/>
        <v>2.958607026328483E+19</v>
      </c>
      <c r="L57" s="141">
        <f>courbes!J56</f>
        <v>4.5</v>
      </c>
      <c r="M57" s="139">
        <f t="shared" ca="1" si="1"/>
        <v>2.9608601638162412E+19</v>
      </c>
      <c r="N57" s="139">
        <f>courbes!U56</f>
        <v>4.5</v>
      </c>
      <c r="O57" s="139">
        <f t="shared" ca="1" si="2"/>
        <v>2.9608347710262706E+19</v>
      </c>
      <c r="Q57" s="139">
        <f t="shared" ca="1" si="3"/>
        <v>0</v>
      </c>
      <c r="R57" s="145"/>
      <c r="S57" s="145"/>
    </row>
    <row r="58" spans="10:19" ht="13.5" thickBot="1">
      <c r="J58" s="138">
        <f>courbes!A57</f>
        <v>4.583333333333333</v>
      </c>
      <c r="K58" s="139">
        <f t="shared" ca="1" si="0"/>
        <v>2.9524782225129898E+19</v>
      </c>
      <c r="L58" s="141">
        <f>courbes!J57</f>
        <v>4.583333333333333</v>
      </c>
      <c r="M58" s="139">
        <f t="shared" ca="1" si="1"/>
        <v>2.9548206072337441E+19</v>
      </c>
      <c r="N58" s="139">
        <f>courbes!U57</f>
        <v>4.583333333333333</v>
      </c>
      <c r="O58" s="139">
        <f t="shared" ca="1" si="2"/>
        <v>2.9547939309164913E+19</v>
      </c>
      <c r="Q58" s="139">
        <f t="shared" ca="1" si="3"/>
        <v>0</v>
      </c>
      <c r="R58" s="145"/>
      <c r="S58" s="145"/>
    </row>
    <row r="59" spans="10:19" ht="13.5" thickBot="1">
      <c r="J59" s="138">
        <f>courbes!A58</f>
        <v>4.666666666666667</v>
      </c>
      <c r="K59" s="139">
        <f t="shared" ca="1" si="0"/>
        <v>2.9464362760403726E+19</v>
      </c>
      <c r="L59" s="141">
        <f>courbes!J58</f>
        <v>4.666666666666667</v>
      </c>
      <c r="M59" s="139">
        <f t="shared" ca="1" si="1"/>
        <v>2.9488646502973608E+19</v>
      </c>
      <c r="N59" s="139">
        <f>courbes!U58</f>
        <v>4.666666666666667</v>
      </c>
      <c r="O59" s="139">
        <f t="shared" ca="1" si="2"/>
        <v>2.9488365653248762E+19</v>
      </c>
      <c r="Q59" s="139">
        <f t="shared" ca="1" si="3"/>
        <v>0</v>
      </c>
      <c r="R59" s="145"/>
      <c r="S59" s="145"/>
    </row>
    <row r="60" spans="10:19" ht="13.5" thickBot="1">
      <c r="J60" s="138">
        <f>courbes!A59</f>
        <v>4.75</v>
      </c>
      <c r="K60" s="139">
        <f t="shared" ca="1" si="0"/>
        <v>2.9404827374374035E+19</v>
      </c>
      <c r="L60" s="141">
        <f>courbes!J59</f>
        <v>4.75</v>
      </c>
      <c r="M60" s="139">
        <f t="shared" ca="1" si="1"/>
        <v>2.9429938285158572E+19</v>
      </c>
      <c r="N60" s="139">
        <f>courbes!U59</f>
        <v>4.75</v>
      </c>
      <c r="O60" s="139">
        <f t="shared" ca="1" si="2"/>
        <v>2.9429641830144369E+19</v>
      </c>
      <c r="Q60" s="139">
        <f t="shared" ca="1" si="3"/>
        <v>0</v>
      </c>
      <c r="R60" s="145"/>
      <c r="S60" s="145"/>
    </row>
    <row r="61" spans="10:19" ht="13.5" thickBot="1">
      <c r="J61" s="138">
        <f>courbes!A60</f>
        <v>4.833333333333333</v>
      </c>
      <c r="K61" s="139">
        <f t="shared" ca="1" si="0"/>
        <v>2.9346189827455857E+19</v>
      </c>
      <c r="L61" s="141">
        <f>courbes!J60</f>
        <v>4.833333333333333</v>
      </c>
      <c r="M61" s="139">
        <f t="shared" ca="1" si="1"/>
        <v>2.9372095214082015E+19</v>
      </c>
      <c r="N61" s="139">
        <f>courbes!U60</f>
        <v>4.833333333333333</v>
      </c>
      <c r="O61" s="139">
        <f t="shared" ca="1" si="2"/>
        <v>2.9371781259860771E+19</v>
      </c>
      <c r="Q61" s="139">
        <f t="shared" ca="1" si="3"/>
        <v>0</v>
      </c>
      <c r="R61" s="145"/>
      <c r="S61" s="145"/>
    </row>
    <row r="62" spans="10:19" ht="13.5" thickBot="1">
      <c r="J62" s="138">
        <f>courbes!A61</f>
        <v>4.916666666666667</v>
      </c>
      <c r="K62" s="139">
        <f t="shared" ca="1" si="0"/>
        <v>2.9288462215021109E+19</v>
      </c>
      <c r="L62" s="141">
        <f>courbes!J61</f>
        <v>4.916666666666667</v>
      </c>
      <c r="M62" s="139">
        <f t="shared" ca="1" si="1"/>
        <v>2.9315129627447718E+19</v>
      </c>
      <c r="N62" s="139">
        <f>courbes!U61</f>
        <v>4.916666666666667</v>
      </c>
      <c r="O62" s="139">
        <f t="shared" ca="1" si="2"/>
        <v>2.9314795770150035E+19</v>
      </c>
      <c r="Q62" s="139">
        <f t="shared" ca="1" si="3"/>
        <v>0</v>
      </c>
      <c r="R62" s="145"/>
      <c r="S62" s="145"/>
    </row>
    <row r="63" spans="10:19" ht="13.5" thickBot="1">
      <c r="J63" s="138">
        <f>courbes!A62</f>
        <v>5</v>
      </c>
      <c r="K63" s="139">
        <f t="shared" ca="1" si="0"/>
        <v>2.9231655044295487E+19</v>
      </c>
      <c r="L63" s="141">
        <f>courbes!J62</f>
        <v>5</v>
      </c>
      <c r="M63" s="139">
        <f t="shared" ca="1" si="1"/>
        <v>2.9259052507885666E+19</v>
      </c>
      <c r="N63" s="139">
        <f>courbes!U62</f>
        <v>5</v>
      </c>
      <c r="O63" s="139">
        <f t="shared" ca="1" si="2"/>
        <v>2.9258695669155955E+19</v>
      </c>
      <c r="Q63" s="139">
        <f t="shared" ca="1" si="3"/>
        <v>0</v>
      </c>
      <c r="R63" s="145"/>
      <c r="S63" s="145"/>
    </row>
    <row r="64" spans="10:19" ht="13.5" thickBot="1">
      <c r="J64" s="138">
        <f>courbes!A63</f>
        <v>5.083333333333333</v>
      </c>
      <c r="K64" s="139">
        <f t="shared" ca="1" si="0"/>
        <v>2.9175777308439417E+19</v>
      </c>
      <c r="L64" s="141">
        <f>courbes!J63</f>
        <v>5.083333333333333</v>
      </c>
      <c r="M64" s="139">
        <f t="shared" ca="1" si="1"/>
        <v>2.9203864381665047E+19</v>
      </c>
      <c r="N64" s="139">
        <f>courbes!U63</f>
        <v>5.083333333333333</v>
      </c>
      <c r="O64" s="139">
        <f t="shared" ca="1" si="2"/>
        <v>2.9203489815436616E+19</v>
      </c>
      <c r="Q64" s="139">
        <f t="shared" ca="1" si="3"/>
        <v>0</v>
      </c>
      <c r="R64" s="145"/>
      <c r="S64" s="145"/>
    </row>
    <row r="65" spans="10:19" ht="13.5" thickBot="1">
      <c r="J65" s="138">
        <f>courbes!A64</f>
        <v>5.166666666666667</v>
      </c>
      <c r="K65" s="139">
        <f t="shared" ca="1" si="0"/>
        <v>2.9120836557906751E+19</v>
      </c>
      <c r="L65" s="141">
        <f>courbes!J64</f>
        <v>5.166666666666667</v>
      </c>
      <c r="M65" s="139">
        <f t="shared" ca="1" si="1"/>
        <v>2.9149579022299845E+19</v>
      </c>
      <c r="N65" s="139">
        <f>courbes!U64</f>
        <v>5.166666666666667</v>
      </c>
      <c r="O65" s="139">
        <f t="shared" ca="1" si="2"/>
        <v>2.9149185685446435E+19</v>
      </c>
      <c r="Q65" s="139">
        <f t="shared" ca="1" si="3"/>
        <v>0</v>
      </c>
      <c r="R65" s="145"/>
      <c r="S65" s="145"/>
    </row>
    <row r="66" spans="10:19" ht="13.5" thickBot="1">
      <c r="J66" s="138">
        <f>courbes!A65</f>
        <v>5.25</v>
      </c>
      <c r="K66" s="139">
        <f t="shared" ca="1" si="0"/>
        <v>2.9066838969171923E+19</v>
      </c>
      <c r="L66" s="141">
        <f>courbes!J65</f>
        <v>5.25</v>
      </c>
      <c r="M66" s="139">
        <f t="shared" ca="1" si="1"/>
        <v>2.9096202612237042E+19</v>
      </c>
      <c r="N66" s="139">
        <f>courbes!U65</f>
        <v>5.25</v>
      </c>
      <c r="O66" s="139">
        <f t="shared" ca="1" si="2"/>
        <v>2.9095789438561493E+19</v>
      </c>
      <c r="Q66" s="139">
        <f t="shared" ca="1" si="3"/>
        <v>0</v>
      </c>
      <c r="R66" s="145"/>
      <c r="S66" s="145"/>
    </row>
    <row r="67" spans="10:19" ht="13.5" thickBot="1">
      <c r="J67" s="138">
        <f>courbes!A66</f>
        <v>5.333333333333333</v>
      </c>
      <c r="K67" s="139">
        <f t="shared" ref="K67:K130" ca="1" si="5">INDIRECT("courbes!"&amp;INDEX($D$3:$H$10,MATCH($B$2,$C$3:$C$10,0),MATCH(K$1,$D$2:$H$2,0))&amp;ROW($J66))</f>
        <v>2.9013789410913337E+19</v>
      </c>
      <c r="L67" s="141">
        <f>courbes!J66</f>
        <v>5.333333333333333</v>
      </c>
      <c r="M67" s="139">
        <f t="shared" ref="M67:M123" ca="1" si="6">INDIRECT("courbes!"&amp;INDEX($D$3:$H$10,MATCH($B$2,$C$3:$C$10,0),MATCH(M$1,$D$2:$H$2,0))&amp;ROW($J66))</f>
        <v>2.9043740084474556E+19</v>
      </c>
      <c r="N67" s="139">
        <f>courbes!U66</f>
        <v>5.333333333333333</v>
      </c>
      <c r="O67" s="139">
        <f t="shared" ref="O67:O130" ca="1" si="7">INDIRECT("courbes!"&amp;INDEX($D$3:$H$10,MATCH($B$2,$C$3:$C$10,0),MATCH(O$1,$D$2:$H$2,0))&amp;ROW($J66))</f>
        <v>2.9043305979728634E+19</v>
      </c>
      <c r="Q67" s="139">
        <f t="shared" ref="Q67:Q130" ca="1" si="8">INDIRECT("courbes!"&amp;INDEX($D$3:$H$10,MATCH($B$2,$C$3:$C$10,0),MATCH(Q$1,$D$2:$H$2,0))&amp;ROW($J66))</f>
        <v>0</v>
      </c>
      <c r="R67" s="145"/>
      <c r="S67" s="145"/>
    </row>
    <row r="68" spans="10:19" ht="13.5" thickBot="1">
      <c r="J68" s="138">
        <f>courbes!A67</f>
        <v>5.416666666666667</v>
      </c>
      <c r="K68" s="139">
        <f t="shared" ca="1" si="5"/>
        <v>2.8961691507738087E+19</v>
      </c>
      <c r="L68" s="141">
        <f>courbes!J67</f>
        <v>5.416666666666667</v>
      </c>
      <c r="M68" s="139">
        <f t="shared" ca="1" si="6"/>
        <v>2.8992195188764041E+19</v>
      </c>
      <c r="N68" s="139">
        <f>courbes!U67</f>
        <v>5.416666666666667</v>
      </c>
      <c r="O68" s="139">
        <f t="shared" ca="1" si="7"/>
        <v>2.8991739019817591E+19</v>
      </c>
      <c r="Q68" s="139">
        <f t="shared" ca="1" si="8"/>
        <v>0</v>
      </c>
      <c r="R68" s="145"/>
      <c r="S68" s="145"/>
    </row>
    <row r="69" spans="10:19" ht="13.5" thickBot="1">
      <c r="J69" s="138">
        <f>courbes!A68</f>
        <v>5.5</v>
      </c>
      <c r="K69" s="139">
        <f t="shared" ca="1" si="5"/>
        <v>2.8910547701530247E+19</v>
      </c>
      <c r="L69" s="141">
        <f>courbes!J68</f>
        <v>5.5</v>
      </c>
      <c r="M69" s="139">
        <f t="shared" ca="1" si="6"/>
        <v>2.8941570557813686E+19</v>
      </c>
      <c r="N69" s="139">
        <f>courbes!U68</f>
        <v>5.5</v>
      </c>
      <c r="O69" s="139">
        <f t="shared" ca="1" si="7"/>
        <v>2.8941091133750616E+19</v>
      </c>
      <c r="Q69" s="139">
        <f t="shared" ca="1" si="8"/>
        <v>0</v>
      </c>
      <c r="R69" s="145"/>
      <c r="S69" s="145"/>
    </row>
    <row r="70" spans="10:19" ht="13.5" thickBot="1">
      <c r="J70" s="138">
        <f>courbes!A69</f>
        <v>5.583333333333333</v>
      </c>
      <c r="K70" s="139">
        <f t="shared" ca="1" si="5"/>
        <v>2.8860359310502466E+19</v>
      </c>
      <c r="L70" s="141">
        <f>courbes!J69</f>
        <v>5.583333333333333</v>
      </c>
      <c r="M70" s="139">
        <f t="shared" ca="1" si="6"/>
        <v>2.8891867773491024E+19</v>
      </c>
      <c r="N70" s="139">
        <f>courbes!U69</f>
        <v>5.583333333333333</v>
      </c>
      <c r="O70" s="139">
        <f t="shared" ca="1" si="7"/>
        <v>2.889136381648461E+19</v>
      </c>
      <c r="Q70" s="139">
        <f t="shared" ca="1" si="8"/>
        <v>0</v>
      </c>
      <c r="R70" s="145"/>
      <c r="S70" s="145"/>
    </row>
    <row r="71" spans="10:19" ht="13.5" thickBot="1">
      <c r="J71" s="138">
        <f>courbes!A70</f>
        <v>5.666666666666667</v>
      </c>
      <c r="K71" s="139">
        <f t="shared" ca="1" si="5"/>
        <v>2.8811126586028016E+19</v>
      </c>
      <c r="L71" s="141">
        <f>courbes!J70</f>
        <v>5.666666666666667</v>
      </c>
      <c r="M71" s="139">
        <f t="shared" ca="1" si="6"/>
        <v>2.8843087433025741E+19</v>
      </c>
      <c r="N71" s="139">
        <f>courbes!U70</f>
        <v>5.666666666666667</v>
      </c>
      <c r="O71" s="139">
        <f t="shared" ca="1" si="7"/>
        <v>2.8842557536915423E+19</v>
      </c>
      <c r="Q71" s="139">
        <f t="shared" ca="1" si="8"/>
        <v>0</v>
      </c>
      <c r="R71" s="145"/>
      <c r="S71" s="145"/>
    </row>
    <row r="72" spans="10:19" ht="13.5" thickBot="1">
      <c r="J72" s="138">
        <f>courbes!A71</f>
        <v>5.75</v>
      </c>
      <c r="K72" s="139">
        <f t="shared" ca="1" si="5"/>
        <v>2.8762848767327965E+19</v>
      </c>
      <c r="L72" s="141">
        <f>courbes!J71</f>
        <v>5.75</v>
      </c>
      <c r="M72" s="139">
        <f t="shared" ca="1" si="6"/>
        <v>2.8795229215212483E+19</v>
      </c>
      <c r="N72" s="139">
        <f>courbes!U71</f>
        <v>5.75</v>
      </c>
      <c r="O72" s="139">
        <f t="shared" ca="1" si="7"/>
        <v>2.8794671789774832E+19</v>
      </c>
      <c r="Q72" s="139">
        <f t="shared" ca="1" si="8"/>
        <v>0</v>
      </c>
      <c r="R72" s="145"/>
      <c r="S72" s="145"/>
    </row>
    <row r="73" spans="10:19" ht="13.5" thickBot="1">
      <c r="J73" s="138">
        <f>courbes!A72</f>
        <v>5.833333333333333</v>
      </c>
      <c r="K73" s="139">
        <f t="shared" ca="1" si="5"/>
        <v>2.8715524134085796E+19</v>
      </c>
      <c r="L73" s="141">
        <f>courbes!J72</f>
        <v>5.833333333333333</v>
      </c>
      <c r="M73" s="139">
        <f t="shared" ca="1" si="6"/>
        <v>2.8748291946613641E+19</v>
      </c>
      <c r="N73" s="139">
        <f>courbes!U72</f>
        <v>5.833333333333333</v>
      </c>
      <c r="O73" s="139">
        <f t="shared" ca="1" si="7"/>
        <v>2.874770514558532E+19</v>
      </c>
      <c r="Q73" s="139">
        <f t="shared" ca="1" si="8"/>
        <v>0</v>
      </c>
      <c r="R73" s="145"/>
      <c r="S73" s="145"/>
    </row>
    <row r="74" spans="10:19" ht="13.5" thickBot="1">
      <c r="J74" s="138">
        <f>courbes!A73</f>
        <v>5.916666666666667</v>
      </c>
      <c r="K74" s="139">
        <f t="shared" ca="1" si="5"/>
        <v>2.8669150057059422E+19</v>
      </c>
      <c r="L74" s="141">
        <f>courbes!J73</f>
        <v>5.916666666666667</v>
      </c>
      <c r="M74" s="139">
        <f t="shared" ca="1" si="6"/>
        <v>2.8702273667762192E+19</v>
      </c>
      <c r="N74" s="139">
        <f>courbes!U73</f>
        <v>5.916666666666667</v>
      </c>
      <c r="O74" s="139">
        <f t="shared" ca="1" si="7"/>
        <v>2.8701655298738782E+19</v>
      </c>
      <c r="Q74" s="139">
        <f t="shared" ca="1" si="8"/>
        <v>0</v>
      </c>
      <c r="R74" s="145"/>
      <c r="S74" s="145"/>
    </row>
    <row r="75" spans="10:19" ht="13.5" thickBot="1">
      <c r="J75" s="138">
        <f>courbes!A74</f>
        <v>6</v>
      </c>
      <c r="K75" s="139">
        <f t="shared" ca="1" si="5"/>
        <v>2.8623723046758384E+19</v>
      </c>
      <c r="L75" s="141">
        <f>courbes!J74</f>
        <v>6</v>
      </c>
      <c r="M75" s="139">
        <f t="shared" ca="1" si="6"/>
        <v>2.8657171699364463E+19</v>
      </c>
      <c r="N75" s="139">
        <f>courbes!U74</f>
        <v>6</v>
      </c>
      <c r="O75" s="139">
        <f t="shared" ca="1" si="7"/>
        <v>2.8656519113760899E+19</v>
      </c>
      <c r="Q75" s="139">
        <f t="shared" ca="1" si="8"/>
        <v>0</v>
      </c>
      <c r="R75" s="145"/>
      <c r="S75" s="145"/>
    </row>
    <row r="76" spans="10:19" ht="13.5" thickBot="1">
      <c r="J76" s="138">
        <f>courbes!A75</f>
        <v>6.083333333333333</v>
      </c>
      <c r="K76" s="139">
        <f t="shared" ca="1" si="5"/>
        <v>2.8579238800251798E+19</v>
      </c>
      <c r="L76" s="141">
        <f>courbes!J75</f>
        <v>6.083333333333333</v>
      </c>
      <c r="M76" s="139">
        <f t="shared" ca="1" si="6"/>
        <v>2.8612976527908012E+19</v>
      </c>
      <c r="N76" s="139">
        <f>courbes!U75</f>
        <v>6.083333333333333</v>
      </c>
      <c r="O76" s="139">
        <f t="shared" ca="1" si="7"/>
        <v>2.8612292669822075E+19</v>
      </c>
      <c r="Q76" s="139">
        <f t="shared" ca="1" si="8"/>
        <v>0</v>
      </c>
      <c r="R76" s="145"/>
      <c r="S76" s="145"/>
    </row>
    <row r="77" spans="10:19" ht="13.5" thickBot="1">
      <c r="J77" s="138">
        <f>courbes!A76</f>
        <v>6.166666666666667</v>
      </c>
      <c r="K77" s="139">
        <f t="shared" ca="1" si="5"/>
        <v>2.8535692246170518E+19</v>
      </c>
      <c r="L77" s="141">
        <f>courbes!J76</f>
        <v>6.166666666666667</v>
      </c>
      <c r="M77" s="139">
        <f t="shared" ca="1" si="6"/>
        <v>2.8569687724351353E+19</v>
      </c>
      <c r="N77" s="139">
        <f>courbes!U76</f>
        <v>6.166666666666667</v>
      </c>
      <c r="O77" s="139">
        <f t="shared" ca="1" si="7"/>
        <v>2.8568971303553679E+19</v>
      </c>
      <c r="Q77" s="139">
        <f t="shared" ca="1" si="8"/>
        <v>0</v>
      </c>
      <c r="R77" s="145"/>
      <c r="S77" s="145"/>
    </row>
    <row r="78" spans="10:19" ht="13.5" thickBot="1">
      <c r="J78" s="138">
        <f>courbes!A77</f>
        <v>6.25</v>
      </c>
      <c r="K78" s="139">
        <f t="shared" ca="1" si="5"/>
        <v>2.8493077587964944E+19</v>
      </c>
      <c r="L78" s="141">
        <f>courbes!J77</f>
        <v>6.25</v>
      </c>
      <c r="M78" s="139">
        <f t="shared" ca="1" si="6"/>
        <v>2.8527299942410707E+19</v>
      </c>
      <c r="N78" s="139">
        <f>courbes!U77</f>
        <v>6.25</v>
      </c>
      <c r="O78" s="139">
        <f t="shared" ca="1" si="7"/>
        <v>2.8526549650226364E+19</v>
      </c>
      <c r="Q78" s="139">
        <f t="shared" ca="1" si="8"/>
        <v>0</v>
      </c>
      <c r="R78" s="145"/>
      <c r="S78" s="145"/>
    </row>
    <row r="79" spans="10:19" ht="13.5" thickBot="1">
      <c r="J79" s="138">
        <f>courbes!A78</f>
        <v>6.333333333333333</v>
      </c>
      <c r="K79" s="139">
        <f t="shared" ca="1" si="5"/>
        <v>2.8451388345477984E+19</v>
      </c>
      <c r="L79" s="141">
        <f>courbes!J78</f>
        <v>6.333333333333333</v>
      </c>
      <c r="M79" s="139">
        <f t="shared" ca="1" si="6"/>
        <v>2.8485807177089118E+19</v>
      </c>
      <c r="N79" s="139">
        <f>courbes!U78</f>
        <v>6.333333333333333</v>
      </c>
      <c r="O79" s="139">
        <f t="shared" ca="1" si="7"/>
        <v>2.8485021683345863E+19</v>
      </c>
      <c r="Q79" s="139">
        <f t="shared" ca="1" si="8"/>
        <v>0</v>
      </c>
      <c r="R79" s="145"/>
      <c r="S79" s="145"/>
    </row>
    <row r="80" spans="10:19" ht="13.5" thickBot="1">
      <c r="J80" s="138">
        <f>courbes!A79</f>
        <v>6.416666666666667</v>
      </c>
      <c r="K80" s="139">
        <f t="shared" ca="1" si="5"/>
        <v>2.8410617394890641E+19</v>
      </c>
      <c r="L80" s="141">
        <f>courbes!J79</f>
        <v>6.416666666666667</v>
      </c>
      <c r="M80" s="139">
        <f t="shared" ca="1" si="6"/>
        <v>2.8445202806640751E+19</v>
      </c>
      <c r="N80" s="139">
        <f>courbes!U79</f>
        <v>6.416666666666667</v>
      </c>
      <c r="O80" s="139">
        <f t="shared" ca="1" si="7"/>
        <v>2.8444380752718889E+19</v>
      </c>
      <c r="Q80" s="139">
        <f t="shared" ca="1" si="8"/>
        <v>0</v>
      </c>
      <c r="R80" s="145"/>
      <c r="S80" s="145"/>
    </row>
    <row r="81" spans="10:19" ht="13.5" thickBot="1">
      <c r="J81" s="138">
        <f>courbes!A80</f>
        <v>6.5</v>
      </c>
      <c r="K81" s="139">
        <f t="shared" ca="1" si="5"/>
        <v>2.8370757007096029E+19</v>
      </c>
      <c r="L81" s="141">
        <f>courbes!J80</f>
        <v>6.5</v>
      </c>
      <c r="M81" s="139">
        <f t="shared" ca="1" si="6"/>
        <v>2.8405479634535158E+19</v>
      </c>
      <c r="N81" s="139">
        <f>courbes!U80</f>
        <v>6.5</v>
      </c>
      <c r="O81" s="139">
        <f t="shared" ca="1" si="7"/>
        <v>2.8404619621041807E+19</v>
      </c>
      <c r="Q81" s="139">
        <f t="shared" ca="1" si="8"/>
        <v>0</v>
      </c>
      <c r="R81" s="145"/>
      <c r="S81" s="145"/>
    </row>
    <row r="82" spans="10:19" ht="13.5" thickBot="1">
      <c r="J82" s="138">
        <f>courbes!A81</f>
        <v>6.583333333333333</v>
      </c>
      <c r="K82" s="139">
        <f t="shared" ca="1" si="5"/>
        <v>2.8331798884555629E+19</v>
      </c>
      <c r="L82" s="141">
        <f>courbes!J81</f>
        <v>6.583333333333333</v>
      </c>
      <c r="M82" s="139">
        <f t="shared" ca="1" si="6"/>
        <v>2.8366629931421598E+19</v>
      </c>
      <c r="N82" s="139">
        <f>courbes!U81</f>
        <v>6.583333333333333</v>
      </c>
      <c r="O82" s="139">
        <f t="shared" ca="1" si="7"/>
        <v>2.8365730499060859E+19</v>
      </c>
      <c r="Q82" s="139">
        <f t="shared" ca="1" si="8"/>
        <v>0</v>
      </c>
    </row>
    <row r="83" spans="10:19" ht="13.5" thickBot="1">
      <c r="J83" s="138">
        <f>courbes!A82</f>
        <v>6.666666666666667</v>
      </c>
      <c r="K83" s="139">
        <f t="shared" ca="1" si="5"/>
        <v>2.8293734196689998E+19</v>
      </c>
      <c r="L83" s="141">
        <f>courbes!J82</f>
        <v>6.666666666666667</v>
      </c>
      <c r="M83" s="139">
        <f t="shared" ca="1" si="6"/>
        <v>2.8328645477093319E+19</v>
      </c>
      <c r="N83" s="139">
        <f>courbes!U82</f>
        <v>6.666666666666667</v>
      </c>
      <c r="O83" s="139">
        <f t="shared" ca="1" si="7"/>
        <v>2.8327705079353524E+19</v>
      </c>
      <c r="Q83" s="139">
        <f t="shared" ca="1" si="8"/>
        <v>0</v>
      </c>
    </row>
    <row r="84" spans="10:19" ht="13.5" thickBot="1">
      <c r="J84" s="138">
        <f>courbes!A83</f>
        <v>6.75</v>
      </c>
      <c r="K84" s="139">
        <f t="shared" ca="1" si="5"/>
        <v>2.8256553613854433E+19</v>
      </c>
      <c r="L84" s="141">
        <f>courbes!J83</f>
        <v>6.75</v>
      </c>
      <c r="M84" s="139">
        <f t="shared" ca="1" si="6"/>
        <v>2.8291517602451825E+19</v>
      </c>
      <c r="N84" s="139">
        <f>courbes!U83</f>
        <v>6.75</v>
      </c>
      <c r="O84" s="139">
        <f t="shared" ca="1" si="7"/>
        <v>2.8290534568776901E+19</v>
      </c>
      <c r="Q84" s="139">
        <f t="shared" ca="1" si="8"/>
        <v>0</v>
      </c>
    </row>
    <row r="85" spans="10:19" ht="13.5" thickBot="1">
      <c r="J85" s="138">
        <f>courbes!A84</f>
        <v>6.833333333333333</v>
      </c>
      <c r="K85" s="139">
        <f t="shared" ca="1" si="5"/>
        <v>2.8220247339948384E+19</v>
      </c>
      <c r="L85" s="141">
        <f>courbes!J84</f>
        <v>6.833333333333333</v>
      </c>
      <c r="M85" s="139">
        <f t="shared" ca="1" si="6"/>
        <v>2.8255237231471215E+19</v>
      </c>
      <c r="N85" s="139">
        <f>courbes!U84</f>
        <v>6.833333333333333</v>
      </c>
      <c r="O85" s="139">
        <f t="shared" ca="1" si="7"/>
        <v>2.8254209719629087E+19</v>
      </c>
      <c r="Q85" s="139">
        <f t="shared" ca="1" si="8"/>
        <v>0</v>
      </c>
    </row>
    <row r="86" spans="10:19" ht="13.5" thickBot="1">
      <c r="J86" s="138">
        <f>courbes!A85</f>
        <v>6.916666666666667</v>
      </c>
      <c r="K86" s="139">
        <f t="shared" ca="1" si="5"/>
        <v>2.818480514370594E+19</v>
      </c>
      <c r="L86" s="141">
        <f>courbes!J85</f>
        <v>6.916666666666667</v>
      </c>
      <c r="M86" s="139">
        <f t="shared" ca="1" si="6"/>
        <v>2.8219794923162419E+19</v>
      </c>
      <c r="N86" s="139">
        <f>courbes!U85</f>
        <v>6.916666666666667</v>
      </c>
      <c r="O86" s="139">
        <f t="shared" ca="1" si="7"/>
        <v>2.8218720859567358E+19</v>
      </c>
      <c r="Q86" s="139">
        <f t="shared" ca="1" si="8"/>
        <v>0</v>
      </c>
    </row>
    <row r="87" spans="10:19" ht="13.5" thickBot="1">
      <c r="J87" s="138">
        <f>courbes!A86</f>
        <v>7</v>
      </c>
      <c r="K87" s="139">
        <f t="shared" ca="1" si="5"/>
        <v>2.8150216388713116E+19</v>
      </c>
      <c r="L87" s="141">
        <f>courbes!J86</f>
        <v>7</v>
      </c>
      <c r="M87" s="139">
        <f t="shared" ca="1" si="6"/>
        <v>2.8185180913537544E+19</v>
      </c>
      <c r="N87" s="139">
        <f>courbes!U86</f>
        <v>7</v>
      </c>
      <c r="O87" s="139">
        <f t="shared" ca="1" si="7"/>
        <v>2.8184057920325493E+19</v>
      </c>
      <c r="Q87" s="139">
        <f t="shared" ca="1" si="8"/>
        <v>0</v>
      </c>
    </row>
    <row r="88" spans="10:19" ht="13.5" thickBot="1">
      <c r="J88" s="138">
        <f>courbes!A87</f>
        <v>7.083333333333333</v>
      </c>
      <c r="K88" s="139">
        <f t="shared" ca="1" si="5"/>
        <v>2.8116470062196179E+19</v>
      </c>
      <c r="L88" s="141">
        <f>courbes!J87</f>
        <v>7.083333333333333</v>
      </c>
      <c r="M88" s="139">
        <f t="shared" ca="1" si="6"/>
        <v>2.8151381039278285E+19</v>
      </c>
      <c r="N88" s="139">
        <f>courbes!U87</f>
        <v>7.083333333333333</v>
      </c>
      <c r="O88" s="139">
        <f t="shared" ca="1" si="7"/>
        <v>2.8150210465271538E+19</v>
      </c>
      <c r="Q88" s="139">
        <f t="shared" ca="1" si="8"/>
        <v>0</v>
      </c>
    </row>
    <row r="89" spans="10:19" ht="13.5" thickBot="1">
      <c r="J89" s="138">
        <f>courbes!A88</f>
        <v>7.166666666666667</v>
      </c>
      <c r="K89" s="139">
        <f t="shared" ca="1" si="5"/>
        <v>2.8083554802623865E+19</v>
      </c>
      <c r="L89" s="141">
        <f>courbes!J88</f>
        <v>7.166666666666667</v>
      </c>
      <c r="M89" s="139">
        <f t="shared" ca="1" si="6"/>
        <v>2.8118387345578435E+19</v>
      </c>
      <c r="N89" s="139">
        <f>courbes!U88</f>
        <v>7.166666666666667</v>
      </c>
      <c r="O89" s="139">
        <f t="shared" ca="1" si="7"/>
        <v>2.8117167715845951E+19</v>
      </c>
      <c r="Q89" s="139">
        <f t="shared" ca="1" si="8"/>
        <v>0</v>
      </c>
    </row>
    <row r="90" spans="10:19" ht="13.5" thickBot="1">
      <c r="J90" s="138">
        <f>courbes!A89</f>
        <v>7.25</v>
      </c>
      <c r="K90" s="139">
        <f t="shared" ca="1" si="5"/>
        <v>2.8051458926164906E+19</v>
      </c>
      <c r="L90" s="141">
        <f>courbes!J89</f>
        <v>7.25</v>
      </c>
      <c r="M90" s="139">
        <f t="shared" ca="1" si="6"/>
        <v>2.8086188749629649E+19</v>
      </c>
      <c r="N90" s="139">
        <f>courbes!U89</f>
        <v>7.25</v>
      </c>
      <c r="O90" s="139">
        <f t="shared" ca="1" si="7"/>
        <v>2.8084918576918413E+19</v>
      </c>
      <c r="Q90" s="139">
        <f t="shared" ca="1" si="8"/>
        <v>0</v>
      </c>
    </row>
    <row r="91" spans="10:19" ht="13.5" thickBot="1">
      <c r="J91" s="138">
        <f>courbes!A90</f>
        <v>7.333333333333333</v>
      </c>
      <c r="K91" s="139">
        <f t="shared" ca="1" si="5"/>
        <v>2.8020170452040942E+19</v>
      </c>
      <c r="L91" s="141">
        <f>courbes!J90</f>
        <v>7.333333333333333</v>
      </c>
      <c r="M91" s="139">
        <f t="shared" ca="1" si="6"/>
        <v>2.8054773878144205E+19</v>
      </c>
      <c r="N91" s="139">
        <f>courbes!U90</f>
        <v>7.333333333333333</v>
      </c>
      <c r="O91" s="139">
        <f t="shared" ca="1" si="7"/>
        <v>2.8053451661101142E+19</v>
      </c>
      <c r="Q91" s="139">
        <f t="shared" ca="1" si="8"/>
        <v>0</v>
      </c>
    </row>
    <row r="92" spans="10:19" ht="13.5" thickBot="1">
      <c r="J92" s="138">
        <f>courbes!A91</f>
        <v>7.416666666666667</v>
      </c>
      <c r="K92" s="139">
        <f t="shared" ca="1" si="5"/>
        <v>2.7989677126813606E+19</v>
      </c>
      <c r="L92" s="141">
        <f>courbes!J91</f>
        <v>7.416666666666667</v>
      </c>
      <c r="M92" s="139">
        <f t="shared" ca="1" si="6"/>
        <v>2.8024131093233676E+19</v>
      </c>
      <c r="N92" s="139">
        <f>courbes!U91</f>
        <v>7.416666666666667</v>
      </c>
      <c r="O92" s="139">
        <f t="shared" ca="1" si="7"/>
        <v>2.8022755312054051E+19</v>
      </c>
      <c r="Q92" s="139">
        <f t="shared" ca="1" si="8"/>
        <v>0</v>
      </c>
    </row>
    <row r="93" spans="10:19" ht="13.5" thickBot="1">
      <c r="J93" s="138">
        <f>courbes!A92</f>
        <v>7.5</v>
      </c>
      <c r="K93" s="139">
        <f t="shared" ca="1" si="5"/>
        <v>2.7959966447643324E+19</v>
      </c>
      <c r="L93" s="141">
        <f>courbes!J92</f>
        <v>7.5</v>
      </c>
      <c r="M93" s="139">
        <f t="shared" ca="1" si="6"/>
        <v>2.7994248518287573E+19</v>
      </c>
      <c r="N93" s="139">
        <f>courbes!U92</f>
        <v>7.5</v>
      </c>
      <c r="O93" s="139">
        <f t="shared" ca="1" si="7"/>
        <v>2.7992817626817683E+19</v>
      </c>
      <c r="Q93" s="139">
        <f t="shared" ca="1" si="8"/>
        <v>0</v>
      </c>
    </row>
    <row r="94" spans="10:19" ht="13.5" thickBot="1">
      <c r="J94" s="138">
        <f>courbes!A93</f>
        <v>7.583333333333333</v>
      </c>
      <c r="K94" s="139">
        <f t="shared" ca="1" si="5"/>
        <v>2.793102568455605E+19</v>
      </c>
      <c r="L94" s="141">
        <f>courbes!J93</f>
        <v>7.583333333333333</v>
      </c>
      <c r="M94" s="139">
        <f t="shared" ca="1" si="6"/>
        <v>2.7965114063851999E+19</v>
      </c>
      <c r="N94" s="139">
        <f>courbes!U93</f>
        <v>7.583333333333333</v>
      </c>
      <c r="O94" s="139">
        <f t="shared" ca="1" si="7"/>
        <v>2.7963626477207003E+19</v>
      </c>
      <c r="Q94" s="139">
        <f t="shared" ca="1" si="8"/>
        <v>0</v>
      </c>
    </row>
    <row r="95" spans="10:19" ht="13.5" thickBot="1">
      <c r="J95" s="138">
        <f>courbes!A94</f>
        <v>7.666666666666667</v>
      </c>
      <c r="K95" s="139">
        <f t="shared" ca="1" si="5"/>
        <v>2.7902841901753127E+19</v>
      </c>
      <c r="L95" s="141">
        <f>courbes!J94</f>
        <v>7.666666666666667</v>
      </c>
      <c r="M95" s="139">
        <f t="shared" ca="1" si="6"/>
        <v>2.7936715453508301E+19</v>
      </c>
      <c r="N95" s="139">
        <f>courbes!U94</f>
        <v>7.666666666666667</v>
      </c>
      <c r="O95" s="139">
        <f t="shared" ca="1" si="7"/>
        <v>2.7935169530299236E+19</v>
      </c>
      <c r="Q95" s="139">
        <f t="shared" ca="1" si="8"/>
        <v>0</v>
      </c>
    </row>
    <row r="96" spans="10:19" ht="13.5" thickBot="1">
      <c r="J96" s="138">
        <f>courbes!A95</f>
        <v>7.75</v>
      </c>
      <c r="K96" s="139">
        <f t="shared" ca="1" si="5"/>
        <v>2.7875401977998168E+19</v>
      </c>
      <c r="L96" s="141">
        <f>courbes!J95</f>
        <v>7.75</v>
      </c>
      <c r="M96" s="139">
        <f t="shared" ca="1" si="6"/>
        <v>2.7909040249751736E+19</v>
      </c>
      <c r="N96" s="139">
        <f>courbes!U95</f>
        <v>7.75</v>
      </c>
      <c r="O96" s="139">
        <f t="shared" ca="1" si="7"/>
        <v>2.7907434268047266E+19</v>
      </c>
      <c r="Q96" s="139">
        <f t="shared" ca="1" si="8"/>
        <v>0</v>
      </c>
      <c r="R96" s="153"/>
      <c r="S96" s="153"/>
    </row>
    <row r="97" spans="10:19" ht="13.5" thickBot="1">
      <c r="J97" s="138">
        <f>courbes!A96</f>
        <v>7.833333333333333</v>
      </c>
      <c r="K97" s="139">
        <f t="shared" ca="1" si="5"/>
        <v>2.7848692626113819E+19</v>
      </c>
      <c r="L97" s="141">
        <f>courbes!J96</f>
        <v>7.833333333333333</v>
      </c>
      <c r="M97" s="139">
        <f t="shared" ca="1" si="6"/>
        <v>2.788207587987012E+19</v>
      </c>
      <c r="N97" s="139">
        <f>courbes!U96</f>
        <v>7.833333333333333</v>
      </c>
      <c r="O97" s="139">
        <f t="shared" ca="1" si="7"/>
        <v>2.7880408006049378E+19</v>
      </c>
      <c r="Q97" s="139">
        <f t="shared" ca="1" si="8"/>
        <v>0</v>
      </c>
      <c r="R97" s="153"/>
      <c r="S97" s="153"/>
    </row>
    <row r="98" spans="10:19" ht="13.5" thickBot="1">
      <c r="J98" s="138">
        <f>courbes!A97</f>
        <v>7.916666666666667</v>
      </c>
      <c r="K98" s="139">
        <f t="shared" ca="1" si="5"/>
        <v>2.7822700411620192E+19</v>
      </c>
      <c r="L98" s="141">
        <f>courbes!J97</f>
        <v>7.916666666666667</v>
      </c>
      <c r="M98" s="139">
        <f t="shared" ca="1" si="6"/>
        <v>2.7855809661822476E+19</v>
      </c>
      <c r="N98" s="139">
        <f>courbes!U97</f>
        <v>7.916666666666667</v>
      </c>
      <c r="O98" s="139">
        <f t="shared" ca="1" si="7"/>
        <v>2.7854077911504904E+19</v>
      </c>
      <c r="Q98" s="139">
        <f t="shared" ca="1" si="8"/>
        <v>0</v>
      </c>
      <c r="R98" s="153"/>
      <c r="S98" s="153"/>
    </row>
    <row r="99" spans="10:19" ht="13.5" thickBot="1">
      <c r="J99" s="138">
        <f>courbes!A98</f>
        <v>8</v>
      </c>
      <c r="K99" s="139">
        <f t="shared" ca="1" si="5"/>
        <v>2.779741177054566E+19</v>
      </c>
      <c r="L99" s="141">
        <f>courbes!J98</f>
        <v>8</v>
      </c>
      <c r="M99" s="139">
        <f t="shared" ca="1" si="6"/>
        <v>2.7830228830117704E+19</v>
      </c>
      <c r="N99" s="139">
        <f>courbes!U98</f>
        <v>8</v>
      </c>
      <c r="O99" s="139">
        <f t="shared" ca="1" si="7"/>
        <v>2.7828431020384694E+19</v>
      </c>
      <c r="Q99" s="139">
        <f t="shared" ca="1" si="8"/>
        <v>0</v>
      </c>
      <c r="R99" s="153"/>
      <c r="S99" s="153"/>
    </row>
    <row r="100" spans="10:19" ht="13.5" thickBot="1">
      <c r="J100" s="138">
        <f>courbes!A99</f>
        <v>8.0833333333333339</v>
      </c>
      <c r="K100" s="139">
        <f t="shared" ca="1" si="5"/>
        <v>2.7772813026439754E+19</v>
      </c>
      <c r="L100" s="141">
        <f>courbes!J99</f>
        <v>8.0833333333333339</v>
      </c>
      <c r="M100" s="139">
        <f t="shared" ca="1" si="6"/>
        <v>2.780531784469479E+19</v>
      </c>
      <c r="N100" s="139">
        <f>courbes!U99</f>
        <v>8.0833333333333339</v>
      </c>
      <c r="O100" s="139">
        <f t="shared" ca="1" si="7"/>
        <v>2.7803454253844066E+19</v>
      </c>
      <c r="Q100" s="139">
        <f t="shared" ca="1" si="8"/>
        <v>0</v>
      </c>
      <c r="R100" s="153"/>
      <c r="S100" s="153"/>
    </row>
    <row r="101" spans="10:19" ht="13.5" thickBot="1">
      <c r="J101" s="138">
        <f>courbes!A100</f>
        <v>8.1666666666666661</v>
      </c>
      <c r="K101" s="139">
        <f t="shared" ca="1" si="5"/>
        <v>2.7748890406616875E+19</v>
      </c>
      <c r="L101" s="141">
        <f>courbes!J100</f>
        <v>8.1666666666666661</v>
      </c>
      <c r="M101" s="139">
        <f t="shared" ca="1" si="6"/>
        <v>2.7781065390016774E+19</v>
      </c>
      <c r="N101" s="139">
        <f>courbes!U100</f>
        <v>8.1666666666666661</v>
      </c>
      <c r="O101" s="139">
        <f t="shared" ca="1" si="7"/>
        <v>2.7779134433905164E+19</v>
      </c>
      <c r="Q101" s="139">
        <f t="shared" ca="1" si="8"/>
        <v>0</v>
      </c>
      <c r="R101" s="153"/>
      <c r="S101" s="153"/>
    </row>
    <row r="102" spans="10:19" ht="13.5" thickBot="1">
      <c r="J102" s="138">
        <f>courbes!A101</f>
        <v>8.25</v>
      </c>
      <c r="K102" s="139">
        <f t="shared" ca="1" si="5"/>
        <v>2.7725630057658622E+19</v>
      </c>
      <c r="L102" s="141">
        <f>courbes!J101</f>
        <v>8.25</v>
      </c>
      <c r="M102" s="139">
        <f t="shared" ca="1" si="6"/>
        <v>2.7757458209656992E+19</v>
      </c>
      <c r="N102" s="139">
        <f>courbes!U101</f>
        <v>8.25</v>
      </c>
      <c r="O102" s="139">
        <f t="shared" ca="1" si="7"/>
        <v>2.7755458298434707E+19</v>
      </c>
      <c r="Q102" s="139">
        <f t="shared" ca="1" si="8"/>
        <v>0</v>
      </c>
      <c r="R102" s="153"/>
      <c r="S102" s="153"/>
    </row>
    <row r="103" spans="10:19" ht="13.5" thickBot="1">
      <c r="J103" s="138">
        <f>courbes!A102</f>
        <v>8.3333333333333339</v>
      </c>
      <c r="K103" s="139">
        <f t="shared" ca="1" si="5"/>
        <v>2.7703018060201603E+19</v>
      </c>
      <c r="L103" s="141">
        <f>courbes!J102</f>
        <v>8.3333333333333339</v>
      </c>
      <c r="M103" s="139">
        <f t="shared" ca="1" si="6"/>
        <v>2.7734482978298253E+19</v>
      </c>
      <c r="N103" s="139">
        <f>courbes!U102</f>
        <v>8.3333333333333339</v>
      </c>
      <c r="O103" s="139">
        <f t="shared" ca="1" si="7"/>
        <v>2.7732412515442426E+19</v>
      </c>
      <c r="P103" s="153"/>
      <c r="Q103" s="139">
        <f t="shared" ca="1" si="8"/>
        <v>0</v>
      </c>
      <c r="R103" s="153"/>
      <c r="S103" s="153"/>
    </row>
    <row r="104" spans="10:19" ht="13.5" thickBot="1">
      <c r="J104" s="138">
        <f>courbes!A103</f>
        <v>8.4166666666666661</v>
      </c>
      <c r="K104" s="139">
        <f t="shared" ca="1" si="5"/>
        <v>2.7681040443036725E+19</v>
      </c>
      <c r="L104" s="141">
        <f>courbes!J103</f>
        <v>8.4166666666666661</v>
      </c>
      <c r="M104" s="139">
        <f t="shared" ca="1" si="6"/>
        <v>2.7712126317054501E+19</v>
      </c>
      <c r="N104" s="139">
        <f>courbes!U103</f>
        <v>8.4166666666666661</v>
      </c>
      <c r="O104" s="139">
        <f t="shared" ca="1" si="7"/>
        <v>2.7709983696724394E+19</v>
      </c>
      <c r="P104" s="153"/>
      <c r="Q104" s="139">
        <f t="shared" ca="1" si="8"/>
        <v>0</v>
      </c>
      <c r="R104" s="153"/>
      <c r="S104" s="153"/>
    </row>
    <row r="105" spans="10:19" ht="13.5" thickBot="1">
      <c r="J105" s="138">
        <f>courbes!A104</f>
        <v>8.5</v>
      </c>
      <c r="K105" s="139">
        <f t="shared" ca="1" si="5"/>
        <v>2.7659683196545044E+19</v>
      </c>
      <c r="L105" s="141">
        <f>courbes!J104</f>
        <v>8.5</v>
      </c>
      <c r="M105" s="139">
        <f t="shared" ca="1" si="6"/>
        <v>2.7690374808792449E+19</v>
      </c>
      <c r="N105" s="139">
        <f>courbes!U104</f>
        <v>8.5</v>
      </c>
      <c r="O105" s="139">
        <f t="shared" ca="1" si="7"/>
        <v>2.7688158410874962E+19</v>
      </c>
      <c r="P105" s="153"/>
      <c r="Q105" s="139">
        <f t="shared" ca="1" si="8"/>
        <v>0</v>
      </c>
      <c r="R105" s="153"/>
      <c r="S105" s="153"/>
    </row>
    <row r="106" spans="10:19" ht="13.5" thickBot="1">
      <c r="J106" s="138">
        <f>courbes!A105</f>
        <v>8.5833333333333339</v>
      </c>
      <c r="K106" s="139">
        <f t="shared" ca="1" si="5"/>
        <v>2.7638932285494518E+19</v>
      </c>
      <c r="L106" s="141">
        <f>courbes!J105</f>
        <v>8.5833333333333339</v>
      </c>
      <c r="M106" s="139">
        <f t="shared" ca="1" si="6"/>
        <v>2.7669215013453222E+19</v>
      </c>
      <c r="N106" s="139">
        <f>courbes!U105</f>
        <v>8.5833333333333339</v>
      </c>
      <c r="O106" s="139">
        <f t="shared" ca="1" si="7"/>
        <v>2.7666923195689878E+19</v>
      </c>
      <c r="P106" s="153"/>
      <c r="Q106" s="139">
        <f t="shared" ca="1" si="8"/>
        <v>0</v>
      </c>
      <c r="R106" s="153"/>
      <c r="S106" s="153"/>
    </row>
    <row r="107" spans="10:19" ht="13.5" thickBot="1">
      <c r="J107" s="138">
        <f>courbes!A106</f>
        <v>8.6666666666666661</v>
      </c>
      <c r="K107" s="139">
        <f t="shared" ca="1" si="5"/>
        <v>2.7618773661221089E+19</v>
      </c>
      <c r="L107" s="141">
        <f>courbes!J106</f>
        <v>8.6666666666666661</v>
      </c>
      <c r="M107" s="139">
        <f t="shared" ca="1" si="6"/>
        <v>2.7648633483373974E+19</v>
      </c>
      <c r="N107" s="139">
        <f>courbes!U106</f>
        <v>8.6666666666666661</v>
      </c>
      <c r="O107" s="139">
        <f t="shared" ca="1" si="7"/>
        <v>2.7646264569982939E+19</v>
      </c>
      <c r="P107" s="153"/>
      <c r="Q107" s="139">
        <f t="shared" ca="1" si="8"/>
        <v>0</v>
      </c>
      <c r="R107" s="153"/>
      <c r="S107" s="153"/>
    </row>
    <row r="108" spans="10:19" ht="13.5" thickBot="1">
      <c r="J108" s="138">
        <f>courbes!A107</f>
        <v>8.75</v>
      </c>
      <c r="K108" s="139">
        <f t="shared" ca="1" si="5"/>
        <v>2.7599193273216856E+19</v>
      </c>
      <c r="L108" s="141">
        <f>courbes!J107</f>
        <v>8.75</v>
      </c>
      <c r="M108" s="139">
        <f t="shared" ca="1" si="6"/>
        <v>2.7628616778609574E+19</v>
      </c>
      <c r="N108" s="139">
        <f>courbes!U107</f>
        <v>8.75</v>
      </c>
      <c r="O108" s="139">
        <f t="shared" ca="1" si="7"/>
        <v>2.7626169044837147E+19</v>
      </c>
      <c r="P108" s="153"/>
      <c r="Q108" s="139">
        <f t="shared" ca="1" si="8"/>
        <v>0</v>
      </c>
      <c r="R108" s="153"/>
      <c r="S108" s="153"/>
    </row>
    <row r="109" spans="10:19" ht="13.5" thickBot="1">
      <c r="J109" s="138">
        <f>courbes!A108</f>
        <v>8.8333333333333339</v>
      </c>
      <c r="K109" s="139">
        <f t="shared" ca="1" si="5"/>
        <v>2.758017708014721E+19</v>
      </c>
      <c r="L109" s="141">
        <f>courbes!J108</f>
        <v>8.8333333333333339</v>
      </c>
      <c r="M109" s="139">
        <f t="shared" ca="1" si="6"/>
        <v>2.7609151482254205E+19</v>
      </c>
      <c r="N109" s="139">
        <f>courbes!U108</f>
        <v>8.8333333333333339</v>
      </c>
      <c r="O109" s="139">
        <f t="shared" ca="1" si="7"/>
        <v>2.7606623134311199E+19</v>
      </c>
      <c r="P109" s="153"/>
      <c r="Q109" s="139">
        <f t="shared" ca="1" si="8"/>
        <v>0</v>
      </c>
      <c r="R109" s="153"/>
      <c r="S109" s="153"/>
    </row>
    <row r="110" spans="10:19" ht="13.5" thickBot="1">
      <c r="J110" s="138">
        <f>courbes!A109</f>
        <v>8.9166666666666661</v>
      </c>
      <c r="K110" s="139">
        <f t="shared" ca="1" si="5"/>
        <v>2.7561711060318224E+19</v>
      </c>
      <c r="L110" s="141">
        <f>courbes!J109</f>
        <v>8.9166666666666661</v>
      </c>
      <c r="M110" s="139">
        <f t="shared" ca="1" si="6"/>
        <v>2.759022421576301E+19</v>
      </c>
      <c r="N110" s="139">
        <f>courbes!U109</f>
        <v>8.9166666666666661</v>
      </c>
      <c r="O110" s="139">
        <f t="shared" ca="1" si="7"/>
        <v>2.7587613365621391E+19</v>
      </c>
      <c r="P110" s="153"/>
      <c r="Q110" s="139">
        <f t="shared" ca="1" si="8"/>
        <v>0</v>
      </c>
      <c r="R110" s="153"/>
      <c r="S110" s="153"/>
    </row>
    <row r="111" spans="10:19" ht="13.5" thickBot="1">
      <c r="J111" s="138">
        <f>courbes!A110</f>
        <v>9</v>
      </c>
      <c r="K111" s="139">
        <f t="shared" ca="1" si="5"/>
        <v>2.7543781221614719E+19</v>
      </c>
      <c r="L111" s="141">
        <f>courbes!J110</f>
        <v>9</v>
      </c>
      <c r="M111" s="139">
        <f t="shared" ca="1" si="6"/>
        <v>2.7571821654273769E+19</v>
      </c>
      <c r="N111" s="139">
        <f>courbes!U110</f>
        <v>9</v>
      </c>
      <c r="O111" s="139">
        <f t="shared" ca="1" si="7"/>
        <v>2.7569126288817783E+19</v>
      </c>
      <c r="P111" s="153"/>
      <c r="Q111" s="139">
        <f t="shared" ca="1" si="8"/>
        <v>0</v>
      </c>
      <c r="R111" s="153"/>
      <c r="S111" s="153"/>
    </row>
    <row r="112" spans="10:19" ht="13.5" thickBot="1">
      <c r="J112" s="138">
        <f>courbes!A111</f>
        <v>9.0833333333333339</v>
      </c>
      <c r="K112" s="139">
        <f t="shared" ca="1" si="5"/>
        <v>2.7526373610928898E+19</v>
      </c>
      <c r="L112" s="141">
        <f>courbes!J111</f>
        <v>9.0833333333333339</v>
      </c>
      <c r="M112" s="139">
        <f t="shared" ca="1" si="6"/>
        <v>2.755392877245064E+19</v>
      </c>
      <c r="N112" s="139">
        <f>courbes!U111</f>
        <v>9.0833333333333339</v>
      </c>
      <c r="O112" s="139">
        <f t="shared" ca="1" si="7"/>
        <v>2.7551148485973688E+19</v>
      </c>
      <c r="P112" s="153"/>
      <c r="Q112" s="139">
        <f t="shared" ca="1" si="8"/>
        <v>0</v>
      </c>
      <c r="R112" s="153"/>
      <c r="S112" s="153"/>
    </row>
    <row r="113" spans="10:19" ht="13.5" thickBot="1">
      <c r="J113" s="138">
        <f>courbes!A112</f>
        <v>9.1666666666666661</v>
      </c>
      <c r="K113" s="139">
        <f t="shared" ca="1" si="5"/>
        <v>2.7509474323098657E+19</v>
      </c>
      <c r="L113" s="141">
        <f>courbes!J112</f>
        <v>9.1666666666666661</v>
      </c>
      <c r="M113" s="139">
        <f t="shared" ca="1" si="6"/>
        <v>2.7536533403336753E+19</v>
      </c>
      <c r="N113" s="139">
        <f>courbes!U112</f>
        <v>9.1666666666666661</v>
      </c>
      <c r="O113" s="139">
        <f t="shared" ca="1" si="7"/>
        <v>2.7533666579906404E+19</v>
      </c>
      <c r="P113" s="153"/>
      <c r="Q113" s="139">
        <f t="shared" ca="1" si="8"/>
        <v>0</v>
      </c>
      <c r="R113" s="153"/>
      <c r="S113" s="153"/>
    </row>
    <row r="114" spans="10:19" ht="13.5" thickBot="1">
      <c r="J114" s="138">
        <f>courbes!A113</f>
        <v>9.25</v>
      </c>
      <c r="K114" s="139">
        <f t="shared" ca="1" si="5"/>
        <v>2.7493069509374071E+19</v>
      </c>
      <c r="L114" s="141">
        <f>courbes!J113</f>
        <v>9.25</v>
      </c>
      <c r="M114" s="139">
        <f t="shared" ca="1" si="6"/>
        <v>2.7519622218138608E+19</v>
      </c>
      <c r="N114" s="139">
        <f>courbes!U113</f>
        <v>9.25</v>
      </c>
      <c r="O114" s="139">
        <f t="shared" ca="1" si="7"/>
        <v>2.7516667242446529E+19</v>
      </c>
      <c r="P114" s="153"/>
      <c r="Q114" s="139">
        <f t="shared" ca="1" si="8"/>
        <v>0</v>
      </c>
      <c r="R114" s="153"/>
      <c r="S114" s="153"/>
    </row>
    <row r="115" spans="10:19" ht="13.5" thickBot="1">
      <c r="J115" s="138">
        <f>courbes!A114</f>
        <v>9.3333333333333339</v>
      </c>
      <c r="K115" s="139">
        <f t="shared" ca="1" si="5"/>
        <v>2.7477145385429991E+19</v>
      </c>
      <c r="L115" s="141">
        <f>courbes!J114</f>
        <v>9.3333333333333339</v>
      </c>
      <c r="M115" s="139">
        <f t="shared" ca="1" si="6"/>
        <v>2.7503181945383694E+19</v>
      </c>
      <c r="N115" s="139">
        <f>courbes!U114</f>
        <v>9.3333333333333339</v>
      </c>
      <c r="O115" s="139">
        <f t="shared" ca="1" si="7"/>
        <v>2.7500137202272711E+19</v>
      </c>
      <c r="P115" s="153"/>
      <c r="Q115" s="139">
        <f t="shared" ca="1" si="8"/>
        <v>0</v>
      </c>
      <c r="R115" s="153"/>
      <c r="S115" s="153"/>
    </row>
    <row r="116" spans="10:19" ht="13.5" thickBot="1">
      <c r="J116" s="138">
        <f>courbes!A115</f>
        <v>9.4166666666666661</v>
      </c>
      <c r="K116" s="139">
        <f t="shared" ca="1" si="5"/>
        <v>2.7461688238941995E+19</v>
      </c>
      <c r="L116" s="141">
        <f>courbes!J115</f>
        <v>9.4166666666666661</v>
      </c>
      <c r="M116" s="139">
        <f t="shared" ca="1" si="6"/>
        <v>2.748719937941409E+19</v>
      </c>
      <c r="N116" s="139">
        <f>courbes!U115</f>
        <v>9.4166666666666661</v>
      </c>
      <c r="O116" s="139">
        <f t="shared" ca="1" si="7"/>
        <v>2.7484063252328317E+19</v>
      </c>
      <c r="P116" s="153"/>
      <c r="Q116" s="139">
        <f t="shared" ca="1" si="8"/>
        <v>0</v>
      </c>
      <c r="R116" s="153"/>
      <c r="S116" s="153"/>
    </row>
    <row r="117" spans="10:19" ht="13.5" thickBot="1">
      <c r="J117" s="138">
        <f>courbes!A116</f>
        <v>9.5</v>
      </c>
      <c r="K117" s="139">
        <f t="shared" ca="1" si="5"/>
        <v>2.7446684436742398E+19</v>
      </c>
      <c r="L117" s="141">
        <f>courbes!J116</f>
        <v>9.5</v>
      </c>
      <c r="M117" s="139">
        <f t="shared" ca="1" si="6"/>
        <v>2.747166138888013E+19</v>
      </c>
      <c r="N117" s="139">
        <f>courbes!U116</f>
        <v>9.5</v>
      </c>
      <c r="O117" s="139">
        <f t="shared" ca="1" si="7"/>
        <v>2.7468432256835736E+19</v>
      </c>
      <c r="P117" s="153"/>
      <c r="Q117" s="139">
        <f t="shared" ca="1" si="8"/>
        <v>0</v>
      </c>
      <c r="R117" s="153"/>
      <c r="S117" s="153"/>
    </row>
    <row r="118" spans="10:19" ht="13.5" thickBot="1">
      <c r="J118" s="138">
        <f>courbes!A117</f>
        <v>9.5833333333333339</v>
      </c>
      <c r="K118" s="139">
        <f t="shared" ca="1" si="5"/>
        <v>2.7432120431572468E+19</v>
      </c>
      <c r="L118" s="141">
        <f>courbes!J117</f>
        <v>9.5833333333333339</v>
      </c>
      <c r="M118" s="139">
        <f t="shared" ca="1" si="6"/>
        <v>2.7456554925233979E+19</v>
      </c>
      <c r="N118" s="139">
        <f>courbes!U117</f>
        <v>9.5833333333333339</v>
      </c>
      <c r="O118" s="139">
        <f t="shared" ca="1" si="7"/>
        <v>2.7453231157923131E+19</v>
      </c>
      <c r="P118" s="153"/>
      <c r="Q118" s="139">
        <f t="shared" ca="1" si="8"/>
        <v>0</v>
      </c>
      <c r="R118" s="153"/>
      <c r="S118" s="153"/>
    </row>
    <row r="119" spans="10:19" ht="13.5" thickBot="1">
      <c r="J119" s="138">
        <f>courbes!A118</f>
        <v>9.6666666666666661</v>
      </c>
      <c r="K119" s="139">
        <f t="shared" ca="1" si="5"/>
        <v>2.7417982768446431E+19</v>
      </c>
      <c r="L119" s="141">
        <f>courbes!J118</f>
        <v>9.6666666666666661</v>
      </c>
      <c r="M119" s="139">
        <f t="shared" ca="1" si="6"/>
        <v>2.7441867031223325E+19</v>
      </c>
      <c r="N119" s="139">
        <f>courbes!U118</f>
        <v>9.6666666666666661</v>
      </c>
      <c r="O119" s="139">
        <f t="shared" ca="1" si="7"/>
        <v>2.7438446981879136E+19</v>
      </c>
      <c r="P119" s="153"/>
      <c r="Q119" s="139">
        <f t="shared" ca="1" si="8"/>
        <v>0</v>
      </c>
      <c r="R119" s="153"/>
      <c r="S119" s="153"/>
    </row>
    <row r="120" spans="10:19" ht="13.5" thickBot="1">
      <c r="J120" s="138">
        <f>courbes!A119</f>
        <v>9.75</v>
      </c>
      <c r="K120" s="139">
        <f t="shared" ca="1" si="5"/>
        <v>2.7404258090642326E+19</v>
      </c>
      <c r="L120" s="141">
        <f>courbes!J119</f>
        <v>9.75</v>
      </c>
      <c r="M120" s="139">
        <f t="shared" ca="1" si="6"/>
        <v>2.7427584849384944E+19</v>
      </c>
      <c r="N120" s="139">
        <f>courbes!U119</f>
        <v>9.75</v>
      </c>
      <c r="O120" s="139">
        <f t="shared" ca="1" si="7"/>
        <v>2.7424066845048938E+19</v>
      </c>
      <c r="P120" s="153"/>
      <c r="Q120" s="139">
        <f t="shared" ca="1" si="8"/>
        <v>0</v>
      </c>
      <c r="R120" s="153"/>
      <c r="S120" s="153"/>
    </row>
    <row r="121" spans="10:19" ht="13.5" thickBot="1">
      <c r="J121" s="138">
        <f>courbes!A120</f>
        <v>9.8333333333333339</v>
      </c>
      <c r="K121" s="139">
        <f t="shared" ca="1" si="5"/>
        <v>2.7390933145334231E+19</v>
      </c>
      <c r="L121" s="141">
        <f>courbes!J120</f>
        <v>9.8333333333333339</v>
      </c>
      <c r="M121" s="139">
        <f t="shared" ca="1" si="6"/>
        <v>2.7413695630538355E+19</v>
      </c>
      <c r="N121" s="139">
        <f>courbes!U120</f>
        <v>9.8333333333333339</v>
      </c>
      <c r="O121" s="139">
        <f t="shared" ca="1" si="7"/>
        <v>2.7410077959386149E+19</v>
      </c>
      <c r="P121" s="153"/>
      <c r="Q121" s="139">
        <f t="shared" ca="1" si="8"/>
        <v>0</v>
      </c>
      <c r="R121" s="153"/>
      <c r="S121" s="153"/>
    </row>
    <row r="122" spans="10:19" ht="13.5" thickBot="1">
      <c r="J122" s="138">
        <f>courbes!A121</f>
        <v>9.9166666666666661</v>
      </c>
      <c r="K122" s="139">
        <f t="shared" ca="1" si="5"/>
        <v>2.7377994788879974E+19</v>
      </c>
      <c r="L122" s="141">
        <f>courbes!J121</f>
        <v>9.9166666666666661</v>
      </c>
      <c r="M122" s="139">
        <f t="shared" ca="1" si="6"/>
        <v>2.7400186742279467E+19</v>
      </c>
      <c r="N122" s="139">
        <f>courbes!U121</f>
        <v>9.9166666666666661</v>
      </c>
      <c r="O122" s="139">
        <f t="shared" ca="1" si="7"/>
        <v>2.7396467637673103E+19</v>
      </c>
      <c r="P122" s="153"/>
      <c r="Q122" s="139">
        <f t="shared" ca="1" si="8"/>
        <v>0</v>
      </c>
      <c r="R122" s="153"/>
      <c r="S122" s="153"/>
    </row>
    <row r="123" spans="10:19" ht="13.5" thickBot="1">
      <c r="J123" s="138">
        <f>courbes!A122</f>
        <v>10</v>
      </c>
      <c r="K123" s="139">
        <f t="shared" ca="1" si="5"/>
        <v>2.7365429991777825E+19</v>
      </c>
      <c r="L123" s="141">
        <f>courbes!J122</f>
        <v>10</v>
      </c>
      <c r="M123" s="139">
        <f t="shared" ca="1" si="6"/>
        <v>2.7387045677474169E+19</v>
      </c>
      <c r="N123" s="139">
        <f>courbes!U122</f>
        <v>10</v>
      </c>
      <c r="O123" s="139">
        <f t="shared" ca="1" si="7"/>
        <v>2.7383223298423202E+19</v>
      </c>
      <c r="P123" s="153"/>
      <c r="Q123" s="139">
        <f t="shared" ca="1" si="8"/>
        <v>0</v>
      </c>
      <c r="R123" s="153"/>
      <c r="S123" s="153"/>
    </row>
    <row r="124" spans="10:19" ht="13.5" thickBot="1">
      <c r="J124" s="138">
        <f>courbes!A123</f>
        <v>10.083333333333334</v>
      </c>
      <c r="K124" s="139">
        <f t="shared" ca="1" si="5"/>
        <v>2.7353225843305304E+19</v>
      </c>
      <c r="L124" s="149"/>
      <c r="M124" s="150"/>
      <c r="N124" s="139">
        <f>courbes!U123</f>
        <v>10.083333333333334</v>
      </c>
      <c r="O124" s="139">
        <f t="shared" ca="1" si="7"/>
        <v>2.7370332470476947E+19</v>
      </c>
      <c r="P124" s="153"/>
      <c r="Q124" s="139">
        <f t="shared" ca="1" si="8"/>
        <v>0</v>
      </c>
      <c r="R124" s="153"/>
      <c r="S124" s="153"/>
    </row>
    <row r="125" spans="10:19" ht="13.5" thickBot="1">
      <c r="J125" s="138">
        <f>courbes!A124</f>
        <v>10.166666666666666</v>
      </c>
      <c r="K125" s="139">
        <f t="shared" ca="1" si="5"/>
        <v>2.7341369555852796E+19</v>
      </c>
      <c r="L125" s="149"/>
      <c r="M125" s="150"/>
      <c r="N125" s="139">
        <f>courbes!U124</f>
        <v>10.166666666666666</v>
      </c>
      <c r="O125" s="139">
        <f t="shared" ca="1" si="7"/>
        <v>2.7357782797304185E+19</v>
      </c>
      <c r="P125" s="153"/>
      <c r="Q125" s="139">
        <f t="shared" ca="1" si="8"/>
        <v>0</v>
      </c>
      <c r="R125" s="153"/>
      <c r="S125" s="153"/>
    </row>
    <row r="126" spans="10:19" ht="13.5" thickBot="1">
      <c r="J126" s="138">
        <f>courbes!A125</f>
        <v>10.25</v>
      </c>
      <c r="K126" s="139">
        <f t="shared" ca="1" si="5"/>
        <v>2.7329848468964143E+19</v>
      </c>
      <c r="L126" s="149"/>
      <c r="M126" s="150"/>
      <c r="N126" s="139">
        <f>courbes!U125</f>
        <v>10.25</v>
      </c>
      <c r="O126" s="139">
        <f t="shared" ca="1" si="7"/>
        <v>2.734556204102393E+19</v>
      </c>
      <c r="P126" s="153"/>
      <c r="Q126" s="139">
        <f t="shared" ca="1" si="8"/>
        <v>0</v>
      </c>
      <c r="R126" s="153"/>
      <c r="S126" s="153"/>
    </row>
    <row r="127" spans="10:19" ht="13.5" thickBot="1">
      <c r="J127" s="138">
        <f>courbes!A126</f>
        <v>10.333333333333334</v>
      </c>
      <c r="K127" s="139">
        <f t="shared" ca="1" si="5"/>
        <v>2.7318650053096034E+19</v>
      </c>
      <c r="L127" s="149"/>
      <c r="M127" s="150"/>
      <c r="N127" s="139">
        <f>courbes!U126</f>
        <v>10.333333333333334</v>
      </c>
      <c r="O127" s="139">
        <f t="shared" ca="1" si="7"/>
        <v>2.7333658086152905E+19</v>
      </c>
      <c r="P127" s="153"/>
      <c r="Q127" s="139">
        <f t="shared" ca="1" si="8"/>
        <v>0</v>
      </c>
      <c r="R127" s="153"/>
      <c r="S127" s="153"/>
    </row>
    <row r="128" spans="10:19" ht="13.5" thickBot="1">
      <c r="J128" s="138">
        <f>courbes!A127</f>
        <v>10.416666666666666</v>
      </c>
      <c r="K128" s="139">
        <f t="shared" ca="1" si="5"/>
        <v>2.7307761913107591E+19</v>
      </c>
      <c r="L128" s="149"/>
      <c r="M128" s="150"/>
      <c r="N128" s="139">
        <f>courbes!U127</f>
        <v>10.416666666666666</v>
      </c>
      <c r="O128" s="139">
        <f t="shared" ca="1" si="7"/>
        <v>2.7322058943093834E+19</v>
      </c>
      <c r="P128" s="153"/>
      <c r="Q128" s="139">
        <f t="shared" ca="1" si="8"/>
        <v>0</v>
      </c>
      <c r="R128" s="153"/>
      <c r="S128" s="153"/>
    </row>
    <row r="129" spans="10:19" ht="13.5" thickBot="1">
      <c r="J129" s="138">
        <f>courbes!A128</f>
        <v>10.5</v>
      </c>
      <c r="K129" s="139">
        <f t="shared" ca="1" si="5"/>
        <v>2.7297171791491133E+19</v>
      </c>
      <c r="L129" s="149"/>
      <c r="M129" s="150"/>
      <c r="N129" s="139">
        <f>courbes!U128</f>
        <v>10.5</v>
      </c>
      <c r="O129" s="139">
        <f t="shared" ca="1" si="7"/>
        <v>2.7310752751373668E+19</v>
      </c>
      <c r="P129" s="153"/>
      <c r="Q129" s="139">
        <f t="shared" ca="1" si="8"/>
        <v>0</v>
      </c>
      <c r="R129" s="153"/>
      <c r="S129" s="153"/>
    </row>
    <row r="130" spans="10:19" ht="13.5" thickBot="1">
      <c r="J130" s="138">
        <f>courbes!A129</f>
        <v>10.583333333333334</v>
      </c>
      <c r="K130" s="139">
        <f t="shared" ca="1" si="5"/>
        <v>2.7286867571354771E+19</v>
      </c>
      <c r="L130" s="149"/>
      <c r="M130" s="150"/>
      <c r="N130" s="139">
        <f>courbes!U129</f>
        <v>10.583333333333334</v>
      </c>
      <c r="O130" s="139">
        <f t="shared" ca="1" si="7"/>
        <v>2.729972778264209E+19</v>
      </c>
      <c r="P130" s="153"/>
      <c r="Q130" s="139">
        <f t="shared" ca="1" si="8"/>
        <v>0</v>
      </c>
      <c r="R130" s="153"/>
      <c r="S130" s="153"/>
    </row>
    <row r="131" spans="10:19" ht="13.5" thickBot="1">
      <c r="J131" s="138">
        <f>courbes!A130</f>
        <v>10.666666666666666</v>
      </c>
      <c r="K131" s="139">
        <f t="shared" ref="K131:K137" ca="1" si="9">INDIRECT("courbes!"&amp;INDEX($D$3:$H$10,MATCH($B$2,$C$3:$C$10,0),MATCH(K$1,$D$2:$H$2,0))&amp;ROW($J130))</f>
        <v>2.7276837279167033E+19</v>
      </c>
      <c r="L131" s="149"/>
      <c r="M131" s="150"/>
      <c r="N131" s="139">
        <f>courbes!U130</f>
        <v>10.666666666666666</v>
      </c>
      <c r="O131" s="139">
        <f t="shared" ref="O131:O137" ca="1" si="10">INDIRECT("courbes!"&amp;INDEX($D$3:$H$10,MATCH($B$2,$C$3:$C$10,0),MATCH(O$1,$D$2:$H$2,0))&amp;ROW($J130))</f>
        <v>2.7288972443439608E+19</v>
      </c>
      <c r="P131" s="153"/>
      <c r="Q131" s="139">
        <f t="shared" ref="Q131:Q137" ca="1" si="11">INDIRECT("courbes!"&amp;INDEX($D$3:$H$10,MATCH($B$2,$C$3:$C$10,0),MATCH(Q$1,$D$2:$H$2,0))&amp;ROW($J130))</f>
        <v>0</v>
      </c>
      <c r="R131" s="153"/>
      <c r="S131" s="153"/>
    </row>
    <row r="132" spans="10:19" ht="13.5" thickBot="1">
      <c r="J132" s="138">
        <f>courbes!A131</f>
        <v>10.75</v>
      </c>
      <c r="K132" s="139">
        <f t="shared" ca="1" si="9"/>
        <v>2.7267069087273435E+19</v>
      </c>
      <c r="L132" s="149"/>
      <c r="M132" s="150"/>
      <c r="N132" s="139">
        <f>courbes!U131</f>
        <v>10.75</v>
      </c>
      <c r="O132" s="139">
        <f t="shared" ca="1" si="10"/>
        <v>2.7278475277745439E+19</v>
      </c>
      <c r="P132" s="153"/>
      <c r="Q132" s="139">
        <f t="shared" ca="1" si="11"/>
        <v>0</v>
      </c>
      <c r="R132" s="153"/>
      <c r="S132" s="153"/>
    </row>
    <row r="133" spans="10:19" ht="13.5" thickBot="1">
      <c r="J133" s="138">
        <f>courbes!A132</f>
        <v>10.833333333333334</v>
      </c>
      <c r="K133" s="139">
        <f t="shared" ca="1" si="9"/>
        <v>2.7257551316194562E+19</v>
      </c>
      <c r="L133" s="149"/>
      <c r="M133" s="150"/>
      <c r="N133" s="139">
        <f>courbes!U132</f>
        <v>10.833333333333334</v>
      </c>
      <c r="O133" s="139">
        <f t="shared" ca="1" si="10"/>
        <v>2.7268224969313133E+19</v>
      </c>
      <c r="P133" s="153"/>
      <c r="Q133" s="139">
        <f t="shared" ca="1" si="11"/>
        <v>0</v>
      </c>
      <c r="R133" s="153"/>
      <c r="S133" s="153"/>
    </row>
    <row r="134" spans="10:19" ht="13.5" thickBot="1">
      <c r="J134" s="138">
        <f>courbes!A133</f>
        <v>10.916666666666666</v>
      </c>
      <c r="K134" s="139">
        <f t="shared" ca="1" si="9"/>
        <v>2.724827243671482E+19</v>
      </c>
      <c r="L134" s="149"/>
      <c r="M134" s="150"/>
      <c r="N134" s="139">
        <f>courbes!U133</f>
        <v>10.916666666666666</v>
      </c>
      <c r="O134" s="139">
        <f t="shared" ca="1" si="10"/>
        <v>2.7258210343803888E+19</v>
      </c>
      <c r="Q134" s="139">
        <f t="shared" ca="1" si="11"/>
        <v>0</v>
      </c>
    </row>
    <row r="135" spans="10:19" ht="13.5" thickBot="1">
      <c r="J135" s="138">
        <f>courbes!A134</f>
        <v>11</v>
      </c>
      <c r="K135" s="139">
        <f t="shared" ca="1" si="9"/>
        <v>2.7239221071770796E+19</v>
      </c>
      <c r="L135" s="149"/>
      <c r="M135" s="150"/>
      <c r="N135" s="139">
        <f>courbes!U134</f>
        <v>11</v>
      </c>
      <c r="O135" s="139">
        <f t="shared" ca="1" si="10"/>
        <v>2.7248420370725061E+19</v>
      </c>
      <c r="Q135" s="139">
        <f t="shared" ca="1" si="11"/>
        <v>0</v>
      </c>
    </row>
    <row r="136" spans="10:19" ht="13.5" thickBot="1">
      <c r="J136" s="138">
        <f>courbes!A135</f>
        <v>11.083333333333334</v>
      </c>
      <c r="K136" s="139">
        <f t="shared" ca="1" si="9"/>
        <v>2.7230385998147777E+19</v>
      </c>
      <c r="L136" s="149"/>
      <c r="M136" s="150"/>
      <c r="N136" s="139">
        <f>courbes!U135</f>
        <v>11.083333333333334</v>
      </c>
      <c r="O136" s="139">
        <f t="shared" ca="1" si="10"/>
        <v>2.7238844165182804E+19</v>
      </c>
      <c r="Q136" s="139">
        <f t="shared" ca="1" si="11"/>
        <v>0</v>
      </c>
    </row>
    <row r="137" spans="10:19">
      <c r="J137" s="138">
        <f>courbes!A136</f>
        <v>11.166666666666666</v>
      </c>
      <c r="K137" s="139">
        <f t="shared" ca="1" si="9"/>
        <v>2.7221756147992691E+19</v>
      </c>
      <c r="L137" s="149"/>
      <c r="M137" s="150"/>
      <c r="N137" s="139">
        <f>courbes!U136</f>
        <v>11.166666666666666</v>
      </c>
      <c r="O137" s="139">
        <f t="shared" ca="1" si="10"/>
        <v>2.7229470989455905E+19</v>
      </c>
      <c r="Q137" s="139">
        <f t="shared" ca="1" si="11"/>
        <v>0</v>
      </c>
    </row>
    <row r="178" spans="10:19">
      <c r="J178" s="145"/>
      <c r="K178" s="145"/>
      <c r="L178" s="145"/>
      <c r="M178" s="145"/>
      <c r="N178" s="149"/>
      <c r="O178" s="145"/>
      <c r="P178" s="145"/>
      <c r="Q178" s="145"/>
      <c r="R178" s="145"/>
      <c r="S178" s="145"/>
    </row>
    <row r="179" spans="10:19">
      <c r="J179" s="145"/>
      <c r="K179" s="145"/>
      <c r="L179" s="145"/>
      <c r="M179" s="145"/>
      <c r="N179" s="149"/>
      <c r="O179" s="145"/>
      <c r="P179" s="145"/>
      <c r="Q179" s="145"/>
      <c r="R179" s="145"/>
      <c r="S179" s="145"/>
    </row>
    <row r="180" spans="10:19">
      <c r="J180" s="145"/>
      <c r="K180" s="145"/>
      <c r="L180" s="145"/>
      <c r="M180" s="145"/>
      <c r="N180" s="149"/>
      <c r="O180" s="145"/>
      <c r="P180" s="145"/>
      <c r="Q180" s="145"/>
      <c r="R180" s="145"/>
      <c r="S180" s="145"/>
    </row>
    <row r="181" spans="10:19">
      <c r="J181" s="145"/>
      <c r="K181" s="145"/>
      <c r="L181" s="145"/>
      <c r="M181" s="145"/>
      <c r="N181" s="149"/>
      <c r="O181" s="145"/>
      <c r="P181" s="145"/>
      <c r="Q181" s="145"/>
      <c r="R181" s="145"/>
      <c r="S181" s="145"/>
    </row>
    <row r="182" spans="10:19">
      <c r="J182" s="145"/>
      <c r="K182" s="145"/>
      <c r="L182" s="145"/>
      <c r="M182" s="145"/>
      <c r="N182" s="149"/>
      <c r="O182" s="145"/>
      <c r="P182" s="145"/>
      <c r="Q182" s="145"/>
      <c r="R182" s="145"/>
      <c r="S182" s="145"/>
    </row>
    <row r="183" spans="10:19">
      <c r="J183" s="145"/>
      <c r="K183" s="145"/>
      <c r="L183" s="145"/>
      <c r="M183" s="145"/>
      <c r="N183" s="149"/>
      <c r="O183" s="145"/>
      <c r="P183" s="145"/>
      <c r="Q183" s="145"/>
      <c r="R183" s="145"/>
      <c r="S183" s="145"/>
    </row>
    <row r="184" spans="10:19">
      <c r="J184" s="145"/>
      <c r="K184" s="145"/>
      <c r="L184" s="145"/>
      <c r="M184" s="145"/>
      <c r="N184" s="149"/>
      <c r="O184" s="145"/>
      <c r="P184" s="145"/>
      <c r="Q184" s="145"/>
      <c r="R184" s="145"/>
      <c r="S184" s="145"/>
    </row>
    <row r="185" spans="10:19">
      <c r="J185" s="145"/>
      <c r="K185" s="145"/>
      <c r="L185" s="145"/>
      <c r="M185" s="145"/>
      <c r="N185" s="149"/>
      <c r="O185" s="145"/>
      <c r="P185" s="145"/>
      <c r="Q185" s="145"/>
      <c r="R185" s="145"/>
      <c r="S185" s="145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7" sqref="B27"/>
    </sheetView>
  </sheetViews>
  <sheetFormatPr baseColWidth="10" defaultColWidth="17.875" defaultRowHeight="12.75"/>
  <cols>
    <col min="1" max="1" width="5.25" style="145" bestFit="1" customWidth="1"/>
    <col min="2" max="2" width="33.75" style="137" bestFit="1" customWidth="1"/>
    <col min="3" max="4" width="9.125" style="137" customWidth="1"/>
    <col min="5" max="5" width="20.125" style="137" customWidth="1"/>
    <col min="6" max="8" width="9.125" style="145" customWidth="1"/>
    <col min="9" max="9" width="2.5" style="145" customWidth="1"/>
    <col min="10" max="10" width="11" style="146" customWidth="1"/>
    <col min="11" max="11" width="10.625" style="146" bestFit="1" customWidth="1"/>
    <col min="12" max="12" width="9.125" style="153" bestFit="1" customWidth="1"/>
    <col min="13" max="13" width="9.75" style="146" bestFit="1" customWidth="1"/>
    <col min="14" max="14" width="9.125" style="146" bestFit="1" customWidth="1"/>
    <col min="15" max="15" width="16.625" style="146" bestFit="1" customWidth="1"/>
    <col min="16" max="16" width="9.25" style="146" bestFit="1" customWidth="1"/>
    <col min="17" max="17" width="11.75" style="146" bestFit="1" customWidth="1"/>
    <col min="18" max="18" width="9.25" style="146" bestFit="1" customWidth="1"/>
    <col min="19" max="19" width="10.375" style="146" bestFit="1" customWidth="1"/>
    <col min="20" max="16384" width="17.875" style="145"/>
  </cols>
  <sheetData>
    <row r="1" spans="1:19" ht="13.5" thickBot="1">
      <c r="K1" s="146" t="s">
        <v>40</v>
      </c>
      <c r="M1" s="137" t="s">
        <v>258</v>
      </c>
      <c r="O1" s="145" t="s">
        <v>168</v>
      </c>
      <c r="Q1" s="145" t="s">
        <v>259</v>
      </c>
      <c r="S1" s="145" t="s">
        <v>260</v>
      </c>
    </row>
    <row r="2" spans="1:19" ht="24.75" thickBot="1">
      <c r="A2" s="145" t="s">
        <v>257</v>
      </c>
      <c r="B2" s="143" t="s">
        <v>15</v>
      </c>
      <c r="D2" s="137" t="s">
        <v>40</v>
      </c>
      <c r="E2" s="137" t="s">
        <v>258</v>
      </c>
      <c r="F2" s="145" t="s">
        <v>168</v>
      </c>
      <c r="G2" s="145" t="s">
        <v>259</v>
      </c>
      <c r="H2" s="145" t="s">
        <v>260</v>
      </c>
      <c r="J2" s="138" t="str">
        <f>courbes!A1</f>
        <v>t(y)</v>
      </c>
      <c r="K2" s="139" t="str">
        <f ca="1">INDIRECT("courbes!"&amp;INDEX($D$3:$H$10,MATCH($B$2,$C$3:$C$10,0),MATCH(K$1,$D$2:$H$2,0))&amp;ROW($J1))</f>
        <v>RK1 - U235</v>
      </c>
      <c r="L2" s="141" t="str">
        <f>courbes!J1</f>
        <v>t(y)</v>
      </c>
      <c r="M2" s="139" t="str">
        <f ca="1">INDIRECT("courbes!"&amp;INDEX($D$3:$H$10,MATCH($B$2,$C$3:$C$10,0),MATCH(M$1,$D$2:$H$2,0))&amp;ROW($J1))</f>
        <v>O5 - U235</v>
      </c>
      <c r="N2" s="139" t="str">
        <f>courbes!U1</f>
        <v>t(y)</v>
      </c>
      <c r="O2" s="139" t="str">
        <f ca="1">INDIRECT("courbes!"&amp;INDEX($D$3:$H$10,MATCH($B$2,$C$3:$C$10,0),MATCH(O$1,$D$2:$H$2,0))&amp;ROW($J1))</f>
        <v xml:space="preserve"> Exact Simpl. - U235</v>
      </c>
      <c r="P2" s="138" t="str">
        <f>courbes!AE1</f>
        <v>t(y)</v>
      </c>
      <c r="Q2" s="139" t="str">
        <f ca="1">INDIRECT("courbes!"&amp;INDEX($D$3:$H$10,MATCH($B$2,$C$3:$C$10,0),MATCH(Q$1,$D$2:$H$2,0))&amp;ROW($J1))</f>
        <v>DRAGON - U235</v>
      </c>
      <c r="R2" s="138" t="str">
        <f>courbes!AO1</f>
        <v>t(y)</v>
      </c>
      <c r="S2" s="139" t="str">
        <f ca="1">INDIRECT("courbes!"&amp;INDEX($D$3:$H$10,MATCH($B$2,$C$3:$C$10,0),MATCH(S$1,$D$2:$H$2,0))&amp;ROW($J1))</f>
        <v xml:space="preserve">VESTA - U235 </v>
      </c>
    </row>
    <row r="3" spans="1:19" ht="13.5" thickBot="1">
      <c r="C3" s="143" t="s">
        <v>7</v>
      </c>
      <c r="D3" s="137" t="s">
        <v>261</v>
      </c>
      <c r="E3" s="137" t="s">
        <v>192</v>
      </c>
      <c r="F3" s="145" t="s">
        <v>128</v>
      </c>
      <c r="G3" s="145" t="s">
        <v>262</v>
      </c>
      <c r="H3" s="145" t="s">
        <v>263</v>
      </c>
      <c r="J3" s="138" t="e">
        <f>courbes!A2</f>
        <v>#NAME?</v>
      </c>
      <c r="K3" s="139">
        <f t="shared" ref="K3:K66" ca="1" si="0">INDIRECT("courbes!"&amp;INDEX($D$3:$H$10,MATCH($B$2,$C$3:$C$10,0),MATCH(K$1,$D$2:$H$2,0))&amp;ROW($J2))</f>
        <v>8.8937324162937733E+19</v>
      </c>
      <c r="L3" s="141">
        <f>courbes!J2</f>
        <v>0</v>
      </c>
      <c r="M3" s="139">
        <f t="shared" ref="M3:M66" ca="1" si="1">INDIRECT("courbes!"&amp;INDEX($D$3:$H$10,MATCH($B$2,$C$3:$C$10,0),MATCH(M$1,$D$2:$H$2,0))&amp;ROW($J2))</f>
        <v>8.8937324162937733E+19</v>
      </c>
      <c r="N3" s="139">
        <f>courbes!U2</f>
        <v>0</v>
      </c>
      <c r="O3" s="139">
        <f t="shared" ref="O3:O66" ca="1" si="2">INDIRECT("courbes!"&amp;INDEX($D$3:$H$10,MATCH($B$2,$C$3:$C$10,0),MATCH(O$1,$D$2:$H$2,0))&amp;ROW($J2))</f>
        <v>8.8937324162937733E+19</v>
      </c>
      <c r="P3" s="138">
        <f>courbes!AE2</f>
        <v>0</v>
      </c>
      <c r="Q3" s="139">
        <f t="shared" ref="Q3:Q66" ca="1" si="3">INDIRECT("courbes!"&amp;INDEX($D$3:$H$10,MATCH($B$2,$C$3:$C$10,0),MATCH(Q$1,$D$2:$H$2,0))&amp;ROW($J2))</f>
        <v>8.8937324162937733E+19</v>
      </c>
      <c r="R3" s="138">
        <f>courbes!AO2</f>
        <v>0</v>
      </c>
      <c r="S3" s="139">
        <f t="shared" ref="S3:S9" ca="1" si="4">INDIRECT("courbes!"&amp;INDEX($D$3:$H$10,MATCH($B$2,$C$3:$C$10,0),MATCH(S$1,$D$2:$H$2,0))&amp;ROW($J2))</f>
        <v>8.8937324162937733E+19</v>
      </c>
    </row>
    <row r="4" spans="1:19" ht="13.5" thickBot="1">
      <c r="C4" s="143" t="s">
        <v>9</v>
      </c>
      <c r="D4" s="137" t="s">
        <v>264</v>
      </c>
      <c r="E4" s="137" t="s">
        <v>265</v>
      </c>
      <c r="F4" s="145" t="s">
        <v>266</v>
      </c>
      <c r="G4" s="145" t="s">
        <v>268</v>
      </c>
      <c r="H4" s="145" t="s">
        <v>269</v>
      </c>
      <c r="J4" s="138">
        <f>courbes!A3</f>
        <v>8.3333333333333329E-2</v>
      </c>
      <c r="K4" s="139">
        <f t="shared" ca="1" si="0"/>
        <v>8.7038360898539028E+19</v>
      </c>
      <c r="L4" s="141">
        <f>courbes!J3</f>
        <v>8.3333333333333329E-2</v>
      </c>
      <c r="M4" s="139">
        <f t="shared" ca="1" si="1"/>
        <v>8.7058541148012282E+19</v>
      </c>
      <c r="N4" s="139">
        <f>courbes!U3</f>
        <v>8.3333333333333329E-2</v>
      </c>
      <c r="O4" s="139">
        <f t="shared" ca="1" si="2"/>
        <v>8.7053382330057064E+19</v>
      </c>
      <c r="P4" s="138">
        <f>courbes!AE3</f>
        <v>0.2</v>
      </c>
      <c r="Q4" s="139">
        <f t="shared" ca="1" si="3"/>
        <v>8.4943587676259123E+19</v>
      </c>
      <c r="R4" s="138">
        <f>courbes!AO3</f>
        <v>0.13689999999999999</v>
      </c>
      <c r="S4" s="139">
        <f t="shared" ca="1" si="4"/>
        <v>8.58863158607495E+19</v>
      </c>
    </row>
    <row r="5" spans="1:19" ht="13.5" thickBot="1">
      <c r="C5" s="143" t="s">
        <v>10</v>
      </c>
      <c r="D5" s="137" t="s">
        <v>270</v>
      </c>
      <c r="E5" s="137" t="s">
        <v>276</v>
      </c>
      <c r="F5" s="145" t="s">
        <v>129</v>
      </c>
      <c r="G5" s="145" t="s">
        <v>287</v>
      </c>
      <c r="H5" s="145" t="s">
        <v>267</v>
      </c>
      <c r="J5" s="138">
        <f>courbes!A4</f>
        <v>0.16666666666666666</v>
      </c>
      <c r="K5" s="139">
        <f t="shared" ca="1" si="0"/>
        <v>8.5180046723846177E+19</v>
      </c>
      <c r="L5" s="141">
        <f>courbes!J4</f>
        <v>0.16666666666666666</v>
      </c>
      <c r="M5" s="139">
        <f t="shared" ca="1" si="1"/>
        <v>8.5219547583508103E+19</v>
      </c>
      <c r="N5" s="139">
        <f>courbes!U4</f>
        <v>0.16666666666666666</v>
      </c>
      <c r="O5" s="139">
        <f t="shared" ca="1" si="2"/>
        <v>8.5209347666220237E+19</v>
      </c>
      <c r="P5" s="138">
        <f>courbes!AE4</f>
        <v>0.4</v>
      </c>
      <c r="Q5" s="139">
        <f t="shared" ca="1" si="3"/>
        <v>8.1117714019143205E+19</v>
      </c>
      <c r="R5" s="138">
        <f>courbes!AO4</f>
        <v>0.41070000000000001</v>
      </c>
      <c r="S5" s="139">
        <f t="shared" ca="1" si="4"/>
        <v>8.0086807161689129E+19</v>
      </c>
    </row>
    <row r="6" spans="1:19" ht="13.5" thickBot="1">
      <c r="C6" s="143" t="s">
        <v>11</v>
      </c>
      <c r="D6" s="137" t="s">
        <v>271</v>
      </c>
      <c r="E6" s="137" t="s">
        <v>277</v>
      </c>
      <c r="F6" s="145" t="s">
        <v>282</v>
      </c>
      <c r="G6" s="145" t="s">
        <v>288</v>
      </c>
      <c r="H6" s="145" t="s">
        <v>293</v>
      </c>
      <c r="J6" s="138">
        <f>courbes!A5</f>
        <v>0.25</v>
      </c>
      <c r="K6" s="139">
        <f t="shared" ca="1" si="0"/>
        <v>8.3361511226925384E+19</v>
      </c>
      <c r="L6" s="141">
        <f>courbes!J5</f>
        <v>0.25</v>
      </c>
      <c r="M6" s="139">
        <f t="shared" ca="1" si="1"/>
        <v>8.3419500516275012E+19</v>
      </c>
      <c r="N6" s="139">
        <f>courbes!U5</f>
        <v>0.25</v>
      </c>
      <c r="O6" s="139">
        <f t="shared" ca="1" si="2"/>
        <v>8.3404374825720037E+19</v>
      </c>
      <c r="P6" s="138">
        <f>courbes!AE5</f>
        <v>0.6</v>
      </c>
      <c r="Q6" s="139">
        <f t="shared" ca="1" si="3"/>
        <v>7.7447712989478322E+19</v>
      </c>
      <c r="R6" s="138">
        <f>courbes!AO5</f>
        <v>0.99929999999999997</v>
      </c>
      <c r="S6" s="139">
        <f t="shared" ca="1" si="4"/>
        <v>6.8945873163047076E+19</v>
      </c>
    </row>
    <row r="7" spans="1:19" ht="13.5" thickBot="1">
      <c r="C7" s="143" t="s">
        <v>13</v>
      </c>
      <c r="D7" s="137" t="s">
        <v>272</v>
      </c>
      <c r="E7" s="137" t="s">
        <v>278</v>
      </c>
      <c r="F7" s="145" t="s">
        <v>283</v>
      </c>
      <c r="G7" s="145" t="s">
        <v>289</v>
      </c>
      <c r="H7" s="145" t="s">
        <v>294</v>
      </c>
      <c r="J7" s="138">
        <f>courbes!A6</f>
        <v>0.33333333333333331</v>
      </c>
      <c r="K7" s="139">
        <f t="shared" ca="1" si="0"/>
        <v>8.1581902634287006E+19</v>
      </c>
      <c r="L7" s="141">
        <f>courbes!J6</f>
        <v>0.33333333333333331</v>
      </c>
      <c r="M7" s="139">
        <f t="shared" ca="1" si="1"/>
        <v>8.1657574833394631E+19</v>
      </c>
      <c r="N7" s="139">
        <f>courbes!U6</f>
        <v>0.33333333333333331</v>
      </c>
      <c r="O7" s="139">
        <f t="shared" ca="1" si="2"/>
        <v>8.1637636369640964E+19</v>
      </c>
      <c r="P7" s="138">
        <f>courbes!AE6</f>
        <v>0.8</v>
      </c>
      <c r="Q7" s="139">
        <f t="shared" ca="1" si="3"/>
        <v>7.3928588669718004E+19</v>
      </c>
      <c r="R7" s="138">
        <f>courbes!AO6</f>
        <v>1.9990000000000001</v>
      </c>
      <c r="S7" s="139">
        <f t="shared" ca="1" si="4"/>
        <v>5.3561185406970372E+19</v>
      </c>
    </row>
    <row r="8" spans="1:19" ht="13.5" thickBot="1">
      <c r="C8" s="143" t="s">
        <v>14</v>
      </c>
      <c r="D8" s="137" t="s">
        <v>273</v>
      </c>
      <c r="E8" s="137" t="s">
        <v>279</v>
      </c>
      <c r="F8" s="145" t="s">
        <v>284</v>
      </c>
      <c r="G8" s="145" t="s">
        <v>290</v>
      </c>
      <c r="H8" s="145" t="s">
        <v>295</v>
      </c>
      <c r="J8" s="138">
        <f>courbes!A7</f>
        <v>0.41666666666666669</v>
      </c>
      <c r="K8" s="139">
        <f t="shared" ca="1" si="0"/>
        <v>7.9840387411779437E+19</v>
      </c>
      <c r="L8" s="141">
        <f>courbes!J7</f>
        <v>0.41666666666666669</v>
      </c>
      <c r="M8" s="139">
        <f t="shared" ca="1" si="1"/>
        <v>7.9932962863074492E+19</v>
      </c>
      <c r="N8" s="139">
        <f>courbes!U7</f>
        <v>0.41666666666666669</v>
      </c>
      <c r="O8" s="139">
        <f t="shared" ca="1" si="2"/>
        <v>7.9908322386543198E+19</v>
      </c>
      <c r="P8" s="138">
        <f>courbes!AE7</f>
        <v>1</v>
      </c>
      <c r="Q8" s="139">
        <f t="shared" ca="1" si="3"/>
        <v>7.0555345142315713E+19</v>
      </c>
      <c r="R8" s="138">
        <f>courbes!AO7</f>
        <v>4.9989999999999997</v>
      </c>
      <c r="S8" s="139">
        <f t="shared" ca="1" si="4"/>
        <v>2.5168657722300748E+19</v>
      </c>
    </row>
    <row r="9" spans="1:19" ht="13.5" thickBot="1">
      <c r="C9" s="143" t="s">
        <v>15</v>
      </c>
      <c r="D9" s="137" t="s">
        <v>274</v>
      </c>
      <c r="E9" s="137" t="s">
        <v>280</v>
      </c>
      <c r="F9" s="145" t="s">
        <v>285</v>
      </c>
      <c r="G9" s="145" t="s">
        <v>291</v>
      </c>
      <c r="H9" s="145" t="s">
        <v>297</v>
      </c>
      <c r="J9" s="138">
        <f>courbes!A8</f>
        <v>0.5</v>
      </c>
      <c r="K9" s="139">
        <f t="shared" ca="1" si="0"/>
        <v>7.8136149874028872E+19</v>
      </c>
      <c r="L9" s="141">
        <f>courbes!J8</f>
        <v>0.5</v>
      </c>
      <c r="M9" s="139">
        <f t="shared" ca="1" si="1"/>
        <v>7.8244873975541776E+19</v>
      </c>
      <c r="N9" s="139">
        <f>courbes!U8</f>
        <v>0.5</v>
      </c>
      <c r="O9" s="139">
        <f t="shared" ca="1" si="2"/>
        <v>7.8215640121181553E+19</v>
      </c>
      <c r="P9" s="138">
        <f>courbes!AE8</f>
        <v>1.2</v>
      </c>
      <c r="Q9" s="139">
        <f t="shared" ca="1" si="3"/>
        <v>6.7320988122706354E+19</v>
      </c>
      <c r="R9" s="138">
        <f>courbes!AO8</f>
        <v>9.9990000000000006</v>
      </c>
      <c r="S9" s="139">
        <f t="shared" ca="1" si="4"/>
        <v>7.4529304786881649E+18</v>
      </c>
    </row>
    <row r="10" spans="1:19" ht="13.5" thickBot="1">
      <c r="A10" s="145" t="s">
        <v>253</v>
      </c>
      <c r="B10" s="161" t="str">
        <f>"Comparaison des modèles pour le "&amp;B2</f>
        <v>Comparaison des modèles pour le U235</v>
      </c>
      <c r="C10" s="143" t="s">
        <v>16</v>
      </c>
      <c r="D10" s="137" t="s">
        <v>275</v>
      </c>
      <c r="E10" s="137" t="s">
        <v>281</v>
      </c>
      <c r="F10" s="145" t="s">
        <v>286</v>
      </c>
      <c r="G10" s="145" t="s">
        <v>292</v>
      </c>
      <c r="H10" s="145" t="s">
        <v>296</v>
      </c>
      <c r="J10" s="138">
        <f>courbes!A9</f>
        <v>0.58333333333333337</v>
      </c>
      <c r="K10" s="139">
        <f t="shared" ca="1" si="0"/>
        <v>7.646839180224222E+19</v>
      </c>
      <c r="L10" s="141">
        <f>courbes!J9</f>
        <v>0.58333333333333337</v>
      </c>
      <c r="M10" s="139">
        <f t="shared" ca="1" si="1"/>
        <v>7.6592534183937196E+19</v>
      </c>
      <c r="N10" s="139">
        <f>courbes!U9</f>
        <v>0.58333333333333337</v>
      </c>
      <c r="O10" s="139">
        <f t="shared" ca="1" si="2"/>
        <v>7.6558813611089199E+19</v>
      </c>
      <c r="P10" s="138">
        <f>courbes!AE9</f>
        <v>1.4</v>
      </c>
      <c r="Q10" s="139">
        <f t="shared" ca="1" si="3"/>
        <v>6.4222520060362015E+19</v>
      </c>
      <c r="S10" s="144"/>
    </row>
    <row r="11" spans="1:19" ht="13.5" thickBot="1">
      <c r="A11" s="145" t="s">
        <v>254</v>
      </c>
      <c r="B11" s="161" t="s">
        <v>256</v>
      </c>
      <c r="C11" s="161"/>
      <c r="D11" s="161"/>
      <c r="E11" s="161"/>
      <c r="J11" s="138">
        <f>courbes!A10</f>
        <v>0.66666666666666663</v>
      </c>
      <c r="K11" s="139">
        <f t="shared" ca="1" si="0"/>
        <v>7.4836332070193693E+19</v>
      </c>
      <c r="L11" s="141">
        <f>courbes!J10</f>
        <v>0.66666666666666663</v>
      </c>
      <c r="M11" s="139">
        <f t="shared" ca="1" si="1"/>
        <v>7.4975185745208984E+19</v>
      </c>
      <c r="N11" s="139">
        <f>courbes!U10</f>
        <v>0.66666666666666663</v>
      </c>
      <c r="O11" s="139">
        <f t="shared" ca="1" si="2"/>
        <v>7.493708333085945E+19</v>
      </c>
      <c r="P11" s="138">
        <f>courbes!AE10</f>
        <v>1.6</v>
      </c>
      <c r="Q11" s="139">
        <f t="shared" ca="1" si="3"/>
        <v>6.1252946670717583E+19</v>
      </c>
    </row>
    <row r="12" spans="1:19" ht="18" thickBot="1">
      <c r="A12" s="145" t="s">
        <v>255</v>
      </c>
      <c r="B12" s="169" t="s">
        <v>299</v>
      </c>
      <c r="C12" s="161"/>
      <c r="D12" s="161"/>
      <c r="E12" s="161"/>
      <c r="J12" s="138">
        <f>courbes!A11</f>
        <v>0.75</v>
      </c>
      <c r="K12" s="139">
        <f t="shared" ca="1" si="0"/>
        <v>7.3239206278220169E+19</v>
      </c>
      <c r="L12" s="141">
        <f>courbes!J11</f>
        <v>0.75</v>
      </c>
      <c r="M12" s="139">
        <f t="shared" ca="1" si="1"/>
        <v>7.3392086761006711E+19</v>
      </c>
      <c r="N12" s="139">
        <f>courbes!U11</f>
        <v>0.75</v>
      </c>
      <c r="O12" s="139">
        <f t="shared" ca="1" si="2"/>
        <v>7.3349705843962864E+19</v>
      </c>
      <c r="P12" s="138">
        <f>courbes!AE11</f>
        <v>1.8</v>
      </c>
      <c r="Q12" s="139">
        <f t="shared" ca="1" si="3"/>
        <v>5.8409270403245154E+19</v>
      </c>
    </row>
    <row r="13" spans="1:19" ht="13.5" thickBot="1">
      <c r="J13" s="138">
        <f>courbes!A12</f>
        <v>0.83333333333333337</v>
      </c>
      <c r="K13" s="139">
        <f t="shared" ca="1" si="0"/>
        <v>7.1676266395053728E+19</v>
      </c>
      <c r="L13" s="141">
        <f>courbes!J12</f>
        <v>0.83333333333333337</v>
      </c>
      <c r="M13" s="139">
        <f t="shared" ca="1" si="1"/>
        <v>7.18425107785752E+19</v>
      </c>
      <c r="N13" s="139">
        <f>courbes!U12</f>
        <v>0.83333333333333337</v>
      </c>
      <c r="O13" s="139">
        <f t="shared" ca="1" si="2"/>
        <v>7.1795953461939675E+19</v>
      </c>
      <c r="P13" s="138">
        <f>courbes!AE12</f>
        <v>2</v>
      </c>
      <c r="Q13" s="139">
        <f t="shared" ca="1" si="3"/>
        <v>5.5685496156888916E+19</v>
      </c>
    </row>
    <row r="14" spans="1:19" ht="13.5" thickBot="1">
      <c r="J14" s="138">
        <f>courbes!A13</f>
        <v>0.91666666666666663</v>
      </c>
      <c r="K14" s="139">
        <f t="shared" ca="1" si="0"/>
        <v>7.0146780407323435E+19</v>
      </c>
      <c r="L14" s="141">
        <f>courbes!J13</f>
        <v>0.91666666666666663</v>
      </c>
      <c r="M14" s="139">
        <f t="shared" ca="1" si="1"/>
        <v>7.0325746391648403E+19</v>
      </c>
      <c r="N14" s="139">
        <f>courbes!U13</f>
        <v>0.91666666666666663</v>
      </c>
      <c r="O14" s="139">
        <f t="shared" ca="1" si="2"/>
        <v>7.0275113910811517E+19</v>
      </c>
      <c r="P14" s="138">
        <f>courbes!AE13</f>
        <v>2.2000000000000002</v>
      </c>
      <c r="Q14" s="139">
        <f t="shared" ca="1" si="3"/>
        <v>5.3078626381120979E+19</v>
      </c>
    </row>
    <row r="15" spans="1:19" ht="13.5" thickBot="1">
      <c r="J15" s="138">
        <f>courbes!A14</f>
        <v>1</v>
      </c>
      <c r="K15" s="139">
        <f t="shared" ca="1" si="0"/>
        <v>6.8650031976562369E+19</v>
      </c>
      <c r="L15" s="141">
        <f>courbes!J14</f>
        <v>1</v>
      </c>
      <c r="M15" s="139">
        <f t="shared" ca="1" si="1"/>
        <v>6.8841096841343312E+19</v>
      </c>
      <c r="N15" s="139">
        <f>courbes!U14</f>
        <v>1</v>
      </c>
      <c r="O15" s="139">
        <f t="shared" ca="1" si="2"/>
        <v>6.878649000455952E+19</v>
      </c>
      <c r="P15" s="138">
        <f>courbes!AE14</f>
        <v>2.4</v>
      </c>
      <c r="Q15" s="139">
        <f t="shared" ca="1" si="3"/>
        <v>5.0582665974885515E+19</v>
      </c>
    </row>
    <row r="16" spans="1:19" ht="13.5" thickBot="1">
      <c r="J16" s="138">
        <f>courbes!A15</f>
        <v>1.0833333333333333</v>
      </c>
      <c r="K16" s="139">
        <f t="shared" ca="1" si="0"/>
        <v>6.7185320103559004E+19</v>
      </c>
      <c r="L16" s="141">
        <f>courbes!J15</f>
        <v>1.0833333333333333</v>
      </c>
      <c r="M16" s="139">
        <f t="shared" ca="1" si="1"/>
        <v>6.7387901249598177E+19</v>
      </c>
      <c r="N16" s="139">
        <f>courbes!U15</f>
        <v>1.0833333333333333</v>
      </c>
      <c r="O16" s="139">
        <f t="shared" ca="1" si="2"/>
        <v>6.7329399325519053E+19</v>
      </c>
      <c r="P16" s="138">
        <f>courbes!AE15</f>
        <v>2.6</v>
      </c>
      <c r="Q16" s="139">
        <f t="shared" ca="1" si="3"/>
        <v>4.8194617387654627E+19</v>
      </c>
    </row>
    <row r="17" spans="10:19" ht="13.5" thickBot="1">
      <c r="J17" s="138">
        <f>courbes!A16</f>
        <v>1.1666666666666667</v>
      </c>
      <c r="K17" s="139">
        <f t="shared" ca="1" si="0"/>
        <v>6.5751958799895765E+19</v>
      </c>
      <c r="L17" s="141">
        <f>courbes!J16</f>
        <v>1.1666666666666667</v>
      </c>
      <c r="M17" s="139">
        <f t="shared" ca="1" si="1"/>
        <v>6.5965478990608884E+19</v>
      </c>
      <c r="N17" s="139">
        <f>courbes!U16</f>
        <v>1.1666666666666667</v>
      </c>
      <c r="O17" s="139">
        <f t="shared" ca="1" si="2"/>
        <v>6.5903173911544521E+19</v>
      </c>
      <c r="P17" s="138">
        <f>courbes!AE16</f>
        <v>2.8</v>
      </c>
      <c r="Q17" s="139">
        <f t="shared" ca="1" si="3"/>
        <v>4.5909484701881811E+19</v>
      </c>
    </row>
    <row r="18" spans="10:19" ht="13.5" thickBot="1">
      <c r="J18" s="138">
        <f>courbes!A17</f>
        <v>1.25</v>
      </c>
      <c r="K18" s="139">
        <f t="shared" ca="1" si="0"/>
        <v>6.4349276766520877E+19</v>
      </c>
      <c r="L18" s="141">
        <f>courbes!J17</f>
        <v>1.25</v>
      </c>
      <c r="M18" s="139">
        <f t="shared" ca="1" si="1"/>
        <v>6.4573178126032019E+19</v>
      </c>
      <c r="N18" s="139">
        <f>courbes!U17</f>
        <v>1.25</v>
      </c>
      <c r="O18" s="139">
        <f t="shared" ca="1" si="2"/>
        <v>6.4507159949801021E+19</v>
      </c>
      <c r="P18" s="138">
        <f>courbes!AE17</f>
        <v>3</v>
      </c>
      <c r="Q18" s="139">
        <f t="shared" ca="1" si="3"/>
        <v>4.3724270367039152E+19</v>
      </c>
      <c r="R18" s="145"/>
      <c r="S18" s="145"/>
    </row>
    <row r="19" spans="10:19" ht="13.5" thickBot="1">
      <c r="J19" s="138">
        <f>courbes!A18</f>
        <v>1.3333333333333333</v>
      </c>
      <c r="K19" s="139">
        <f t="shared" ca="1" si="0"/>
        <v>6.2976617079202865E+19</v>
      </c>
      <c r="L19" s="141">
        <f>courbes!J18</f>
        <v>1.3333333333333333</v>
      </c>
      <c r="M19" s="139">
        <f t="shared" ca="1" si="1"/>
        <v>6.3210360515172794E+19</v>
      </c>
      <c r="N19" s="139">
        <f>courbes!U18</f>
        <v>1.3333333333333333</v>
      </c>
      <c r="O19" s="139">
        <f t="shared" ca="1" si="2"/>
        <v>6.3140717477042233E+19</v>
      </c>
      <c r="P19" s="138">
        <f>courbes!AE18</f>
        <v>3.2</v>
      </c>
      <c r="Q19" s="139">
        <f t="shared" ca="1" si="3"/>
        <v>4.1634977649089454E+19</v>
      </c>
      <c r="R19" s="145"/>
      <c r="S19" s="145"/>
    </row>
    <row r="20" spans="10:19" ht="13.5" thickBot="1">
      <c r="J20" s="138">
        <f>courbes!A19</f>
        <v>1.4166666666666667</v>
      </c>
      <c r="K20" s="139">
        <f t="shared" ca="1" si="0"/>
        <v>6.1633336880720347E+19</v>
      </c>
      <c r="L20" s="141">
        <f>courbes!J19</f>
        <v>1.4166666666666667</v>
      </c>
      <c r="M20" s="139">
        <f t="shared" ca="1" si="1"/>
        <v>6.1876401506314822E+19</v>
      </c>
      <c r="N20" s="139">
        <f>courbes!U19</f>
        <v>1.4166666666666667</v>
      </c>
      <c r="O20" s="139">
        <f t="shared" ca="1" si="2"/>
        <v>6.1803220086237323E+19</v>
      </c>
      <c r="P20" s="138">
        <f>courbes!AE19</f>
        <v>3.4</v>
      </c>
      <c r="Q20" s="139">
        <f t="shared" ca="1" si="3"/>
        <v>3.9636610630486204E+19</v>
      </c>
      <c r="R20" s="145"/>
      <c r="S20" s="145"/>
    </row>
    <row r="21" spans="10:19" ht="13.5" thickBot="1">
      <c r="J21" s="138">
        <f>courbes!A20</f>
        <v>1.5</v>
      </c>
      <c r="K21" s="139">
        <f t="shared" ca="1" si="0"/>
        <v>6.0318807079642907E+19</v>
      </c>
      <c r="L21" s="141">
        <f>courbes!J20</f>
        <v>1.5</v>
      </c>
      <c r="M21" s="139">
        <f t="shared" ca="1" si="1"/>
        <v>6.0570689628049744E+19</v>
      </c>
      <c r="N21" s="139">
        <f>courbes!U20</f>
        <v>1.5</v>
      </c>
      <c r="O21" s="139">
        <f t="shared" ca="1" si="2"/>
        <v>6.0494054639412314E+19</v>
      </c>
      <c r="P21" s="138">
        <f>courbes!AE20</f>
        <v>3.6</v>
      </c>
      <c r="Q21" s="139">
        <f t="shared" ca="1" si="3"/>
        <v>3.7726171760701489E+19</v>
      </c>
      <c r="R21" s="145"/>
      <c r="S21" s="145"/>
    </row>
    <row r="22" spans="10:19" ht="13.5" thickBot="1">
      <c r="J22" s="138">
        <f>courbes!A21</f>
        <v>1.5833333333333333</v>
      </c>
      <c r="K22" s="139">
        <f t="shared" ca="1" si="0"/>
        <v>5.9032412055561888E+19</v>
      </c>
      <c r="L22" s="141">
        <f>courbes!J21</f>
        <v>1.5833333333333333</v>
      </c>
      <c r="M22" s="139">
        <f t="shared" ca="1" si="1"/>
        <v>5.9292626280606876E+19</v>
      </c>
      <c r="N22" s="139">
        <f>courbes!U21</f>
        <v>1.5833333333333333</v>
      </c>
      <c r="O22" s="139">
        <f t="shared" ca="1" si="2"/>
        <v>5.9212620986574242E+19</v>
      </c>
      <c r="P22" s="138">
        <f>courbes!AE21</f>
        <v>3.8</v>
      </c>
      <c r="Q22" s="139">
        <f t="shared" ca="1" si="3"/>
        <v>3.5901662672716722E+19</v>
      </c>
      <c r="R22" s="145"/>
      <c r="S22" s="145"/>
    </row>
    <row r="23" spans="10:19" ht="13.5" thickBot="1">
      <c r="J23" s="138">
        <f>courbes!A22</f>
        <v>1.6666666666666667</v>
      </c>
      <c r="K23" s="139">
        <f t="shared" ca="1" si="0"/>
        <v>5.7773549370633044E+19</v>
      </c>
      <c r="L23" s="141">
        <f>courbes!J22</f>
        <v>1.6666666666666667</v>
      </c>
      <c r="M23" s="139">
        <f t="shared" ca="1" si="1"/>
        <v>5.8041625427182952E+19</v>
      </c>
      <c r="N23" s="139">
        <f>courbes!U22</f>
        <v>1.6666666666666667</v>
      </c>
      <c r="O23" s="139">
        <f t="shared" ca="1" si="2"/>
        <v>5.7958331690589307E+19</v>
      </c>
      <c r="P23" s="138">
        <f>courbes!AE22</f>
        <v>4</v>
      </c>
      <c r="Q23" s="139">
        <f t="shared" ca="1" si="3"/>
        <v>3.4157088265476084E+19</v>
      </c>
      <c r="R23" s="145"/>
      <c r="S23" s="145"/>
    </row>
    <row r="24" spans="10:19" ht="13.5" thickBot="1">
      <c r="J24" s="138">
        <f>courbes!A23</f>
        <v>1.75</v>
      </c>
      <c r="K24" s="139">
        <f t="shared" ca="1" si="0"/>
        <v>5.6541629487295857E+19</v>
      </c>
      <c r="L24" s="141">
        <f>courbes!J23</f>
        <v>1.75</v>
      </c>
      <c r="M24" s="139">
        <f t="shared" ca="1" si="1"/>
        <v>5.681711328527174E+19</v>
      </c>
      <c r="N24" s="139">
        <f>courbes!U23</f>
        <v>1.75</v>
      </c>
      <c r="O24" s="139">
        <f t="shared" ca="1" si="2"/>
        <v>5.6730611757888913E+19</v>
      </c>
      <c r="P24" s="138">
        <f>courbes!AE23</f>
        <v>4.2</v>
      </c>
      <c r="Q24" s="139">
        <f t="shared" ca="1" si="3"/>
        <v>3.2491449355470275E+19</v>
      </c>
      <c r="R24" s="145"/>
      <c r="S24" s="145"/>
    </row>
    <row r="25" spans="10:19" ht="13.5" thickBot="1">
      <c r="J25" s="138">
        <f>courbes!A24</f>
        <v>1.8333333333333333</v>
      </c>
      <c r="K25" s="139">
        <f t="shared" ca="1" si="0"/>
        <v>5.533607549203728E+19</v>
      </c>
      <c r="L25" s="141">
        <f>courbes!J24</f>
        <v>1.8333333333333333</v>
      </c>
      <c r="M25" s="139">
        <f t="shared" ca="1" si="1"/>
        <v>5.5618528017993736E+19</v>
      </c>
      <c r="N25" s="139">
        <f>courbes!U24</f>
        <v>1.8333333333333333</v>
      </c>
      <c r="O25" s="139">
        <f t="shared" ca="1" si="2"/>
        <v>5.5528898374880059E+19</v>
      </c>
      <c r="P25" s="138">
        <f>courbes!AE24</f>
        <v>4.4000000000000004</v>
      </c>
      <c r="Q25" s="139">
        <f t="shared" ca="1" si="3"/>
        <v>3.0900749208662086E+19</v>
      </c>
      <c r="R25" s="145"/>
      <c r="S25" s="145"/>
    </row>
    <row r="26" spans="10:19" ht="13.5" thickBot="1">
      <c r="J26" s="138">
        <f>courbes!A25</f>
        <v>1.9166666666666667</v>
      </c>
      <c r="K26" s="139">
        <f t="shared" ca="1" si="0"/>
        <v>5.4156322825070477E+19</v>
      </c>
      <c r="L26" s="141">
        <f>courbes!J25</f>
        <v>1.9166666666666667</v>
      </c>
      <c r="M26" s="139">
        <f t="shared" ca="1" si="1"/>
        <v>5.4445319425425826E+19</v>
      </c>
      <c r="N26" s="139">
        <f>courbes!U25</f>
        <v>1.9166666666666667</v>
      </c>
      <c r="O26" s="139">
        <f t="shared" ca="1" si="2"/>
        <v>5.4352640649939304E+19</v>
      </c>
      <c r="P26" s="138">
        <f>courbes!AE25</f>
        <v>4.5999999999999996</v>
      </c>
      <c r="Q26" s="139">
        <f t="shared" ca="1" si="3"/>
        <v>2.9381990274523611E+19</v>
      </c>
      <c r="R26" s="145"/>
      <c r="S26" s="145"/>
    </row>
    <row r="27" spans="10:19" ht="13.5" thickBot="1">
      <c r="J27" s="138">
        <f>courbes!A26</f>
        <v>2</v>
      </c>
      <c r="K27" s="139">
        <f t="shared" ca="1" si="0"/>
        <v>5.3001819015801881E+19</v>
      </c>
      <c r="L27" s="141">
        <f>courbes!J26</f>
        <v>2</v>
      </c>
      <c r="M27" s="139">
        <f t="shared" ca="1" si="1"/>
        <v>5.3296948635930984E+19</v>
      </c>
      <c r="N27" s="139">
        <f>courbes!U26</f>
        <v>2</v>
      </c>
      <c r="O27" s="139">
        <f t="shared" ca="1" si="2"/>
        <v>5.3201299360872022E+19</v>
      </c>
      <c r="P27" s="138">
        <f>courbes!AE26</f>
        <v>4.8</v>
      </c>
      <c r="Q27" s="139">
        <f t="shared" ca="1" si="3"/>
        <v>2.7932175002526953E+19</v>
      </c>
      <c r="R27" s="145"/>
      <c r="S27" s="145"/>
    </row>
    <row r="28" spans="10:19" ht="13.5" thickBot="1">
      <c r="J28" s="138">
        <f>courbes!A27</f>
        <v>2.0833333333333335</v>
      </c>
      <c r="K28" s="139">
        <f t="shared" ca="1" si="0"/>
        <v>5.1872023423962694E+19</v>
      </c>
      <c r="L28" s="141">
        <f>courbes!J27</f>
        <v>2.0833333333333335</v>
      </c>
      <c r="M28" s="139">
        <f t="shared" ca="1" si="1"/>
        <v>5.2172904528232202E+19</v>
      </c>
      <c r="N28" s="139">
        <f>courbes!U27</f>
        <v>2.0833333333333335</v>
      </c>
      <c r="O28" s="139">
        <f t="shared" ca="1" si="2"/>
        <v>5.2074346707721232E+19</v>
      </c>
      <c r="P28" s="138">
        <f>courbes!AE27</f>
        <v>5</v>
      </c>
      <c r="Q28" s="139">
        <f t="shared" ca="1" si="3"/>
        <v>2.6548305842144203E+19</v>
      </c>
      <c r="R28" s="145"/>
      <c r="S28" s="145"/>
    </row>
    <row r="29" spans="10:19" ht="13.5" thickBot="1">
      <c r="J29" s="138">
        <f>courbes!A28</f>
        <v>2.1666666666666665</v>
      </c>
      <c r="K29" s="139">
        <f t="shared" ca="1" si="0"/>
        <v>5.0766406986283434E+19</v>
      </c>
      <c r="L29" s="141">
        <f>courbes!J28</f>
        <v>2.1666666666666665</v>
      </c>
      <c r="M29" s="139">
        <f t="shared" ca="1" si="1"/>
        <v>5.107266070793642E+19</v>
      </c>
      <c r="N29" s="139">
        <f>courbes!U28</f>
        <v>2.1666666666666665</v>
      </c>
      <c r="O29" s="139">
        <f t="shared" ca="1" si="2"/>
        <v>5.0971266070812557E+19</v>
      </c>
      <c r="P29" s="138">
        <f>courbes!AE28</f>
        <v>5.2</v>
      </c>
      <c r="Q29" s="139">
        <f t="shared" ca="1" si="3"/>
        <v>2.5228384426356761E+19</v>
      </c>
      <c r="R29" s="145"/>
      <c r="S29" s="145"/>
    </row>
    <row r="30" spans="10:19" ht="13.5" thickBot="1">
      <c r="J30" s="138">
        <f>courbes!A29</f>
        <v>2.25</v>
      </c>
      <c r="K30" s="139">
        <f t="shared" ca="1" si="0"/>
        <v>4.9684451968592962E+19</v>
      </c>
      <c r="L30" s="141">
        <f>courbes!J29</f>
        <v>2.25</v>
      </c>
      <c r="M30" s="139">
        <f t="shared" ca="1" si="1"/>
        <v>4.999571296762241E+19</v>
      </c>
      <c r="N30" s="139">
        <f>courbes!U29</f>
        <v>2.25</v>
      </c>
      <c r="O30" s="139">
        <f t="shared" ca="1" si="2"/>
        <v>4.9891551773924458E+19</v>
      </c>
      <c r="P30" s="138">
        <f>courbes!AE29</f>
        <v>5.4</v>
      </c>
      <c r="Q30" s="139">
        <f t="shared" ca="1" si="3"/>
        <v>2.3968414021127406E+19</v>
      </c>
      <c r="R30" s="145"/>
      <c r="S30" s="145"/>
    </row>
    <row r="31" spans="10:19" ht="13.5" thickBot="1">
      <c r="J31" s="138">
        <f>courbes!A30</f>
        <v>2.3333333333333335</v>
      </c>
      <c r="K31" s="139">
        <f t="shared" ca="1" si="0"/>
        <v>4.8625651723225719E+19</v>
      </c>
      <c r="L31" s="141">
        <f>courbes!J30</f>
        <v>2.3333333333333335</v>
      </c>
      <c r="M31" s="139">
        <f t="shared" ca="1" si="1"/>
        <v>4.8941567770968441E+19</v>
      </c>
      <c r="N31" s="139">
        <f>courbes!U30</f>
        <v>2.3333333333333335</v>
      </c>
      <c r="O31" s="139">
        <f t="shared" ca="1" si="2"/>
        <v>4.8834708852475322E+19</v>
      </c>
      <c r="P31" s="138">
        <f>courbes!AE30</f>
        <v>5.6</v>
      </c>
      <c r="Q31" s="139">
        <f t="shared" ca="1" si="3"/>
        <v>2.2767395442946851E+19</v>
      </c>
      <c r="R31" s="145"/>
      <c r="S31" s="145"/>
    </row>
    <row r="32" spans="10:19" ht="13.5" thickBot="1">
      <c r="J32" s="138">
        <f>courbes!A31</f>
        <v>2.4166666666666665</v>
      </c>
      <c r="K32" s="139">
        <f t="shared" ca="1" si="0"/>
        <v>4.75895104516236E+19</v>
      </c>
      <c r="L32" s="141">
        <f>courbes!J31</f>
        <v>2.4166666666666665</v>
      </c>
      <c r="M32" s="139">
        <f t="shared" ca="1" si="1"/>
        <v>4.7909742014025605E+19</v>
      </c>
      <c r="N32" s="139">
        <f>courbes!U31</f>
        <v>2.4166666666666665</v>
      </c>
      <c r="O32" s="139">
        <f t="shared" ca="1" si="2"/>
        <v>4.7800252826620822E+19</v>
      </c>
      <c r="P32" s="138">
        <f>courbes!AE31</f>
        <v>5.8</v>
      </c>
      <c r="Q32" s="139">
        <f t="shared" ca="1" si="3"/>
        <v>2.1622331141287186E+19</v>
      </c>
      <c r="R32" s="145"/>
      <c r="S32" s="145"/>
    </row>
    <row r="33" spans="10:19" ht="13.5" thickBot="1">
      <c r="J33" s="138">
        <f>courbes!A32</f>
        <v>2.5</v>
      </c>
      <c r="K33" s="139">
        <f t="shared" ca="1" si="0"/>
        <v>4.6575542972021187E+19</v>
      </c>
      <c r="L33" s="141">
        <f>courbes!J32</f>
        <v>2.5</v>
      </c>
      <c r="M33" s="139">
        <f t="shared" ca="1" si="1"/>
        <v>4.6899762786491023E+19</v>
      </c>
      <c r="N33" s="139">
        <f>courbes!U32</f>
        <v>2.5</v>
      </c>
      <c r="O33" s="139">
        <f t="shared" ca="1" si="2"/>
        <v>4.6787709479157817E+19</v>
      </c>
      <c r="P33" s="138">
        <f>courbes!AE32</f>
        <v>6</v>
      </c>
      <c r="Q33" s="139">
        <f t="shared" ca="1" si="3"/>
        <v>2.0530223565620511E+19</v>
      </c>
      <c r="R33" s="145"/>
      <c r="S33" s="145"/>
    </row>
    <row r="34" spans="10:19" ht="13.5" thickBot="1">
      <c r="J34" s="138">
        <f>courbes!A33</f>
        <v>2.5833333333333335</v>
      </c>
      <c r="K34" s="139">
        <f t="shared" ca="1" si="0"/>
        <v>4.5583274492105499E+19</v>
      </c>
      <c r="L34" s="141">
        <f>courbes!J33</f>
        <v>2.5833333333333335</v>
      </c>
      <c r="M34" s="139">
        <f t="shared" ca="1" si="1"/>
        <v>4.5911167132981182E+19</v>
      </c>
      <c r="N34" s="139">
        <f>courbes!U33</f>
        <v>2.5833333333333335</v>
      </c>
      <c r="O34" s="139">
        <f t="shared" ca="1" si="2"/>
        <v>4.5796614638132847E+19</v>
      </c>
      <c r="P34" s="138">
        <f>courbes!AE33</f>
        <v>6.2</v>
      </c>
      <c r="Q34" s="139">
        <f t="shared" ca="1" si="3"/>
        <v>1.9490073532437516E+19</v>
      </c>
      <c r="R34" s="145"/>
      <c r="S34" s="145"/>
    </row>
    <row r="35" spans="10:19" ht="13.5" thickBot="1">
      <c r="J35" s="138">
        <f>courbes!A34</f>
        <v>2.6666666666666665</v>
      </c>
      <c r="K35" s="139">
        <f t="shared" ca="1" si="0"/>
        <v>4.4612240386543763E+19</v>
      </c>
      <c r="L35" s="141">
        <f>courbes!J34</f>
        <v>2.6666666666666665</v>
      </c>
      <c r="M35" s="139">
        <f t="shared" ca="1" si="1"/>
        <v>4.494350181430512E+19</v>
      </c>
      <c r="N35" s="139">
        <f>courbes!U34</f>
        <v>2.6666666666666665</v>
      </c>
      <c r="O35" s="139">
        <f t="shared" ca="1" si="2"/>
        <v>4.4826513964055585E+19</v>
      </c>
      <c r="P35" s="138">
        <f>courbes!AE34</f>
        <v>6.4</v>
      </c>
      <c r="Q35" s="139">
        <f t="shared" ca="1" si="3"/>
        <v>1.8498883491210301E+19</v>
      </c>
      <c r="R35" s="145"/>
      <c r="S35" s="145"/>
    </row>
    <row r="36" spans="10:19" ht="13.5" thickBot="1">
      <c r="J36" s="138">
        <f>courbes!A35</f>
        <v>2.75</v>
      </c>
      <c r="K36" s="139">
        <f t="shared" ca="1" si="0"/>
        <v>4.3661985979274953E+19</v>
      </c>
      <c r="L36" s="141">
        <f>courbes!J35</f>
        <v>2.75</v>
      </c>
      <c r="M36" s="139">
        <f t="shared" ca="1" si="1"/>
        <v>4.3996323068737815E+19</v>
      </c>
      <c r="N36" s="139">
        <f>courbes!U35</f>
        <v>2.75</v>
      </c>
      <c r="O36" s="139">
        <f t="shared" ca="1" si="2"/>
        <v>4.3876962741619704E+19</v>
      </c>
      <c r="P36" s="138">
        <f>courbes!AE35</f>
        <v>6.6</v>
      </c>
      <c r="Q36" s="139">
        <f t="shared" ca="1" si="3"/>
        <v>1.7553655891410964E+19</v>
      </c>
      <c r="R36" s="145"/>
      <c r="S36" s="145"/>
    </row>
    <row r="37" spans="10:19" ht="13.5" thickBot="1">
      <c r="J37" s="138">
        <f>courbes!A36</f>
        <v>2.8333333333333335</v>
      </c>
      <c r="K37" s="139">
        <f t="shared" ca="1" si="0"/>
        <v>4.2732066330463085E+19</v>
      </c>
      <c r="L37" s="141">
        <f>courbes!J36</f>
        <v>2.8333333333333335</v>
      </c>
      <c r="M37" s="139">
        <f t="shared" ca="1" si="1"/>
        <v>4.3069196373293335E+19</v>
      </c>
      <c r="N37" s="139">
        <f>courbes!U36</f>
        <v>2.8333333333333335</v>
      </c>
      <c r="O37" s="139">
        <f t="shared" ca="1" si="2"/>
        <v>4.2947525675835679E+19</v>
      </c>
      <c r="P37" s="138">
        <f>courbes!AE36</f>
        <v>6.8</v>
      </c>
      <c r="Q37" s="139">
        <f t="shared" ca="1" si="3"/>
        <v>1.6654390733039501E+19</v>
      </c>
      <c r="R37" s="145"/>
      <c r="S37" s="145"/>
    </row>
    <row r="38" spans="10:19" ht="13.5" thickBot="1">
      <c r="J38" s="138">
        <f>courbes!A37</f>
        <v>2.9166666666666665</v>
      </c>
      <c r="K38" s="139">
        <f t="shared" ca="1" si="0"/>
        <v>4.1822046028012462E+19</v>
      </c>
      <c r="L38" s="141">
        <f>courbes!J37</f>
        <v>2.9166666666666665</v>
      </c>
      <c r="M38" s="139">
        <f t="shared" ca="1" si="1"/>
        <v>4.216169620499814E+19</v>
      </c>
      <c r="N38" s="139">
        <f>courbes!U37</f>
        <v>2.9166666666666665</v>
      </c>
      <c r="O38" s="139">
        <f t="shared" ca="1" si="2"/>
        <v>4.2037776692482064E+19</v>
      </c>
      <c r="P38" s="138">
        <f>courbes!AE37</f>
        <v>7</v>
      </c>
      <c r="Q38" s="139">
        <f t="shared" ca="1" si="3"/>
        <v>1.579809046556801E+19</v>
      </c>
      <c r="R38" s="145"/>
      <c r="S38" s="145"/>
    </row>
    <row r="39" spans="10:19" ht="13.5" thickBot="1">
      <c r="J39" s="138">
        <f>courbes!A38</f>
        <v>3</v>
      </c>
      <c r="K39" s="139">
        <f t="shared" ca="1" si="0"/>
        <v>4.0931498983547191E+19</v>
      </c>
      <c r="L39" s="141">
        <f>courbes!J38</f>
        <v>3</v>
      </c>
      <c r="M39" s="139">
        <f t="shared" ca="1" si="1"/>
        <v>4.1273405802164421E+19</v>
      </c>
      <c r="N39" s="139">
        <f>courbes!U38</f>
        <v>3</v>
      </c>
      <c r="O39" s="139">
        <f t="shared" ca="1" si="2"/>
        <v>4.1147298742783795E+19</v>
      </c>
      <c r="P39" s="138">
        <f>courbes!AE38</f>
        <v>7.2</v>
      </c>
      <c r="Q39" s="139">
        <f t="shared" ca="1" si="3"/>
        <v>1.4982756721977881E+19</v>
      </c>
      <c r="R39" s="145"/>
      <c r="S39" s="145"/>
    </row>
    <row r="40" spans="10:19" ht="13.5" thickBot="1">
      <c r="J40" s="138">
        <f>courbes!A39</f>
        <v>3.0833333333333335</v>
      </c>
      <c r="K40" s="139">
        <f t="shared" ca="1" si="0"/>
        <v>4.0060008232759345E+19</v>
      </c>
      <c r="L40" s="141">
        <f>courbes!J39</f>
        <v>3.0833333333333335</v>
      </c>
      <c r="M40" s="139">
        <f t="shared" ca="1" si="1"/>
        <v>4.0403929865323635E+19</v>
      </c>
      <c r="N40" s="139">
        <f>courbes!U39</f>
        <v>3.0833333333333335</v>
      </c>
      <c r="O40" s="139">
        <f t="shared" ca="1" si="2"/>
        <v>4.0275683612227936E+19</v>
      </c>
      <c r="P40" s="138">
        <f>courbes!AE39</f>
        <v>7.4</v>
      </c>
      <c r="Q40" s="139">
        <f t="shared" ca="1" si="3"/>
        <v>1.4206391135250518E+19</v>
      </c>
      <c r="R40" s="145"/>
      <c r="S40" s="145"/>
    </row>
    <row r="41" spans="10:19" ht="13.5" thickBot="1">
      <c r="J41" s="138">
        <f>courbes!A40</f>
        <v>3.1666666666666665</v>
      </c>
      <c r="K41" s="139">
        <f t="shared" ca="1" si="0"/>
        <v>3.9207165740032295E+19</v>
      </c>
      <c r="L41" s="141">
        <f>courbes!J40</f>
        <v>3.1666666666666665</v>
      </c>
      <c r="M41" s="139">
        <f t="shared" ca="1" si="1"/>
        <v>3.9552861282606506E+19</v>
      </c>
      <c r="N41" s="139">
        <f>courbes!U40</f>
        <v>3.1666666666666665</v>
      </c>
      <c r="O41" s="139">
        <f t="shared" ca="1" si="2"/>
        <v>3.9422531733429191E+19</v>
      </c>
      <c r="P41" s="138">
        <f>courbes!AE40</f>
        <v>7.6</v>
      </c>
      <c r="Q41" s="139">
        <f t="shared" ca="1" si="3"/>
        <v>1.3467994521876617E+19</v>
      </c>
      <c r="R41" s="145"/>
      <c r="S41" s="145"/>
    </row>
    <row r="42" spans="10:19" ht="13.5" thickBot="1">
      <c r="J42" s="138">
        <f>courbes!A41</f>
        <v>3.25</v>
      </c>
      <c r="K42" s="139">
        <f t="shared" ca="1" si="0"/>
        <v>3.8372572207247589E+19</v>
      </c>
      <c r="L42" s="141">
        <f>courbes!J41</f>
        <v>3.25</v>
      </c>
      <c r="M42" s="139">
        <f t="shared" ca="1" si="1"/>
        <v>3.8719810101606212E+19</v>
      </c>
      <c r="N42" s="139">
        <f>courbes!U41</f>
        <v>3.25</v>
      </c>
      <c r="O42" s="139">
        <f t="shared" ca="1" si="2"/>
        <v>3.8587452002959606E+19</v>
      </c>
      <c r="P42" s="138">
        <f>courbes!AE41</f>
        <v>7.8</v>
      </c>
      <c r="Q42" s="139">
        <f t="shared" ca="1" si="3"/>
        <v>1.2765568514837572E+19</v>
      </c>
      <c r="R42" s="145"/>
      <c r="S42" s="145"/>
    </row>
    <row r="43" spans="10:19" ht="13.5" thickBot="1">
      <c r="J43" s="138">
        <f>courbes!A42</f>
        <v>3.3333333333333335</v>
      </c>
      <c r="K43" s="139">
        <f t="shared" ca="1" si="0"/>
        <v>3.7555836886685843E+19</v>
      </c>
      <c r="L43" s="141">
        <f>courbes!J42</f>
        <v>3.3333333333333335</v>
      </c>
      <c r="M43" s="139">
        <f t="shared" ca="1" si="1"/>
        <v>3.7904394622932607E+19</v>
      </c>
      <c r="N43" s="139">
        <f>courbes!U42</f>
        <v>3.3333333333333335</v>
      </c>
      <c r="O43" s="139">
        <f t="shared" ca="1" si="2"/>
        <v>3.7770061602058101E+19</v>
      </c>
      <c r="P43" s="138">
        <f>courbes!AE42</f>
        <v>8</v>
      </c>
      <c r="Q43" s="139">
        <f t="shared" ca="1" si="3"/>
        <v>1.2098113930624088E+19</v>
      </c>
      <c r="R43" s="145"/>
      <c r="S43" s="145"/>
    </row>
    <row r="44" spans="10:19" ht="13.5" thickBot="1">
      <c r="J44" s="138">
        <f>courbes!A43</f>
        <v>3.4166666666666665</v>
      </c>
      <c r="K44" s="139">
        <f t="shared" ca="1" si="0"/>
        <v>3.6756577397933982E+19</v>
      </c>
      <c r="L44" s="141">
        <f>courbes!J43</f>
        <v>3.4166666666666665</v>
      </c>
      <c r="M44" s="139">
        <f t="shared" ca="1" si="1"/>
        <v>3.710624121558034E+19</v>
      </c>
      <c r="N44" s="139">
        <f>courbes!U43</f>
        <v>3.4166666666666665</v>
      </c>
      <c r="O44" s="139">
        <f t="shared" ca="1" si="2"/>
        <v>3.69699858211381E+19</v>
      </c>
      <c r="P44" s="138">
        <f>courbes!AE43</f>
        <v>8.1999999999999993</v>
      </c>
      <c r="Q44" s="139">
        <f t="shared" ca="1" si="3"/>
        <v>1.1463632402217556E+19</v>
      </c>
      <c r="R44" s="145"/>
      <c r="S44" s="145"/>
    </row>
    <row r="45" spans="10:19" ht="13.5" thickBot="1">
      <c r="J45" s="138">
        <f>courbes!A44</f>
        <v>3.5</v>
      </c>
      <c r="K45" s="139">
        <f t="shared" ca="1" si="0"/>
        <v>3.5974419548713038E+19</v>
      </c>
      <c r="L45" s="141">
        <f>courbes!J44</f>
        <v>3.5</v>
      </c>
      <c r="M45" s="139">
        <f t="shared" ca="1" si="1"/>
        <v>3.6324984132296843E+19</v>
      </c>
      <c r="N45" s="139">
        <f>courbes!U44</f>
        <v>3.5</v>
      </c>
      <c r="O45" s="139">
        <f t="shared" ca="1" si="2"/>
        <v>3.6186857888012456E+19</v>
      </c>
      <c r="P45" s="138">
        <f>courbes!AE44</f>
        <v>8.4</v>
      </c>
      <c r="Q45" s="139">
        <f t="shared" ca="1" si="3"/>
        <v>1.0860125562599373E+19</v>
      </c>
      <c r="R45" s="145"/>
      <c r="S45" s="145"/>
    </row>
    <row r="46" spans="10:19" ht="13.5" thickBot="1">
      <c r="J46" s="138">
        <f>courbes!A45</f>
        <v>3.5833333333333335</v>
      </c>
      <c r="K46" s="139">
        <f t="shared" ca="1" si="0"/>
        <v>3.5208997159542538E+19</v>
      </c>
      <c r="L46" s="141">
        <f>courbes!J45</f>
        <v>3.5833333333333335</v>
      </c>
      <c r="M46" s="139">
        <f t="shared" ca="1" si="1"/>
        <v>3.5560265324950516E+19</v>
      </c>
      <c r="N46" s="139">
        <f>courbes!U45</f>
        <v>3.5833333333333335</v>
      </c>
      <c r="O46" s="139">
        <f t="shared" ca="1" si="2"/>
        <v>3.5420318799757042E+19</v>
      </c>
      <c r="P46" s="138">
        <f>courbes!AE45</f>
        <v>8.6</v>
      </c>
      <c r="Q46" s="139">
        <f t="shared" ca="1" si="3"/>
        <v>1.0286594228260241E+19</v>
      </c>
      <c r="R46" s="145"/>
      <c r="S46" s="145"/>
    </row>
    <row r="47" spans="10:19" ht="13.5" thickBot="1">
      <c r="J47" s="138">
        <f>courbes!A46</f>
        <v>3.6666666666666665</v>
      </c>
      <c r="K47" s="139">
        <f t="shared" ca="1" si="0"/>
        <v>3.4459951892159361E+19</v>
      </c>
      <c r="L47" s="141">
        <f>courbes!J46</f>
        <v>3.6666666666666665</v>
      </c>
      <c r="M47" s="139">
        <f t="shared" ca="1" si="1"/>
        <v>3.4811734259898708E+19</v>
      </c>
      <c r="N47" s="139">
        <f>courbes!U46</f>
        <v>3.6666666666666665</v>
      </c>
      <c r="O47" s="139">
        <f t="shared" ca="1" si="2"/>
        <v>3.4670017158136033E+19</v>
      </c>
      <c r="P47" s="138">
        <f>courbes!AE46</f>
        <v>8.8000000000000007</v>
      </c>
      <c r="Q47" s="139">
        <f t="shared" ca="1" si="3"/>
        <v>9.7412398688834109E+18</v>
      </c>
      <c r="R47" s="145"/>
      <c r="S47" s="145"/>
    </row>
    <row r="48" spans="10:19" ht="13.5" thickBot="1">
      <c r="J48" s="138">
        <f>courbes!A47</f>
        <v>3.75</v>
      </c>
      <c r="K48" s="139">
        <f t="shared" ca="1" si="0"/>
        <v>3.3726933081610646E+19</v>
      </c>
      <c r="L48" s="141">
        <f>courbes!J47</f>
        <v>3.75</v>
      </c>
      <c r="M48" s="139">
        <f t="shared" ca="1" si="1"/>
        <v>3.4079047733355815E+19</v>
      </c>
      <c r="N48" s="139">
        <f>courbes!U47</f>
        <v>3.75</v>
      </c>
      <c r="O48" s="139">
        <f t="shared" ca="1" si="2"/>
        <v>3.393560900851327E+19</v>
      </c>
      <c r="P48" s="138">
        <f>courbes!AE47</f>
        <v>9</v>
      </c>
      <c r="Q48" s="139">
        <f t="shared" ca="1" si="3"/>
        <v>9.2237627294160998E+18</v>
      </c>
      <c r="R48" s="145"/>
      <c r="S48" s="145"/>
    </row>
    <row r="49" spans="10:19" ht="13.5" thickBot="1">
      <c r="J49" s="138">
        <f>courbes!A48</f>
        <v>3.8333333333333335</v>
      </c>
      <c r="K49" s="139">
        <f t="shared" ca="1" si="0"/>
        <v>3.3009597571942097E+19</v>
      </c>
      <c r="L49" s="141">
        <f>courbes!J48</f>
        <v>3.8333333333333335</v>
      </c>
      <c r="M49" s="139">
        <f t="shared" ca="1" si="1"/>
        <v>3.3361869686761353E+19</v>
      </c>
      <c r="N49" s="139">
        <f>courbes!U48</f>
        <v>3.8333333333333335</v>
      </c>
      <c r="O49" s="139">
        <f t="shared" ca="1" si="2"/>
        <v>3.3216757682175943E+19</v>
      </c>
      <c r="P49" s="138">
        <f>courbes!AE48</f>
        <v>9.1999999999999993</v>
      </c>
      <c r="Q49" s="139">
        <f t="shared" ca="1" si="3"/>
        <v>8.7324641978924913E+18</v>
      </c>
      <c r="R49" s="145"/>
      <c r="S49" s="145"/>
    </row>
    <row r="50" spans="10:19" ht="13.5" thickBot="1">
      <c r="J50" s="138">
        <f>courbes!A49</f>
        <v>3.9166666666666665</v>
      </c>
      <c r="K50" s="139">
        <f t="shared" ca="1" si="0"/>
        <v>3.2307609555404685E+19</v>
      </c>
      <c r="L50" s="141">
        <f>courbes!J49</f>
        <v>3.9166666666666665</v>
      </c>
      <c r="M50" s="139">
        <f t="shared" ca="1" si="1"/>
        <v>3.2659871022148022E+19</v>
      </c>
      <c r="N50" s="139">
        <f>courbes!U49</f>
        <v>3.9166666666666665</v>
      </c>
      <c r="O50" s="139">
        <f t="shared" ca="1" si="2"/>
        <v>3.251313364199834E+19</v>
      </c>
      <c r="P50" s="138">
        <f>courbes!AE49</f>
        <v>9.4</v>
      </c>
      <c r="Q50" s="139">
        <f t="shared" ca="1" si="3"/>
        <v>8.2660453357504911E+18</v>
      </c>
      <c r="R50" s="145"/>
      <c r="S50" s="145"/>
    </row>
    <row r="51" spans="10:19" ht="13.5" thickBot="1">
      <c r="J51" s="138">
        <f>courbes!A50</f>
        <v>4</v>
      </c>
      <c r="K51" s="139">
        <f t="shared" ca="1" si="0"/>
        <v>3.1620640415104422E+19</v>
      </c>
      <c r="L51" s="141">
        <f>courbes!J50</f>
        <v>4</v>
      </c>
      <c r="M51" s="139">
        <f t="shared" ca="1" si="1"/>
        <v>3.1972729417509753E+19</v>
      </c>
      <c r="N51" s="139">
        <f>courbes!U50</f>
        <v>4</v>
      </c>
      <c r="O51" s="139">
        <f t="shared" ca="1" si="2"/>
        <v>3.1824414331374805E+19</v>
      </c>
      <c r="P51" s="138">
        <f>courbes!AE50</f>
        <v>9.6</v>
      </c>
      <c r="Q51" s="139">
        <f t="shared" ca="1" si="3"/>
        <v>7.8235069594808013E+18</v>
      </c>
      <c r="R51" s="145"/>
      <c r="S51" s="145"/>
    </row>
    <row r="52" spans="10:19" ht="13.5" thickBot="1">
      <c r="J52" s="138">
        <f>courbes!A51</f>
        <v>4.083333333333333</v>
      </c>
      <c r="K52" s="139">
        <f t="shared" ca="1" si="0"/>
        <v>3.0948368571021464E+19</v>
      </c>
      <c r="L52" s="141">
        <f>courbes!J51</f>
        <v>4.083333333333333</v>
      </c>
      <c r="M52" s="139">
        <f t="shared" ca="1" si="1"/>
        <v>3.1300139149779128E+19</v>
      </c>
      <c r="N52" s="139">
        <f>courbes!U51</f>
        <v>4.083333333333333</v>
      </c>
      <c r="O52" s="139">
        <f t="shared" ca="1" si="2"/>
        <v>3.1150284026352775E+19</v>
      </c>
      <c r="P52" s="138">
        <f>courbes!AE51</f>
        <v>9.8000000000000007</v>
      </c>
      <c r="Q52" s="139">
        <f t="shared" ca="1" si="3"/>
        <v>7.4035501305213286E+18</v>
      </c>
      <c r="R52" s="145"/>
      <c r="S52" s="145"/>
    </row>
    <row r="53" spans="10:19" ht="13.5" thickBot="1">
      <c r="J53" s="138">
        <f>courbes!A52</f>
        <v>4.166666666666667</v>
      </c>
      <c r="K53" s="139">
        <f t="shared" ca="1" si="0"/>
        <v>3.0290479329326428E+19</v>
      </c>
      <c r="L53" s="141">
        <f>courbes!J52</f>
        <v>4.166666666666667</v>
      </c>
      <c r="M53" s="139">
        <f t="shared" ca="1" si="1"/>
        <v>3.0641785360041153E+19</v>
      </c>
      <c r="N53" s="139">
        <f>courbes!U52</f>
        <v>4.166666666666667</v>
      </c>
      <c r="O53" s="139">
        <f t="shared" ca="1" si="2"/>
        <v>3.0490433690898047E+19</v>
      </c>
      <c r="Q53" s="139">
        <f t="shared" ca="1" si="3"/>
        <v>0</v>
      </c>
      <c r="R53" s="145"/>
      <c r="S53" s="145"/>
    </row>
    <row r="54" spans="10:19" ht="13.5" thickBot="1">
      <c r="J54" s="138">
        <f>courbes!A53</f>
        <v>4.25</v>
      </c>
      <c r="K54" s="139">
        <f t="shared" ca="1" si="0"/>
        <v>2.9646664734923276E+19</v>
      </c>
      <c r="L54" s="141">
        <f>courbes!J53</f>
        <v>4.25</v>
      </c>
      <c r="M54" s="139">
        <f t="shared" ca="1" si="1"/>
        <v>2.999736646054366E+19</v>
      </c>
      <c r="N54" s="139">
        <f>courbes!U53</f>
        <v>4.25</v>
      </c>
      <c r="O54" s="139">
        <f t="shared" ca="1" si="2"/>
        <v>2.9844560835225891E+19</v>
      </c>
      <c r="Q54" s="139">
        <f t="shared" ca="1" si="3"/>
        <v>0</v>
      </c>
      <c r="R54" s="145"/>
      <c r="S54" s="145"/>
    </row>
    <row r="55" spans="10:19" ht="13.5" thickBot="1">
      <c r="J55" s="138">
        <f>courbes!A54</f>
        <v>4.333333333333333</v>
      </c>
      <c r="K55" s="139">
        <f t="shared" ca="1" si="0"/>
        <v>2.9016623427149722E+19</v>
      </c>
      <c r="L55" s="141">
        <f>courbes!J54</f>
        <v>4.333333333333333</v>
      </c>
      <c r="M55" s="139">
        <f t="shared" ca="1" si="1"/>
        <v>2.9366587246400373E+19</v>
      </c>
      <c r="N55" s="139">
        <f>courbes!U54</f>
        <v>4.333333333333333</v>
      </c>
      <c r="O55" s="139">
        <f t="shared" ca="1" si="2"/>
        <v>2.9212369377133162E+19</v>
      </c>
      <c r="Q55" s="139">
        <f t="shared" ca="1" si="3"/>
        <v>0</v>
      </c>
      <c r="R55" s="145"/>
      <c r="S55" s="145"/>
    </row>
    <row r="56" spans="10:19" ht="13.5" thickBot="1">
      <c r="J56" s="138">
        <f>courbes!A55</f>
        <v>4.416666666666667</v>
      </c>
      <c r="K56" s="139">
        <f t="shared" ca="1" si="0"/>
        <v>2.8400060498567516E+19</v>
      </c>
      <c r="L56" s="141">
        <f>courbes!J55</f>
        <v>4.416666666666667</v>
      </c>
      <c r="M56" s="139">
        <f t="shared" ca="1" si="1"/>
        <v>2.874915875279618E+19</v>
      </c>
      <c r="N56" s="139">
        <f>courbes!U55</f>
        <v>4.416666666666667</v>
      </c>
      <c r="O56" s="139">
        <f t="shared" ca="1" si="2"/>
        <v>2.8593569506267722E+19</v>
      </c>
      <c r="Q56" s="139">
        <f t="shared" ca="1" si="3"/>
        <v>0</v>
      </c>
      <c r="R56" s="145"/>
      <c r="S56" s="145"/>
    </row>
    <row r="57" spans="10:19" ht="13.5" thickBot="1">
      <c r="J57" s="138">
        <f>courbes!A56</f>
        <v>4.5</v>
      </c>
      <c r="K57" s="139">
        <f t="shared" ca="1" si="0"/>
        <v>2.7796687356776468E+19</v>
      </c>
      <c r="L57" s="141">
        <f>courbes!J56</f>
        <v>4.5</v>
      </c>
      <c r="M57" s="139">
        <f t="shared" ca="1" si="1"/>
        <v>2.8144798112192434E+19</v>
      </c>
      <c r="N57" s="139">
        <f>courbes!U56</f>
        <v>4.5</v>
      </c>
      <c r="O57" s="139">
        <f t="shared" ca="1" si="2"/>
        <v>2.7987877551273116E+19</v>
      </c>
      <c r="Q57" s="139">
        <f t="shared" ca="1" si="3"/>
        <v>0</v>
      </c>
      <c r="R57" s="145"/>
      <c r="S57" s="145"/>
    </row>
    <row r="58" spans="10:19" ht="13.5" thickBot="1">
      <c r="J58" s="138">
        <f>courbes!A57</f>
        <v>4.583333333333333</v>
      </c>
      <c r="K58" s="139">
        <f t="shared" ca="1" si="0"/>
        <v>2.7206221589187453E+19</v>
      </c>
      <c r="L58" s="141">
        <f>courbes!J57</f>
        <v>4.583333333333333</v>
      </c>
      <c r="M58" s="139">
        <f t="shared" ca="1" si="1"/>
        <v>2.7553228411532259E+19</v>
      </c>
      <c r="N58" s="139">
        <f>courbes!U57</f>
        <v>4.583333333333333</v>
      </c>
      <c r="O58" s="139">
        <f t="shared" ca="1" si="2"/>
        <v>2.7395015849747378E+19</v>
      </c>
      <c r="Q58" s="139">
        <f t="shared" ca="1" si="3"/>
        <v>0</v>
      </c>
      <c r="R58" s="145"/>
      <c r="S58" s="145"/>
    </row>
    <row r="59" spans="10:19" ht="13.5" thickBot="1">
      <c r="J59" s="138">
        <f>courbes!A58</f>
        <v>4.666666666666667</v>
      </c>
      <c r="K59" s="139">
        <f t="shared" ca="1" si="0"/>
        <v>2.6628386830691033E+19</v>
      </c>
      <c r="L59" s="141">
        <f>courbes!J58</f>
        <v>4.666666666666667</v>
      </c>
      <c r="M59" s="139">
        <f t="shared" ca="1" si="1"/>
        <v>2.6974178549445833E+19</v>
      </c>
      <c r="N59" s="139">
        <f>courbes!U58</f>
        <v>4.666666666666667</v>
      </c>
      <c r="O59" s="139">
        <f t="shared" ca="1" si="2"/>
        <v>2.681471262095657E+19</v>
      </c>
      <c r="Q59" s="139">
        <f t="shared" ca="1" si="3"/>
        <v>0</v>
      </c>
      <c r="R59" s="145"/>
      <c r="S59" s="145"/>
    </row>
    <row r="60" spans="10:19" ht="13.5" thickBot="1">
      <c r="J60" s="138">
        <f>courbes!A59</f>
        <v>4.75</v>
      </c>
      <c r="K60" s="139">
        <f t="shared" ca="1" si="0"/>
        <v>2.6062912634159702E+19</v>
      </c>
      <c r="L60" s="141">
        <f>courbes!J59</f>
        <v>4.75</v>
      </c>
      <c r="M60" s="139">
        <f t="shared" ca="1" si="1"/>
        <v>2.6407383093455684E+19</v>
      </c>
      <c r="N60" s="139">
        <f>courbes!U59</f>
        <v>4.75</v>
      </c>
      <c r="O60" s="139">
        <f t="shared" ca="1" si="2"/>
        <v>2.6246701841244516E+19</v>
      </c>
      <c r="Q60" s="139">
        <f t="shared" ca="1" si="3"/>
        <v>0</v>
      </c>
      <c r="R60" s="145"/>
      <c r="S60" s="145"/>
    </row>
    <row r="61" spans="10:19" ht="13.5" thickBot="1">
      <c r="J61" s="138">
        <f>courbes!A60</f>
        <v>4.833333333333333</v>
      </c>
      <c r="K61" s="139">
        <f t="shared" ca="1" si="0"/>
        <v>2.5509534343723086E+19</v>
      </c>
      <c r="L61" s="141">
        <f>courbes!J60</f>
        <v>4.833333333333333</v>
      </c>
      <c r="M61" s="139">
        <f t="shared" ca="1" si="1"/>
        <v>2.585258213718197E+19</v>
      </c>
      <c r="N61" s="139">
        <f>courbes!U60</f>
        <v>4.833333333333333</v>
      </c>
      <c r="O61" s="139">
        <f t="shared" ca="1" si="2"/>
        <v>2.5690723122081833E+19</v>
      </c>
      <c r="Q61" s="139">
        <f t="shared" ca="1" si="3"/>
        <v>0</v>
      </c>
      <c r="R61" s="145"/>
      <c r="S61" s="145"/>
    </row>
    <row r="62" spans="10:19" ht="13.5" thickBot="1">
      <c r="J62" s="138">
        <f>courbes!A61</f>
        <v>4.916666666666667</v>
      </c>
      <c r="K62" s="139">
        <f t="shared" ca="1" si="0"/>
        <v>2.4967992970756694E+19</v>
      </c>
      <c r="L62" s="141">
        <f>courbes!J61</f>
        <v>4.916666666666667</v>
      </c>
      <c r="M62" s="139">
        <f t="shared" ca="1" si="1"/>
        <v>2.5309521157547827E+19</v>
      </c>
      <c r="N62" s="139">
        <f>courbes!U61</f>
        <v>4.916666666666667</v>
      </c>
      <c r="O62" s="139">
        <f t="shared" ca="1" si="2"/>
        <v>2.5146521590698074E+19</v>
      </c>
      <c r="Q62" s="139">
        <f t="shared" ca="1" si="3"/>
        <v>0</v>
      </c>
      <c r="R62" s="145"/>
      <c r="S62" s="145"/>
    </row>
    <row r="63" spans="10:19" ht="13.5" thickBot="1">
      <c r="J63" s="138">
        <f>courbes!A62</f>
        <v>5</v>
      </c>
      <c r="K63" s="139">
        <f t="shared" ca="1" si="0"/>
        <v>2.4438035072526156E+19</v>
      </c>
      <c r="L63" s="141">
        <f>courbes!J62</f>
        <v>5</v>
      </c>
      <c r="M63" s="139">
        <f t="shared" ca="1" si="1"/>
        <v>2.4777950871984574E+19</v>
      </c>
      <c r="N63" s="139">
        <f>courbes!U62</f>
        <v>5</v>
      </c>
      <c r="O63" s="139">
        <f t="shared" ca="1" si="2"/>
        <v>2.4613847773242532E+19</v>
      </c>
      <c r="Q63" s="139">
        <f t="shared" ca="1" si="3"/>
        <v>0</v>
      </c>
      <c r="R63" s="145"/>
      <c r="S63" s="145"/>
    </row>
    <row r="64" spans="10:19" ht="13.5" thickBot="1">
      <c r="J64" s="138">
        <f>courbes!A63</f>
        <v>5.083333333333333</v>
      </c>
      <c r="K64" s="139">
        <f t="shared" ca="1" si="0"/>
        <v>2.3919412633430032E+19</v>
      </c>
      <c r="L64" s="141">
        <f>courbes!J63</f>
        <v>5.083333333333333</v>
      </c>
      <c r="M64" s="139">
        <f t="shared" ca="1" si="1"/>
        <v>2.4257634835576541E+19</v>
      </c>
      <c r="N64" s="139">
        <f>courbes!U63</f>
        <v>5.083333333333333</v>
      </c>
      <c r="O64" s="139">
        <f t="shared" ca="1" si="2"/>
        <v>2.4092457480419983E+19</v>
      </c>
      <c r="Q64" s="139">
        <f t="shared" ca="1" si="3"/>
        <v>0</v>
      </c>
      <c r="R64" s="145"/>
      <c r="S64" s="145"/>
    </row>
    <row r="65" spans="10:19" ht="13.5" thickBot="1">
      <c r="J65" s="138">
        <f>courbes!A64</f>
        <v>5.166666666666667</v>
      </c>
      <c r="K65" s="139">
        <f t="shared" ca="1" si="0"/>
        <v>2.3411882948785627E+19</v>
      </c>
      <c r="L65" s="141">
        <f>courbes!J64</f>
        <v>5.166666666666667</v>
      </c>
      <c r="M65" s="139">
        <f t="shared" ca="1" si="1"/>
        <v>2.3748329537637671E+19</v>
      </c>
      <c r="N65" s="139">
        <f>courbes!U64</f>
        <v>5.166666666666667</v>
      </c>
      <c r="O65" s="139">
        <f t="shared" ca="1" si="2"/>
        <v>2.3582111695548965E+19</v>
      </c>
      <c r="Q65" s="139">
        <f t="shared" ca="1" si="3"/>
        <v>0</v>
      </c>
      <c r="R65" s="145"/>
      <c r="S65" s="145"/>
    </row>
    <row r="66" spans="10:19" ht="13.5" thickBot="1">
      <c r="J66" s="138">
        <f>courbes!A65</f>
        <v>5.25</v>
      </c>
      <c r="K66" s="139">
        <f t="shared" ca="1" si="0"/>
        <v>2.2915208511103263E+19</v>
      </c>
      <c r="L66" s="141">
        <f>courbes!J65</f>
        <v>5.25</v>
      </c>
      <c r="M66" s="139">
        <f t="shared" ca="1" si="1"/>
        <v>2.3249801731416486E+19</v>
      </c>
      <c r="N66" s="139">
        <f>courbes!U65</f>
        <v>5.25</v>
      </c>
      <c r="O66" s="139">
        <f t="shared" ca="1" si="2"/>
        <v>2.3082576464991371E+19</v>
      </c>
      <c r="Q66" s="139">
        <f t="shared" ca="1" si="3"/>
        <v>0</v>
      </c>
      <c r="R66" s="145"/>
      <c r="S66" s="145"/>
    </row>
    <row r="67" spans="10:19" ht="13.5" thickBot="1">
      <c r="J67" s="138">
        <f>courbes!A66</f>
        <v>5.333333333333333</v>
      </c>
      <c r="K67" s="139">
        <f t="shared" ref="K67:K130" ca="1" si="5">INDIRECT("courbes!"&amp;INDEX($D$3:$H$10,MATCH($B$2,$C$3:$C$10,0),MATCH(K$1,$D$2:$H$2,0))&amp;ROW($J66))</f>
        <v>2.2429156898795819E+19</v>
      </c>
      <c r="L67" s="141">
        <f>courbes!J66</f>
        <v>5.333333333333333</v>
      </c>
      <c r="M67" s="139">
        <f t="shared" ref="M67:M123" ca="1" si="6">INDIRECT("courbes!"&amp;INDEX($D$3:$H$10,MATCH($B$2,$C$3:$C$10,0),MATCH(M$1,$D$2:$H$2,0))&amp;ROW($J66))</f>
        <v>2.2761823106650128E+19</v>
      </c>
      <c r="N67" s="139">
        <f>courbes!U66</f>
        <v>5.333333333333333</v>
      </c>
      <c r="O67" s="139">
        <f t="shared" ref="O67:O130" ca="1" si="7">INDIRECT("courbes!"&amp;INDEX($D$3:$H$10,MATCH($B$2,$C$3:$C$10,0),MATCH(O$1,$D$2:$H$2,0))&amp;ROW($J66))</f>
        <v>2.2593622790902915E+19</v>
      </c>
      <c r="Q67" s="139">
        <f t="shared" ref="Q67:Q130" ca="1" si="8">INDIRECT("courbes!"&amp;INDEX($D$3:$H$10,MATCH($B$2,$C$3:$C$10,0),MATCH(Q$1,$D$2:$H$2,0))&amp;ROW($J66))</f>
        <v>0</v>
      </c>
      <c r="R67" s="145"/>
      <c r="S67" s="145"/>
    </row>
    <row r="68" spans="10:19" ht="13.5" thickBot="1">
      <c r="J68" s="138">
        <f>courbes!A67</f>
        <v>5.416666666666667</v>
      </c>
      <c r="K68" s="139">
        <f t="shared" ca="1" si="5"/>
        <v>2.1953500667271324E+19</v>
      </c>
      <c r="L68" s="141">
        <f>courbes!J67</f>
        <v>5.416666666666667</v>
      </c>
      <c r="M68" s="139">
        <f t="shared" ca="1" si="6"/>
        <v>2.2284170179126759E+19</v>
      </c>
      <c r="N68" s="139">
        <f>courbes!U67</f>
        <v>5.416666666666667</v>
      </c>
      <c r="O68" s="139">
        <f t="shared" ca="1" si="7"/>
        <v>2.2115026526255616E+19</v>
      </c>
      <c r="Q68" s="139">
        <f t="shared" ca="1" si="8"/>
        <v>0</v>
      </c>
      <c r="R68" s="145"/>
      <c r="S68" s="145"/>
    </row>
    <row r="69" spans="10:19" ht="13.5" thickBot="1">
      <c r="J69" s="138">
        <f>courbes!A68</f>
        <v>5.5</v>
      </c>
      <c r="K69" s="139">
        <f t="shared" ca="1" si="5"/>
        <v>2.1488017242357608E+19</v>
      </c>
      <c r="L69" s="141">
        <f>courbes!J68</f>
        <v>5.5</v>
      </c>
      <c r="M69" s="139">
        <f t="shared" ca="1" si="6"/>
        <v>2.1816624180248011E+19</v>
      </c>
      <c r="N69" s="139">
        <f>courbes!U68</f>
        <v>5.5</v>
      </c>
      <c r="O69" s="139">
        <f t="shared" ca="1" si="7"/>
        <v>2.1646568272083845E+19</v>
      </c>
      <c r="Q69" s="139">
        <f t="shared" ca="1" si="8"/>
        <v>0</v>
      </c>
      <c r="R69" s="145"/>
      <c r="S69" s="145"/>
    </row>
    <row r="70" spans="10:19" ht="13.5" thickBot="1">
      <c r="J70" s="138">
        <f>courbes!A69</f>
        <v>5.583333333333333</v>
      </c>
      <c r="K70" s="139">
        <f t="shared" ca="1" si="5"/>
        <v>2.1032488816009064E+19</v>
      </c>
      <c r="L70" s="141">
        <f>courbes!J69</f>
        <v>5.583333333333333</v>
      </c>
      <c r="M70" s="139">
        <f t="shared" ca="1" si="6"/>
        <v>2.1358970946591379E+19</v>
      </c>
      <c r="N70" s="139">
        <f>courbes!U69</f>
        <v>5.583333333333333</v>
      </c>
      <c r="O70" s="139">
        <f t="shared" ca="1" si="7"/>
        <v>2.118803327690709E+19</v>
      </c>
      <c r="Q70" s="139">
        <f t="shared" ca="1" si="8"/>
        <v>0</v>
      </c>
      <c r="R70" s="145"/>
      <c r="S70" s="145"/>
    </row>
    <row r="71" spans="10:19" ht="13.5" thickBot="1">
      <c r="J71" s="138">
        <f>courbes!A70</f>
        <v>5.666666666666667</v>
      </c>
      <c r="K71" s="139">
        <f t="shared" ca="1" si="5"/>
        <v>2.0586702244246667E+19</v>
      </c>
      <c r="L71" s="141">
        <f>courbes!J70</f>
        <v>5.666666666666667</v>
      </c>
      <c r="M71" s="139">
        <f t="shared" ca="1" si="6"/>
        <v>2.0911000809472659E+19</v>
      </c>
      <c r="N71" s="139">
        <f>courbes!U70</f>
        <v>5.666666666666667</v>
      </c>
      <c r="O71" s="139">
        <f t="shared" ca="1" si="7"/>
        <v>2.073921133828318E+19</v>
      </c>
      <c r="Q71" s="139">
        <f t="shared" ca="1" si="8"/>
        <v>0</v>
      </c>
      <c r="R71" s="145"/>
      <c r="S71" s="145"/>
    </row>
    <row r="72" spans="10:19" ht="13.5" thickBot="1">
      <c r="J72" s="138">
        <f>courbes!A71</f>
        <v>5.75</v>
      </c>
      <c r="K72" s="139">
        <f t="shared" ca="1" si="5"/>
        <v>2.0150448947283411E+19</v>
      </c>
      <c r="L72" s="141">
        <f>courbes!J71</f>
        <v>5.75</v>
      </c>
      <c r="M72" s="139">
        <f t="shared" ca="1" si="6"/>
        <v>2.0472508484508369E+19</v>
      </c>
      <c r="N72" s="139">
        <f>courbes!U71</f>
        <v>5.75</v>
      </c>
      <c r="O72" s="139">
        <f t="shared" ca="1" si="7"/>
        <v>2.0299896706446901E+19</v>
      </c>
      <c r="Q72" s="139">
        <f t="shared" ca="1" si="8"/>
        <v>0</v>
      </c>
      <c r="R72" s="145"/>
      <c r="S72" s="145"/>
    </row>
    <row r="73" spans="10:19" ht="13.5" thickBot="1">
      <c r="J73" s="138">
        <f>courbes!A72</f>
        <v>5.833333333333333</v>
      </c>
      <c r="K73" s="139">
        <f t="shared" ca="1" si="5"/>
        <v>1.9723524811788386E+19</v>
      </c>
      <c r="L73" s="141">
        <f>courbes!J72</f>
        <v>5.833333333333333</v>
      </c>
      <c r="M73" s="139">
        <f t="shared" ca="1" si="6"/>
        <v>2.0043292961178141E+19</v>
      </c>
      <c r="N73" s="139">
        <f>courbes!U72</f>
        <v>5.833333333333333</v>
      </c>
      <c r="O73" s="139">
        <f t="shared" ca="1" si="7"/>
        <v>1.9869887989989822E+19</v>
      </c>
      <c r="Q73" s="139">
        <f t="shared" ca="1" si="8"/>
        <v>0</v>
      </c>
      <c r="R73" s="145"/>
      <c r="S73" s="145"/>
    </row>
    <row r="74" spans="10:19" ht="13.5" thickBot="1">
      <c r="J74" s="138">
        <f>courbes!A73</f>
        <v>5.916666666666667</v>
      </c>
      <c r="K74" s="139">
        <f t="shared" ca="1" si="5"/>
        <v>1.9305730095243694E+19</v>
      </c>
      <c r="L74" s="141">
        <f>courbes!J73</f>
        <v>5.916666666666667</v>
      </c>
      <c r="M74" s="139">
        <f t="shared" ca="1" si="6"/>
        <v>1.9623157392387215E+19</v>
      </c>
      <c r="N74" s="139">
        <f>courbes!U73</f>
        <v>5.916666666666667</v>
      </c>
      <c r="O74" s="139">
        <f t="shared" ca="1" si="7"/>
        <v>1.9448988063538082E+19</v>
      </c>
      <c r="Q74" s="139">
        <f t="shared" ca="1" si="8"/>
        <v>0</v>
      </c>
      <c r="R74" s="145"/>
      <c r="S74" s="145"/>
    </row>
    <row r="75" spans="10:19" ht="13.5" thickBot="1">
      <c r="J75" s="138">
        <f>courbes!A74</f>
        <v>6</v>
      </c>
      <c r="K75" s="139">
        <f t="shared" ca="1" si="5"/>
        <v>1.8896869332349383E+19</v>
      </c>
      <c r="L75" s="141">
        <f>courbes!J74</f>
        <v>6</v>
      </c>
      <c r="M75" s="139">
        <f t="shared" ca="1" si="6"/>
        <v>1.9211908984028762E+19</v>
      </c>
      <c r="N75" s="139">
        <f>courbes!U74</f>
        <v>6</v>
      </c>
      <c r="O75" s="139">
        <f t="shared" ca="1" si="7"/>
        <v>1.9037003977385812E+19</v>
      </c>
      <c r="Q75" s="139">
        <f t="shared" ca="1" si="8"/>
        <v>0</v>
      </c>
      <c r="R75" s="145"/>
      <c r="S75" s="145"/>
    </row>
    <row r="76" spans="10:19" ht="13.5" thickBot="1">
      <c r="J76" s="138">
        <f>courbes!A75</f>
        <v>6.083333333333333</v>
      </c>
      <c r="K76" s="139">
        <f t="shared" ca="1" si="5"/>
        <v>1.849675124343255E+19</v>
      </c>
      <c r="L76" s="141">
        <f>courbes!J75</f>
        <v>6.083333333333333</v>
      </c>
      <c r="M76" s="139">
        <f t="shared" ca="1" si="6"/>
        <v>1.8809364870653096E+19</v>
      </c>
      <c r="N76" s="139">
        <f>courbes!U75</f>
        <v>6.083333333333333</v>
      </c>
      <c r="O76" s="139">
        <f t="shared" ca="1" si="7"/>
        <v>1.8633746869042786E+19</v>
      </c>
      <c r="Q76" s="139">
        <f t="shared" ca="1" si="8"/>
        <v>0</v>
      </c>
      <c r="R76" s="145"/>
      <c r="S76" s="145"/>
    </row>
    <row r="77" spans="10:19" ht="13.5" thickBot="1">
      <c r="J77" s="138">
        <f>courbes!A76</f>
        <v>6.166666666666667</v>
      </c>
      <c r="K77" s="139">
        <f t="shared" ca="1" si="5"/>
        <v>1.8105188644817725E+19</v>
      </c>
      <c r="L77" s="141">
        <f>courbes!J76</f>
        <v>6.166666666666667</v>
      </c>
      <c r="M77" s="139">
        <f t="shared" ca="1" si="6"/>
        <v>1.8415336722063604E+19</v>
      </c>
      <c r="N77" s="139">
        <f>courbes!U76</f>
        <v>6.166666666666667</v>
      </c>
      <c r="O77" s="139">
        <f t="shared" ca="1" si="7"/>
        <v>1.8239031876655733E+19</v>
      </c>
      <c r="Q77" s="139">
        <f t="shared" ca="1" si="8"/>
        <v>0</v>
      </c>
      <c r="R77" s="145"/>
      <c r="S77" s="145"/>
    </row>
    <row r="78" spans="10:19" ht="13.5" thickBot="1">
      <c r="J78" s="138">
        <f>courbes!A77</f>
        <v>6.25</v>
      </c>
      <c r="K78" s="139">
        <f t="shared" ca="1" si="5"/>
        <v>1.7721998361116479E+19</v>
      </c>
      <c r="L78" s="141">
        <f>courbes!J77</f>
        <v>6.25</v>
      </c>
      <c r="M78" s="139">
        <f t="shared" ca="1" si="6"/>
        <v>1.8029644146195816E+19</v>
      </c>
      <c r="N78" s="139">
        <f>courbes!U77</f>
        <v>6.25</v>
      </c>
      <c r="O78" s="139">
        <f t="shared" ca="1" si="7"/>
        <v>1.785267805426364E+19</v>
      </c>
      <c r="Q78" s="139">
        <f t="shared" ca="1" si="8"/>
        <v>0</v>
      </c>
      <c r="R78" s="145"/>
      <c r="S78" s="145"/>
    </row>
    <row r="79" spans="10:19" ht="13.5" thickBot="1">
      <c r="J79" s="138">
        <f>courbes!A78</f>
        <v>6.333333333333333</v>
      </c>
      <c r="K79" s="139">
        <f t="shared" ca="1" si="5"/>
        <v>1.7347001139395228E+19</v>
      </c>
      <c r="L79" s="141">
        <f>courbes!J78</f>
        <v>6.333333333333333</v>
      </c>
      <c r="M79" s="139">
        <f t="shared" ca="1" si="6"/>
        <v>1.7652110568845099E+19</v>
      </c>
      <c r="N79" s="139">
        <f>courbes!U78</f>
        <v>6.333333333333333</v>
      </c>
      <c r="O79" s="139">
        <f t="shared" ca="1" si="7"/>
        <v>1.7474508288848167E+19</v>
      </c>
      <c r="Q79" s="139">
        <f t="shared" ca="1" si="8"/>
        <v>0</v>
      </c>
      <c r="R79" s="145"/>
      <c r="S79" s="145"/>
    </row>
    <row r="80" spans="10:19" ht="13.5" thickBot="1">
      <c r="J80" s="138">
        <f>courbes!A79</f>
        <v>6.416666666666667</v>
      </c>
      <c r="K80" s="139">
        <f t="shared" ca="1" si="5"/>
        <v>1.6980021565180957E+19</v>
      </c>
      <c r="L80" s="141">
        <f>courbes!J79</f>
        <v>6.416666666666667</v>
      </c>
      <c r="M80" s="139">
        <f t="shared" ca="1" si="6"/>
        <v>1.7282563148254206E+19</v>
      </c>
      <c r="N80" s="139">
        <f>courbes!U79</f>
        <v>6.416666666666667</v>
      </c>
      <c r="O80" s="139">
        <f t="shared" ca="1" si="7"/>
        <v>1.7104349219141188E+19</v>
      </c>
      <c r="Q80" s="139">
        <f t="shared" ca="1" si="8"/>
        <v>0</v>
      </c>
      <c r="R80" s="145"/>
      <c r="S80" s="145"/>
    </row>
    <row r="81" spans="10:19" ht="13.5" thickBot="1">
      <c r="J81" s="138">
        <f>courbes!A80</f>
        <v>6.5</v>
      </c>
      <c r="K81" s="139">
        <f t="shared" ca="1" si="5"/>
        <v>1.662088798026556E+19</v>
      </c>
      <c r="L81" s="141">
        <f>courbes!J80</f>
        <v>6.5</v>
      </c>
      <c r="M81" s="139">
        <f t="shared" ca="1" si="6"/>
        <v>1.6920832689700876E+19</v>
      </c>
      <c r="N81" s="139">
        <f>courbes!U80</f>
        <v>6.5</v>
      </c>
      <c r="O81" s="139">
        <f t="shared" ca="1" si="7"/>
        <v>1.6742031156152195E+19</v>
      </c>
      <c r="Q81" s="139">
        <f t="shared" ca="1" si="8"/>
        <v>0</v>
      </c>
      <c r="R81" s="145"/>
      <c r="S81" s="145"/>
    </row>
    <row r="82" spans="10:19" ht="13.5" thickBot="1">
      <c r="J82" s="138">
        <f>courbes!A81</f>
        <v>6.583333333333333</v>
      </c>
      <c r="K82" s="139">
        <f t="shared" ca="1" si="5"/>
        <v>1.6269432402270241E+19</v>
      </c>
      <c r="L82" s="141">
        <f>courbes!J81</f>
        <v>6.583333333333333</v>
      </c>
      <c r="M82" s="139">
        <f t="shared" ca="1" si="6"/>
        <v>1.6566753560085393E+19</v>
      </c>
      <c r="N82" s="139">
        <f>courbes!U81</f>
        <v>6.583333333333333</v>
      </c>
      <c r="O82" s="139">
        <f t="shared" ca="1" si="7"/>
        <v>1.6387388005379164E+19</v>
      </c>
      <c r="Q82" s="139">
        <f t="shared" ca="1" si="8"/>
        <v>0</v>
      </c>
    </row>
    <row r="83" spans="10:19" ht="13.5" thickBot="1">
      <c r="J83" s="138">
        <f>courbes!A82</f>
        <v>6.666666666666667</v>
      </c>
      <c r="K83" s="139">
        <f t="shared" ca="1" si="5"/>
        <v>1.5925490445932313E+19</v>
      </c>
      <c r="L83" s="141">
        <f>courbes!J82</f>
        <v>6.666666666666667</v>
      </c>
      <c r="M83" s="139">
        <f t="shared" ca="1" si="6"/>
        <v>1.6220163602518149E+19</v>
      </c>
      <c r="N83" s="139">
        <f>courbes!U82</f>
        <v>6.666666666666667</v>
      </c>
      <c r="O83" s="139">
        <f t="shared" ca="1" si="7"/>
        <v>1.6040257190667223E+19</v>
      </c>
      <c r="Q83" s="139">
        <f t="shared" ca="1" si="8"/>
        <v>0</v>
      </c>
    </row>
    <row r="84" spans="10:19" ht="13.5" thickBot="1">
      <c r="J84" s="138">
        <f>courbes!A83</f>
        <v>6.75</v>
      </c>
      <c r="K84" s="139">
        <f t="shared" ca="1" si="5"/>
        <v>1.5588901246077503E+19</v>
      </c>
      <c r="L84" s="141">
        <f>courbes!J83</f>
        <v>6.75</v>
      </c>
      <c r="M84" s="139">
        <f t="shared" ca="1" si="6"/>
        <v>1.588090405090722E+19</v>
      </c>
      <c r="N84" s="139">
        <f>courbes!U83</f>
        <v>6.75</v>
      </c>
      <c r="O84" s="139">
        <f t="shared" ca="1" si="7"/>
        <v>1.570047957968018E+19</v>
      </c>
      <c r="Q84" s="139">
        <f t="shared" ca="1" si="8"/>
        <v>0</v>
      </c>
    </row>
    <row r="85" spans="10:19" ht="13.5" thickBot="1">
      <c r="J85" s="138">
        <f>courbes!A84</f>
        <v>6.833333333333333</v>
      </c>
      <c r="K85" s="139">
        <f t="shared" ca="1" si="5"/>
        <v>1.5259507382241681E+19</v>
      </c>
      <c r="L85" s="141">
        <f>courbes!J84</f>
        <v>6.833333333333333</v>
      </c>
      <c r="M85" s="139">
        <f t="shared" ca="1" si="6"/>
        <v>1.554881944454595E+19</v>
      </c>
      <c r="N85" s="139">
        <f>courbes!U84</f>
        <v>6.833333333333333</v>
      </c>
      <c r="O85" s="139">
        <f t="shared" ca="1" si="7"/>
        <v>1.5367899410950814E+19</v>
      </c>
      <c r="Q85" s="139">
        <f t="shared" ca="1" si="8"/>
        <v>0</v>
      </c>
    </row>
    <row r="86" spans="10:19" ht="13.5" thickBot="1">
      <c r="J86" s="138">
        <f>courbes!A85</f>
        <v>6.916666666666667</v>
      </c>
      <c r="K86" s="139">
        <f t="shared" ca="1" si="5"/>
        <v>1.4937154804906676E+19</v>
      </c>
      <c r="L86" s="141">
        <f>courbes!J85</f>
        <v>6.916666666666667</v>
      </c>
      <c r="M86" s="139">
        <f t="shared" ca="1" si="6"/>
        <v>1.5223757542700495E+19</v>
      </c>
      <c r="N86" s="139">
        <f>courbes!U85</f>
        <v>6.916666666666667</v>
      </c>
      <c r="O86" s="139">
        <f t="shared" ca="1" si="7"/>
        <v>1.5042364222476397E+19</v>
      </c>
      <c r="Q86" s="139">
        <f t="shared" ca="1" si="8"/>
        <v>0</v>
      </c>
    </row>
    <row r="87" spans="10:19" ht="13.5" thickBot="1">
      <c r="J87" s="138">
        <f>courbes!A86</f>
        <v>7</v>
      </c>
      <c r="K87" s="139">
        <f t="shared" ca="1" si="5"/>
        <v>1.462169276331564E+19</v>
      </c>
      <c r="L87" s="141">
        <f>courbes!J86</f>
        <v>7</v>
      </c>
      <c r="M87" s="139">
        <f t="shared" ca="1" si="6"/>
        <v>1.4905569239197424E+19</v>
      </c>
      <c r="N87" s="139">
        <f>courbes!U86</f>
        <v>7</v>
      </c>
      <c r="O87" s="139">
        <f t="shared" ca="1" si="7"/>
        <v>1.4723724781826793E+19</v>
      </c>
      <c r="Q87" s="139">
        <f t="shared" ca="1" si="8"/>
        <v>0</v>
      </c>
    </row>
    <row r="88" spans="10:19" ht="13.5" thickBot="1">
      <c r="J88" s="138">
        <f>courbes!A87</f>
        <v>7.083333333333333</v>
      </c>
      <c r="K88" s="139">
        <f t="shared" ca="1" si="5"/>
        <v>1.4312973734834119E+19</v>
      </c>
      <c r="L88" s="141">
        <f>courbes!J87</f>
        <v>7.083333333333333</v>
      </c>
      <c r="M88" s="139">
        <f t="shared" ca="1" si="6"/>
        <v>1.4594113106690859E+19</v>
      </c>
      <c r="N88" s="139">
        <f>courbes!U87</f>
        <v>7.083333333333333</v>
      </c>
      <c r="O88" s="139">
        <f t="shared" ca="1" si="7"/>
        <v>1.4411835017733075E+19</v>
      </c>
      <c r="Q88" s="139">
        <f t="shared" ca="1" si="8"/>
        <v>0</v>
      </c>
    </row>
    <row r="89" spans="10:19" ht="13.5" thickBot="1">
      <c r="J89" s="138">
        <f>courbes!A88</f>
        <v>7.166666666666667</v>
      </c>
      <c r="K89" s="139">
        <f t="shared" ca="1" si="5"/>
        <v>1.4010853355823743E+19</v>
      </c>
      <c r="L89" s="141">
        <f>courbes!J88</f>
        <v>7.166666666666667</v>
      </c>
      <c r="M89" s="139">
        <f t="shared" ca="1" si="6"/>
        <v>1.4289243491340442E+19</v>
      </c>
      <c r="N89" s="139">
        <f>courbes!U88</f>
        <v>7.166666666666667</v>
      </c>
      <c r="O89" s="139">
        <f t="shared" ca="1" si="7"/>
        <v>1.4106551953125243E+19</v>
      </c>
      <c r="Q89" s="139">
        <f t="shared" ca="1" si="8"/>
        <v>0</v>
      </c>
    </row>
    <row r="90" spans="10:19" ht="13.5" thickBot="1">
      <c r="J90" s="138">
        <f>courbes!A89</f>
        <v>7.25</v>
      </c>
      <c r="K90" s="139">
        <f t="shared" ca="1" si="5"/>
        <v>1.3715190353996143E+19</v>
      </c>
      <c r="L90" s="141">
        <f>courbes!J89</f>
        <v>7.25</v>
      </c>
      <c r="M90" s="139">
        <f t="shared" ca="1" si="6"/>
        <v>1.3990820878654276E+19</v>
      </c>
      <c r="N90" s="139">
        <f>courbes!U89</f>
        <v>7.25</v>
      </c>
      <c r="O90" s="139">
        <f t="shared" ca="1" si="7"/>
        <v>1.3807735639588434E+19</v>
      </c>
      <c r="Q90" s="139">
        <f t="shared" ca="1" si="8"/>
        <v>0</v>
      </c>
    </row>
    <row r="91" spans="10:19" ht="13.5" thickBot="1">
      <c r="J91" s="138">
        <f>courbes!A90</f>
        <v>7.333333333333333</v>
      </c>
      <c r="K91" s="139">
        <f t="shared" ca="1" si="5"/>
        <v>1.3425846482215395E+19</v>
      </c>
      <c r="L91" s="141">
        <f>courbes!J90</f>
        <v>7.333333333333333</v>
      </c>
      <c r="M91" s="139">
        <f t="shared" ca="1" si="6"/>
        <v>1.3698708706853534E+19</v>
      </c>
      <c r="N91" s="139">
        <f>courbes!U90</f>
        <v>7.333333333333333</v>
      </c>
      <c r="O91" s="139">
        <f t="shared" ca="1" si="7"/>
        <v>1.3515249093207515E+19</v>
      </c>
      <c r="Q91" s="139">
        <f t="shared" ca="1" si="8"/>
        <v>0</v>
      </c>
    </row>
    <row r="92" spans="10:19" ht="13.5" thickBot="1">
      <c r="J92" s="138">
        <f>courbes!A91</f>
        <v>7.416666666666667</v>
      </c>
      <c r="K92" s="139">
        <f t="shared" ca="1" si="5"/>
        <v>1.3142686453717981E+19</v>
      </c>
      <c r="L92" s="141">
        <f>courbes!J91</f>
        <v>7.416666666666667</v>
      </c>
      <c r="M92" s="139">
        <f t="shared" ca="1" si="6"/>
        <v>1.3412773300814555E+19</v>
      </c>
      <c r="N92" s="139">
        <f>courbes!U91</f>
        <v>7.416666666666667</v>
      </c>
      <c r="O92" s="139">
        <f t="shared" ca="1" si="7"/>
        <v>1.3228958231770661E+19</v>
      </c>
      <c r="Q92" s="139">
        <f t="shared" ca="1" si="8"/>
        <v>0</v>
      </c>
    </row>
    <row r="93" spans="10:19" ht="13.5" thickBot="1">
      <c r="J93" s="138">
        <f>courbes!A92</f>
        <v>7.5</v>
      </c>
      <c r="K93" s="139">
        <f t="shared" ca="1" si="5"/>
        <v>1.2865577878719906E+19</v>
      </c>
      <c r="L93" s="141">
        <f>courbes!J92</f>
        <v>7.5</v>
      </c>
      <c r="M93" s="139">
        <f t="shared" ca="1" si="6"/>
        <v>1.3132883806010974E+19</v>
      </c>
      <c r="N93" s="139">
        <f>courbes!U92</f>
        <v>7.5</v>
      </c>
      <c r="O93" s="139">
        <f t="shared" ca="1" si="7"/>
        <v>1.2948731813303153E+19</v>
      </c>
      <c r="Q93" s="139">
        <f t="shared" ca="1" si="8"/>
        <v>0</v>
      </c>
    </row>
    <row r="94" spans="10:19" ht="13.5" thickBot="1">
      <c r="J94" s="138">
        <f>courbes!A93</f>
        <v>7.583333333333333</v>
      </c>
      <c r="K94" s="139">
        <f t="shared" ca="1" si="5"/>
        <v>1.2594391202381277E+19</v>
      </c>
      <c r="L94" s="141">
        <f>courbes!J93</f>
        <v>7.583333333333333</v>
      </c>
      <c r="M94" s="139">
        <f t="shared" ca="1" si="6"/>
        <v>1.2858912122455824E+19</v>
      </c>
      <c r="N94" s="139">
        <f>courbes!U93</f>
        <v>7.583333333333333</v>
      </c>
      <c r="O94" s="139">
        <f t="shared" ca="1" si="7"/>
        <v>1.2674441375903187E+19</v>
      </c>
      <c r="Q94" s="139">
        <f t="shared" ca="1" si="8"/>
        <v>0</v>
      </c>
    </row>
    <row r="95" spans="10:19" ht="13.5" thickBot="1">
      <c r="J95" s="138">
        <f>courbes!A94</f>
        <v>7.666666666666667</v>
      </c>
      <c r="K95" s="139">
        <f t="shared" ca="1" si="5"/>
        <v>1.2328999644099273E+19</v>
      </c>
      <c r="L95" s="141">
        <f>courbes!J94</f>
        <v>7.666666666666667</v>
      </c>
      <c r="M95" s="139">
        <f t="shared" ca="1" si="6"/>
        <v>1.2590732838643671E+19</v>
      </c>
      <c r="N95" s="139">
        <f>courbes!U94</f>
        <v>7.666666666666667</v>
      </c>
      <c r="O95" s="139">
        <f t="shared" ca="1" si="7"/>
        <v>1.2405961178852149E+19</v>
      </c>
      <c r="Q95" s="139">
        <f t="shared" ca="1" si="8"/>
        <v>0</v>
      </c>
    </row>
    <row r="96" spans="10:19" ht="13.5" thickBot="1">
      <c r="J96" s="138">
        <f>courbes!A95</f>
        <v>7.75</v>
      </c>
      <c r="K96" s="139">
        <f t="shared" ca="1" si="5"/>
        <v>1.2069279138101045E+19</v>
      </c>
      <c r="L96" s="141">
        <f>courbes!J95</f>
        <v>7.75</v>
      </c>
      <c r="M96" s="139">
        <f t="shared" ca="1" si="6"/>
        <v>1.2328223165492701E+19</v>
      </c>
      <c r="N96" s="139">
        <f>courbes!U95</f>
        <v>7.75</v>
      </c>
      <c r="O96" s="139">
        <f t="shared" ca="1" si="7"/>
        <v>1.2143168144972313E+19</v>
      </c>
      <c r="Q96" s="139">
        <f t="shared" ca="1" si="8"/>
        <v>0</v>
      </c>
      <c r="R96" s="153"/>
      <c r="S96" s="153"/>
    </row>
    <row r="97" spans="10:19" ht="13.5" thickBot="1">
      <c r="J97" s="138">
        <f>courbes!A96</f>
        <v>7.833333333333333</v>
      </c>
      <c r="K97" s="139">
        <f t="shared" ca="1" si="5"/>
        <v>1.1815108275308755E+19</v>
      </c>
      <c r="L97" s="141">
        <f>courbes!J96</f>
        <v>7.833333333333333</v>
      </c>
      <c r="M97" s="139">
        <f t="shared" ca="1" si="6"/>
        <v>1.2071262870286868E+19</v>
      </c>
      <c r="N97" s="139">
        <f>courbes!U96</f>
        <v>7.833333333333333</v>
      </c>
      <c r="O97" s="139">
        <f t="shared" ca="1" si="7"/>
        <v>1.1885941804205576E+19</v>
      </c>
      <c r="Q97" s="139">
        <f t="shared" ca="1" si="8"/>
        <v>0</v>
      </c>
      <c r="R97" s="153"/>
      <c r="S97" s="153"/>
    </row>
    <row r="98" spans="10:19" ht="13.5" thickBot="1">
      <c r="J98" s="138">
        <f>courbes!A97</f>
        <v>7.916666666666667</v>
      </c>
      <c r="K98" s="139">
        <f t="shared" ca="1" si="5"/>
        <v>1.1566368246449453E+19</v>
      </c>
      <c r="L98" s="141">
        <f>courbes!J97</f>
        <v>7.916666666666667</v>
      </c>
      <c r="M98" s="139">
        <f t="shared" ca="1" si="6"/>
        <v>1.1819734210617989E+19</v>
      </c>
      <c r="N98" s="139">
        <f>courbes!U97</f>
        <v>7.916666666666667</v>
      </c>
      <c r="O98" s="139">
        <f t="shared" ca="1" si="7"/>
        <v>1.1634164238387382E+19</v>
      </c>
      <c r="Q98" s="139">
        <f t="shared" ca="1" si="8"/>
        <v>0</v>
      </c>
      <c r="R98" s="153"/>
      <c r="S98" s="153"/>
    </row>
    <row r="99" spans="10:19" ht="13.5" thickBot="1">
      <c r="J99" s="138">
        <f>courbes!A98</f>
        <v>8</v>
      </c>
      <c r="K99" s="139">
        <f t="shared" ca="1" si="5"/>
        <v>1.1322942786383188E+19</v>
      </c>
      <c r="L99" s="141">
        <f>courbes!J98</f>
        <v>8</v>
      </c>
      <c r="M99" s="139">
        <f t="shared" ca="1" si="6"/>
        <v>1.1573521868327852E+19</v>
      </c>
      <c r="N99" s="139">
        <f>courbes!U98</f>
        <v>8</v>
      </c>
      <c r="O99" s="139">
        <f t="shared" ca="1" si="7"/>
        <v>1.1387720027190438E+19</v>
      </c>
      <c r="Q99" s="139">
        <f t="shared" ca="1" si="8"/>
        <v>0</v>
      </c>
      <c r="R99" s="153"/>
      <c r="S99" s="153"/>
    </row>
    <row r="100" spans="10:19" ht="13.5" thickBot="1">
      <c r="J100" s="138">
        <f>courbes!A99</f>
        <v>8.0833333333333339</v>
      </c>
      <c r="K100" s="139">
        <f t="shared" ca="1" si="5"/>
        <v>1.1084718119623242E+19</v>
      </c>
      <c r="L100" s="141">
        <f>courbes!J99</f>
        <v>8.0833333333333339</v>
      </c>
      <c r="M100" s="139">
        <f t="shared" ca="1" si="6"/>
        <v>1.1332516464059711E+19</v>
      </c>
      <c r="N100" s="139">
        <f>courbes!U99</f>
        <v>8.0833333333333339</v>
      </c>
      <c r="O100" s="139">
        <f t="shared" ca="1" si="7"/>
        <v>1.1146496195213521E+19</v>
      </c>
      <c r="Q100" s="139">
        <f t="shared" ca="1" si="8"/>
        <v>0</v>
      </c>
      <c r="R100" s="153"/>
      <c r="S100" s="153"/>
    </row>
    <row r="101" spans="10:19" ht="13.5" thickBot="1">
      <c r="J101" s="138">
        <f>courbes!A100</f>
        <v>8.1666666666666661</v>
      </c>
      <c r="K101" s="139">
        <f t="shared" ca="1" si="5"/>
        <v>1.0851582907022963E+19</v>
      </c>
      <c r="L101" s="141">
        <f>courbes!J100</f>
        <v>8.1666666666666661</v>
      </c>
      <c r="M101" s="139">
        <f t="shared" ca="1" si="6"/>
        <v>1.1096605349643246E+19</v>
      </c>
      <c r="N101" s="139">
        <f>courbes!U100</f>
        <v>8.1666666666666661</v>
      </c>
      <c r="O101" s="139">
        <f t="shared" ca="1" si="7"/>
        <v>1.0910382160191103E+19</v>
      </c>
      <c r="Q101" s="139">
        <f t="shared" ca="1" si="8"/>
        <v>0</v>
      </c>
      <c r="R101" s="153"/>
      <c r="S101" s="153"/>
    </row>
    <row r="102" spans="10:19" ht="13.5" thickBot="1">
      <c r="J102" s="138">
        <f>courbes!A101</f>
        <v>8.25</v>
      </c>
      <c r="K102" s="139">
        <f t="shared" ca="1" si="5"/>
        <v>1.0623428193604219E+19</v>
      </c>
      <c r="L102" s="141">
        <f>courbes!J101</f>
        <v>8.25</v>
      </c>
      <c r="M102" s="139">
        <f t="shared" ca="1" si="6"/>
        <v>1.0865680625072339E+19</v>
      </c>
      <c r="N102" s="139">
        <f>courbes!U101</f>
        <v>8.25</v>
      </c>
      <c r="O102" s="139">
        <f t="shared" ca="1" si="7"/>
        <v>1.0679269682300021E+19</v>
      </c>
      <c r="Q102" s="139">
        <f t="shared" ca="1" si="8"/>
        <v>0</v>
      </c>
      <c r="R102" s="153"/>
      <c r="S102" s="153"/>
    </row>
    <row r="103" spans="10:19" ht="13.5" thickBot="1">
      <c r="J103" s="138">
        <f>courbes!A102</f>
        <v>8.3333333333333339</v>
      </c>
      <c r="K103" s="139">
        <f t="shared" ca="1" si="5"/>
        <v>1.0400147357503033E+19</v>
      </c>
      <c r="L103" s="141">
        <f>courbes!J102</f>
        <v>8.3333333333333339</v>
      </c>
      <c r="M103" s="139">
        <f t="shared" ca="1" si="6"/>
        <v>1.0639636673950966E+19</v>
      </c>
      <c r="N103" s="139">
        <f>courbes!U102</f>
        <v>8.3333333333333339</v>
      </c>
      <c r="O103" s="139">
        <f t="shared" ca="1" si="7"/>
        <v>1.0453052814539979E+19</v>
      </c>
      <c r="P103" s="153"/>
      <c r="Q103" s="139">
        <f t="shared" ca="1" si="8"/>
        <v>0</v>
      </c>
      <c r="R103" s="153"/>
      <c r="S103" s="153"/>
    </row>
    <row r="104" spans="10:19" ht="13.5" thickBot="1">
      <c r="J104" s="138">
        <f>courbes!A103</f>
        <v>8.4166666666666661</v>
      </c>
      <c r="K104" s="139">
        <f t="shared" ca="1" si="5"/>
        <v>1.0181636060008462E+19</v>
      </c>
      <c r="L104" s="141">
        <f>courbes!J103</f>
        <v>8.4166666666666661</v>
      </c>
      <c r="M104" s="139">
        <f t="shared" ca="1" si="6"/>
        <v>1.041837011240414E+19</v>
      </c>
      <c r="N104" s="139">
        <f>courbes!U103</f>
        <v>8.4166666666666661</v>
      </c>
      <c r="O104" s="139">
        <f t="shared" ca="1" si="7"/>
        <v>1.0231627854165137E+19</v>
      </c>
      <c r="P104" s="153"/>
      <c r="Q104" s="139">
        <f t="shared" ca="1" si="8"/>
        <v>0</v>
      </c>
      <c r="R104" s="153"/>
      <c r="S104" s="153"/>
    </row>
    <row r="105" spans="10:19" ht="13.5" thickBot="1">
      <c r="J105" s="138">
        <f>courbes!A104</f>
        <v>8.5</v>
      </c>
      <c r="K105" s="139">
        <f t="shared" ca="1" si="5"/>
        <v>9.9677921966713221E+18</v>
      </c>
      <c r="L105" s="141">
        <f>courbes!J104</f>
        <v>8.5</v>
      </c>
      <c r="M105" s="139">
        <f t="shared" ca="1" si="6"/>
        <v>1.0201779737988913E+19</v>
      </c>
      <c r="N105" s="139">
        <f>courbes!U104</f>
        <v>8.5</v>
      </c>
      <c r="O105" s="139">
        <f t="shared" ca="1" si="7"/>
        <v>1.0014893295144511E+19</v>
      </c>
      <c r="P105" s="153"/>
      <c r="Q105" s="139">
        <f t="shared" ca="1" si="8"/>
        <v>0</v>
      </c>
      <c r="R105" s="153"/>
      <c r="S105" s="153"/>
    </row>
    <row r="106" spans="10:19" ht="13.5" thickBot="1">
      <c r="J106" s="138">
        <f>courbes!A105</f>
        <v>8.5833333333333339</v>
      </c>
      <c r="K106" s="139">
        <f t="shared" ca="1" si="5"/>
        <v>9.7585158494598574E+18</v>
      </c>
      <c r="L106" s="141">
        <f>courbes!J105</f>
        <v>8.5833333333333339</v>
      </c>
      <c r="M106" s="139">
        <f t="shared" ca="1" si="6"/>
        <v>9.9897664786053448E+18</v>
      </c>
      <c r="N106" s="139">
        <f>courbes!U105</f>
        <v>8.5833333333333339</v>
      </c>
      <c r="O106" s="139">
        <f t="shared" ca="1" si="7"/>
        <v>9.8027497816293908E+18</v>
      </c>
      <c r="P106" s="153"/>
      <c r="Q106" s="139">
        <f t="shared" ca="1" si="8"/>
        <v>0</v>
      </c>
      <c r="R106" s="153"/>
      <c r="S106" s="153"/>
    </row>
    <row r="107" spans="10:19" ht="13.5" thickBot="1">
      <c r="J107" s="138">
        <f>courbes!A106</f>
        <v>8.6666666666666661</v>
      </c>
      <c r="K107" s="139">
        <f t="shared" ca="1" si="5"/>
        <v>9.5537092399399117E+18</v>
      </c>
      <c r="L107" s="141">
        <f>courbes!J106</f>
        <v>8.6666666666666661</v>
      </c>
      <c r="M107" s="139">
        <f t="shared" ca="1" si="6"/>
        <v>9.7822333414074634E+18</v>
      </c>
      <c r="N107" s="139">
        <f>courbes!U106</f>
        <v>8.6666666666666661</v>
      </c>
      <c r="O107" s="139">
        <f t="shared" ca="1" si="7"/>
        <v>9.5951000624064573E+18</v>
      </c>
      <c r="P107" s="153"/>
      <c r="Q107" s="139">
        <f t="shared" ca="1" si="8"/>
        <v>0</v>
      </c>
      <c r="R107" s="153"/>
      <c r="S107" s="153"/>
    </row>
    <row r="108" spans="10:19" ht="13.5" thickBot="1">
      <c r="J108" s="138">
        <f>courbes!A107</f>
        <v>8.75</v>
      </c>
      <c r="K108" s="139">
        <f t="shared" ca="1" si="5"/>
        <v>9.3532766834576855E+18</v>
      </c>
      <c r="L108" s="141">
        <f>courbes!J107</f>
        <v>8.75</v>
      </c>
      <c r="M108" s="139">
        <f t="shared" ca="1" si="6"/>
        <v>9.5790853617142702E+18</v>
      </c>
      <c r="N108" s="139">
        <f>courbes!U107</f>
        <v>8.75</v>
      </c>
      <c r="O108" s="139">
        <f t="shared" ca="1" si="7"/>
        <v>9.39184894631569E+18</v>
      </c>
      <c r="P108" s="153"/>
      <c r="Q108" s="139">
        <f t="shared" ca="1" si="8"/>
        <v>0</v>
      </c>
      <c r="R108" s="153"/>
      <c r="S108" s="153"/>
    </row>
    <row r="109" spans="10:19" ht="13.5" thickBot="1">
      <c r="J109" s="138">
        <f>courbes!A108</f>
        <v>8.8333333333333339</v>
      </c>
      <c r="K109" s="139">
        <f t="shared" ca="1" si="5"/>
        <v>9.1571245443036088E+18</v>
      </c>
      <c r="L109" s="141">
        <f>courbes!J108</f>
        <v>8.8333333333333339</v>
      </c>
      <c r="M109" s="139">
        <f t="shared" ca="1" si="6"/>
        <v>9.380229551920681E+18</v>
      </c>
      <c r="N109" s="139">
        <f>courbes!U108</f>
        <v>8.8333333333333339</v>
      </c>
      <c r="O109" s="139">
        <f t="shared" ca="1" si="7"/>
        <v>9.1929032586126889E+18</v>
      </c>
      <c r="P109" s="153"/>
      <c r="Q109" s="139">
        <f t="shared" ca="1" si="8"/>
        <v>0</v>
      </c>
      <c r="R109" s="153"/>
      <c r="S109" s="153"/>
    </row>
    <row r="110" spans="10:19" ht="13.5" thickBot="1">
      <c r="J110" s="138">
        <f>courbes!A109</f>
        <v>8.9166666666666661</v>
      </c>
      <c r="K110" s="139">
        <f t="shared" ca="1" si="5"/>
        <v>8.9651611918363034E+18</v>
      </c>
      <c r="L110" s="141">
        <f>courbes!J109</f>
        <v>8.9166666666666661</v>
      </c>
      <c r="M110" s="139">
        <f t="shared" ca="1" si="6"/>
        <v>9.1855748504085309E+18</v>
      </c>
      <c r="N110" s="139">
        <f>courbes!U109</f>
        <v>8.9166666666666661</v>
      </c>
      <c r="O110" s="139">
        <f t="shared" ca="1" si="7"/>
        <v>8.9981717982553221E+18</v>
      </c>
      <c r="P110" s="153"/>
      <c r="Q110" s="139">
        <f t="shared" ca="1" si="8"/>
        <v>0</v>
      </c>
      <c r="R110" s="153"/>
      <c r="S110" s="153"/>
    </row>
    <row r="111" spans="10:19" ht="13.5" thickBot="1">
      <c r="J111" s="138">
        <f>courbes!A110</f>
        <v>9</v>
      </c>
      <c r="K111" s="139">
        <f t="shared" ca="1" si="5"/>
        <v>8.7772969575460977E+18</v>
      </c>
      <c r="L111" s="141">
        <f>courbes!J110</f>
        <v>9</v>
      </c>
      <c r="M111" s="139">
        <f t="shared" ca="1" si="6"/>
        <v>8.9950320704575355E+18</v>
      </c>
      <c r="N111" s="139">
        <f>courbes!U110</f>
        <v>9</v>
      </c>
      <c r="O111" s="139">
        <f t="shared" ca="1" si="7"/>
        <v>8.8075652960951798E+18</v>
      </c>
      <c r="P111" s="153"/>
      <c r="Q111" s="139">
        <f t="shared" ca="1" si="8"/>
        <v>0</v>
      </c>
      <c r="R111" s="153"/>
      <c r="S111" s="153"/>
    </row>
    <row r="112" spans="10:19" ht="13.5" thickBot="1">
      <c r="J112" s="138">
        <f>courbes!A111</f>
        <v>9.0833333333333339</v>
      </c>
      <c r="K112" s="139">
        <f t="shared" ca="1" si="5"/>
        <v>8.5934440930379653E+18</v>
      </c>
      <c r="L112" s="141">
        <f>courbes!J111</f>
        <v>9.0833333333333339</v>
      </c>
      <c r="M112" s="139">
        <f t="shared" ca="1" si="6"/>
        <v>8.8085166184078367E+18</v>
      </c>
      <c r="N112" s="139">
        <f>courbes!U111</f>
        <v>9.0833333333333339</v>
      </c>
      <c r="O112" s="139">
        <f t="shared" ca="1" si="7"/>
        <v>8.6209963739546542E+18</v>
      </c>
      <c r="P112" s="153"/>
      <c r="Q112" s="139">
        <f t="shared" ca="1" si="8"/>
        <v>0</v>
      </c>
      <c r="R112" s="153"/>
      <c r="S112" s="153"/>
    </row>
    <row r="113" spans="10:19" ht="13.5" thickBot="1">
      <c r="J113" s="138">
        <f>courbes!A112</f>
        <v>9.1666666666666661</v>
      </c>
      <c r="K113" s="139">
        <f t="shared" ca="1" si="5"/>
        <v>8.4135167289141965E+18</v>
      </c>
      <c r="L113" s="141">
        <f>courbes!J112</f>
        <v>9.1666666666666661</v>
      </c>
      <c r="M113" s="139">
        <f t="shared" ca="1" si="6"/>
        <v>8.6259413724692152E+18</v>
      </c>
      <c r="N113" s="139">
        <f>courbes!U112</f>
        <v>9.1666666666666661</v>
      </c>
      <c r="O113" s="139">
        <f t="shared" ca="1" si="7"/>
        <v>8.438379504570879E+18</v>
      </c>
      <c r="P113" s="153"/>
      <c r="Q113" s="139">
        <f t="shared" ca="1" si="8"/>
        <v>0</v>
      </c>
      <c r="R113" s="153"/>
      <c r="S113" s="153"/>
    </row>
    <row r="114" spans="10:19" ht="13.5" thickBot="1">
      <c r="J114" s="138">
        <f>courbes!A113</f>
        <v>9.25</v>
      </c>
      <c r="K114" s="139">
        <f t="shared" ca="1" si="5"/>
        <v>8.2374308345375406E+18</v>
      </c>
      <c r="L114" s="141">
        <f>courbes!J113</f>
        <v>9.25</v>
      </c>
      <c r="M114" s="139">
        <f t="shared" ca="1" si="6"/>
        <v>8.4472228830710344E+18</v>
      </c>
      <c r="N114" s="139">
        <f>courbes!U113</f>
        <v>9.25</v>
      </c>
      <c r="O114" s="139">
        <f t="shared" ca="1" si="7"/>
        <v>8.2596309723881574E+18</v>
      </c>
      <c r="P114" s="153"/>
      <c r="Q114" s="139">
        <f t="shared" ca="1" si="8"/>
        <v>0</v>
      </c>
      <c r="R114" s="153"/>
      <c r="S114" s="153"/>
    </row>
    <row r="115" spans="10:19" ht="13.5" thickBot="1">
      <c r="J115" s="138">
        <f>courbes!A114</f>
        <v>9.3333333333333339</v>
      </c>
      <c r="K115" s="139">
        <f t="shared" ca="1" si="5"/>
        <v>8.0651041786559713E+18</v>
      </c>
      <c r="L115" s="141">
        <f>courbes!J114</f>
        <v>9.3333333333333339</v>
      </c>
      <c r="M115" s="139">
        <f t="shared" ca="1" si="6"/>
        <v>8.2722794667704658E+18</v>
      </c>
      <c r="N115" s="139">
        <f>courbes!U114</f>
        <v>9.3333333333333339</v>
      </c>
      <c r="O115" s="139">
        <f t="shared" ca="1" si="7"/>
        <v>8.0846688351809382E+18</v>
      </c>
      <c r="P115" s="153"/>
      <c r="Q115" s="139">
        <f t="shared" ca="1" si="8"/>
        <v>0</v>
      </c>
      <c r="R115" s="153"/>
      <c r="S115" s="153"/>
    </row>
    <row r="116" spans="10:19" ht="13.5" thickBot="1">
      <c r="J116" s="138">
        <f>courbes!A115</f>
        <v>9.4166666666666661</v>
      </c>
      <c r="K116" s="139">
        <f t="shared" ca="1" si="5"/>
        <v>7.896456290870613E+18</v>
      </c>
      <c r="L116" s="141">
        <f>courbes!J115</f>
        <v>9.4166666666666661</v>
      </c>
      <c r="M116" s="139">
        <f t="shared" ca="1" si="6"/>
        <v>8.101031166740396E+18</v>
      </c>
      <c r="N116" s="139">
        <f>courbes!U115</f>
        <v>9.4166666666666661</v>
      </c>
      <c r="O116" s="139">
        <f t="shared" ca="1" si="7"/>
        <v>7.9134128864897004E+18</v>
      </c>
      <c r="P116" s="153"/>
      <c r="Q116" s="139">
        <f t="shared" ca="1" si="8"/>
        <v>0</v>
      </c>
      <c r="R116" s="153"/>
      <c r="S116" s="153"/>
    </row>
    <row r="117" spans="10:19" ht="13.5" thickBot="1">
      <c r="J117" s="138">
        <f>courbes!A116</f>
        <v>9.5</v>
      </c>
      <c r="K117" s="139">
        <f t="shared" ca="1" si="5"/>
        <v>7.7314084239287828E+18</v>
      </c>
      <c r="L117" s="141">
        <f>courbes!J116</f>
        <v>9.5</v>
      </c>
      <c r="M117" s="139">
        <f t="shared" ca="1" si="6"/>
        <v>7.9333997132573573E+18</v>
      </c>
      <c r="N117" s="139">
        <f>courbes!U116</f>
        <v>9.5</v>
      </c>
      <c r="O117" s="139">
        <f t="shared" ca="1" si="7"/>
        <v>7.7457846188525732E+18</v>
      </c>
      <c r="P117" s="153"/>
      <c r="Q117" s="139">
        <f t="shared" ca="1" si="8"/>
        <v>0</v>
      </c>
      <c r="R117" s="153"/>
      <c r="S117" s="153"/>
    </row>
    <row r="118" spans="10:19" ht="13.5" thickBot="1">
      <c r="J118" s="138">
        <f>courbes!A117</f>
        <v>9.5833333333333339</v>
      </c>
      <c r="K118" s="139">
        <f t="shared" ca="1" si="5"/>
        <v>7.5698835168244726E+18</v>
      </c>
      <c r="L118" s="141">
        <f>courbes!J117</f>
        <v>9.5833333333333339</v>
      </c>
      <c r="M118" s="139">
        <f t="shared" ca="1" si="6"/>
        <v>7.769308484189438E+18</v>
      </c>
      <c r="N118" s="139">
        <f>courbes!U117</f>
        <v>9.5833333333333339</v>
      </c>
      <c r="O118" s="139">
        <f t="shared" ca="1" si="7"/>
        <v>7.5817071878157957E+18</v>
      </c>
      <c r="P118" s="153"/>
      <c r="Q118" s="139">
        <f t="shared" ca="1" si="8"/>
        <v>0</v>
      </c>
      <c r="R118" s="153"/>
      <c r="S118" s="153"/>
    </row>
    <row r="119" spans="10:19" ht="13.5" thickBot="1">
      <c r="J119" s="138">
        <f>courbes!A118</f>
        <v>9.6666666666666661</v>
      </c>
      <c r="K119" s="139">
        <f t="shared" ca="1" si="5"/>
        <v>7.4118061586889923E+18</v>
      </c>
      <c r="L119" s="141">
        <f>courbes!J118</f>
        <v>9.6666666666666661</v>
      </c>
      <c r="M119" s="139">
        <f t="shared" ca="1" si="6"/>
        <v>7.608682465484202E+18</v>
      </c>
      <c r="N119" s="139">
        <f>courbes!U118</f>
        <v>9.6666666666666661</v>
      </c>
      <c r="O119" s="139">
        <f t="shared" ca="1" si="7"/>
        <v>7.4211053767065457E+18</v>
      </c>
      <c r="P119" s="153"/>
      <c r="Q119" s="139">
        <f t="shared" ca="1" si="8"/>
        <v>0</v>
      </c>
      <c r="R119" s="153"/>
      <c r="S119" s="153"/>
    </row>
    <row r="120" spans="10:19" ht="13.5" thickBot="1">
      <c r="J120" s="138">
        <f>courbes!A119</f>
        <v>9.75</v>
      </c>
      <c r="K120" s="139">
        <f t="shared" ca="1" si="5"/>
        <v>7.2571025534548398E+18</v>
      </c>
      <c r="L120" s="141">
        <f>courbes!J119</f>
        <v>9.75</v>
      </c>
      <c r="M120" s="139">
        <f t="shared" ca="1" si="6"/>
        <v>7.4514482116566221E+18</v>
      </c>
      <c r="N120" s="139">
        <f>courbes!U119</f>
        <v>9.75</v>
      </c>
      <c r="O120" s="139">
        <f t="shared" ca="1" si="7"/>
        <v>7.263905562151979E+18</v>
      </c>
      <c r="P120" s="153"/>
      <c r="Q120" s="139">
        <f t="shared" ca="1" si="8"/>
        <v>0</v>
      </c>
      <c r="R120" s="153"/>
      <c r="S120" s="153"/>
    </row>
    <row r="121" spans="10:19" ht="13.5" thickBot="1">
      <c r="J121" s="138">
        <f>courbes!A120</f>
        <v>9.8333333333333339</v>
      </c>
      <c r="K121" s="139">
        <f t="shared" ca="1" si="5"/>
        <v>7.1057004852762542E+18</v>
      </c>
      <c r="L121" s="141">
        <f>courbes!J120</f>
        <v>9.8333333333333339</v>
      </c>
      <c r="M121" s="139">
        <f t="shared" ca="1" si="6"/>
        <v>7.2975338062769848E+18</v>
      </c>
      <c r="N121" s="139">
        <f>courbes!U120</f>
        <v>9.8333333333333339</v>
      </c>
      <c r="O121" s="139">
        <f t="shared" ca="1" si="7"/>
        <v>7.1100356803286692E+18</v>
      </c>
      <c r="P121" s="153"/>
      <c r="Q121" s="139">
        <f t="shared" ca="1" si="8"/>
        <v>0</v>
      </c>
      <c r="R121" s="153"/>
      <c r="S121" s="153"/>
    </row>
    <row r="122" spans="10:19" ht="13.5" thickBot="1">
      <c r="J122" s="138">
        <f>courbes!A121</f>
        <v>9.9166666666666661</v>
      </c>
      <c r="K122" s="139">
        <f t="shared" ca="1" si="5"/>
        <v>6.9575292846902405E+18</v>
      </c>
      <c r="L122" s="141">
        <f>courbes!J121</f>
        <v>9.9166666666666661</v>
      </c>
      <c r="M122" s="139">
        <f t="shared" ca="1" si="6"/>
        <v>7.1468688224588145E+18</v>
      </c>
      <c r="N122" s="139">
        <f>courbes!U121</f>
        <v>9.9166666666666661</v>
      </c>
      <c r="O122" s="139">
        <f t="shared" ca="1" si="7"/>
        <v>6.9594251939269734E+18</v>
      </c>
      <c r="P122" s="153"/>
      <c r="Q122" s="139">
        <f t="shared" ca="1" si="8"/>
        <v>0</v>
      </c>
      <c r="R122" s="153"/>
      <c r="S122" s="153"/>
    </row>
    <row r="123" spans="10:19" ht="13.5" thickBot="1">
      <c r="J123" s="138">
        <f>courbes!A122</f>
        <v>10</v>
      </c>
      <c r="K123" s="139">
        <f t="shared" ca="1" si="5"/>
        <v>6.81251979550221E+18</v>
      </c>
      <c r="L123" s="141">
        <f>courbes!J122</f>
        <v>10</v>
      </c>
      <c r="M123" s="139">
        <f t="shared" ca="1" si="6"/>
        <v>6.9993842833467976E+18</v>
      </c>
      <c r="N123" s="139">
        <f>courbes!U122</f>
        <v>10</v>
      </c>
      <c r="O123" s="139">
        <f t="shared" ca="1" si="7"/>
        <v>6.8120050598151987E+18</v>
      </c>
      <c r="P123" s="153"/>
      <c r="Q123" s="139">
        <f t="shared" ca="1" si="8"/>
        <v>0</v>
      </c>
      <c r="R123" s="153"/>
      <c r="S123" s="153"/>
    </row>
    <row r="124" spans="10:19" ht="13.5" thickBot="1">
      <c r="J124" s="138">
        <f>courbes!A123</f>
        <v>10.083333333333334</v>
      </c>
      <c r="K124" s="139">
        <f t="shared" ca="1" si="5"/>
        <v>6.6706043423807304E+18</v>
      </c>
      <c r="L124" s="149"/>
      <c r="M124" s="150"/>
      <c r="N124" s="139">
        <f>courbes!U123</f>
        <v>10.083333333333334</v>
      </c>
      <c r="O124" s="139">
        <f t="shared" ca="1" si="7"/>
        <v>6.6677076973887191E+18</v>
      </c>
      <c r="P124" s="153"/>
      <c r="Q124" s="139">
        <f t="shared" ca="1" si="8"/>
        <v>0</v>
      </c>
      <c r="R124" s="153"/>
      <c r="S124" s="153"/>
    </row>
    <row r="125" spans="10:19" ht="13.5" thickBot="1">
      <c r="J125" s="138">
        <f>courbes!A124</f>
        <v>10.166666666666666</v>
      </c>
      <c r="K125" s="139">
        <f t="shared" ca="1" si="5"/>
        <v>6.5317166991461827E+18</v>
      </c>
      <c r="L125" s="149"/>
      <c r="M125" s="150"/>
      <c r="N125" s="139">
        <f>courbes!U124</f>
        <v>10.166666666666666</v>
      </c>
      <c r="O125" s="139">
        <f t="shared" ca="1" si="7"/>
        <v>6.5264669575895603E+18</v>
      </c>
      <c r="P125" s="153"/>
      <c r="Q125" s="139">
        <f t="shared" ca="1" si="8"/>
        <v>0</v>
      </c>
      <c r="R125" s="153"/>
      <c r="S125" s="153"/>
    </row>
    <row r="126" spans="10:19" ht="13.5" thickBot="1">
      <c r="J126" s="138">
        <f>courbes!A125</f>
        <v>10.25</v>
      </c>
      <c r="K126" s="139">
        <f t="shared" ca="1" si="5"/>
        <v>6.3957920577384878E+18</v>
      </c>
      <c r="L126" s="149"/>
      <c r="M126" s="150"/>
      <c r="N126" s="139">
        <f>courbes!U125</f>
        <v>10.25</v>
      </c>
      <c r="O126" s="139">
        <f t="shared" ca="1" si="7"/>
        <v>6.3882180925822147E+18</v>
      </c>
      <c r="P126" s="153"/>
      <c r="Q126" s="139">
        <f t="shared" ca="1" si="8"/>
        <v>0</v>
      </c>
      <c r="R126" s="153"/>
      <c r="S126" s="153"/>
    </row>
    <row r="127" spans="10:19" ht="13.5" thickBot="1">
      <c r="J127" s="138">
        <f>courbes!A126</f>
        <v>10.333333333333334</v>
      </c>
      <c r="K127" s="139">
        <f t="shared" ca="1" si="5"/>
        <v>6.262766997849343E+18</v>
      </c>
      <c r="L127" s="149"/>
      <c r="M127" s="150"/>
      <c r="N127" s="139">
        <f>courbes!U126</f>
        <v>10.333333333333334</v>
      </c>
      <c r="O127" s="139">
        <f t="shared" ca="1" si="7"/>
        <v>6.2528977260718408E+18</v>
      </c>
      <c r="P127" s="153"/>
      <c r="Q127" s="139">
        <f t="shared" ca="1" si="8"/>
        <v>0</v>
      </c>
      <c r="R127" s="153"/>
      <c r="S127" s="153"/>
    </row>
    <row r="128" spans="10:19" ht="13.5" thickBot="1">
      <c r="J128" s="138">
        <f>courbes!A127</f>
        <v>10.416666666666666</v>
      </c>
      <c r="K128" s="139">
        <f t="shared" ca="1" si="5"/>
        <v>6.1325794572047514E+18</v>
      </c>
      <c r="L128" s="149"/>
      <c r="M128" s="150"/>
      <c r="N128" s="139">
        <f>courbes!U127</f>
        <v>10.416666666666666</v>
      </c>
      <c r="O128" s="139">
        <f t="shared" ca="1" si="7"/>
        <v>6.1204438242511667E+18</v>
      </c>
      <c r="P128" s="153"/>
      <c r="Q128" s="139">
        <f t="shared" ca="1" si="8"/>
        <v>0</v>
      </c>
      <c r="R128" s="153"/>
      <c r="S128" s="153"/>
    </row>
    <row r="129" spans="10:19" ht="13.5" thickBot="1">
      <c r="J129" s="138">
        <f>courbes!A128</f>
        <v>10.5</v>
      </c>
      <c r="K129" s="139">
        <f t="shared" ca="1" si="5"/>
        <v>6.0051687024839117E+18</v>
      </c>
      <c r="L129" s="149"/>
      <c r="M129" s="150"/>
      <c r="N129" s="139">
        <f>courbes!U128</f>
        <v>10.5</v>
      </c>
      <c r="O129" s="139">
        <f t="shared" ca="1" si="7"/>
        <v>5.990795667362858E+18</v>
      </c>
      <c r="P129" s="153"/>
      <c r="Q129" s="139">
        <f t="shared" ca="1" si="8"/>
        <v>0</v>
      </c>
      <c r="R129" s="153"/>
      <c r="S129" s="153"/>
    </row>
    <row r="130" spans="10:19" ht="13.5" thickBot="1">
      <c r="J130" s="138">
        <f>courbes!A129</f>
        <v>10.583333333333334</v>
      </c>
      <c r="K130" s="139">
        <f t="shared" ca="1" si="5"/>
        <v>5.8804753008608471E+18</v>
      </c>
      <c r="L130" s="149"/>
      <c r="M130" s="150"/>
      <c r="N130" s="139">
        <f>courbes!U129</f>
        <v>10.583333333333334</v>
      </c>
      <c r="O130" s="139">
        <f t="shared" ca="1" si="7"/>
        <v>5.8638938218642452E+18</v>
      </c>
      <c r="P130" s="153"/>
      <c r="Q130" s="139">
        <f t="shared" ca="1" si="8"/>
        <v>0</v>
      </c>
      <c r="R130" s="153"/>
      <c r="S130" s="153"/>
    </row>
    <row r="131" spans="10:19" ht="13.5" thickBot="1">
      <c r="J131" s="138">
        <f>courbes!A130</f>
        <v>10.666666666666666</v>
      </c>
      <c r="K131" s="139">
        <f t="shared" ref="K131:K137" ca="1" si="9">INDIRECT("courbes!"&amp;INDEX($D$3:$H$10,MATCH($B$2,$C$3:$C$10,0),MATCH(K$1,$D$2:$H$2,0))&amp;ROW($J130))</f>
        <v>5.7584410921554381E+18</v>
      </c>
      <c r="L131" s="149"/>
      <c r="M131" s="150"/>
      <c r="N131" s="139">
        <f>courbes!U130</f>
        <v>10.666666666666666</v>
      </c>
      <c r="O131" s="139">
        <f t="shared" ref="O131:O137" ca="1" si="10">INDIRECT("courbes!"&amp;INDEX($D$3:$H$10,MATCH($B$2,$C$3:$C$10,0),MATCH(O$1,$D$2:$H$2,0))&amp;ROW($J130))</f>
        <v>5.739680113181696E+18</v>
      </c>
      <c r="P131" s="153"/>
      <c r="Q131" s="139">
        <f t="shared" ref="Q131:Q137" ca="1" si="11">INDIRECT("courbes!"&amp;INDEX($D$3:$H$10,MATCH($B$2,$C$3:$C$10,0),MATCH(Q$1,$D$2:$H$2,0))&amp;ROW($J130))</f>
        <v>0</v>
      </c>
      <c r="R131" s="153"/>
      <c r="S131" s="153"/>
    </row>
    <row r="132" spans="10:19" ht="13.5" thickBot="1">
      <c r="J132" s="138">
        <f>courbes!A131</f>
        <v>10.75</v>
      </c>
      <c r="K132" s="139">
        <f t="shared" ca="1" si="9"/>
        <v>5.6390091615808031E+18</v>
      </c>
      <c r="L132" s="149"/>
      <c r="M132" s="150"/>
      <c r="N132" s="139">
        <f>courbes!U131</f>
        <v>10.75</v>
      </c>
      <c r="O132" s="139">
        <f t="shared" ca="1" si="10"/>
        <v>5.6180975990421228E+18</v>
      </c>
      <c r="P132" s="153"/>
      <c r="Q132" s="139">
        <f t="shared" ca="1" si="11"/>
        <v>0</v>
      </c>
      <c r="R132" s="153"/>
      <c r="S132" s="153"/>
    </row>
    <row r="133" spans="10:19" ht="13.5" thickBot="1">
      <c r="J133" s="138">
        <f>courbes!A132</f>
        <v>10.833333333333334</v>
      </c>
      <c r="K133" s="139">
        <f t="shared" ca="1" si="9"/>
        <v>5.5221238130742651E+18</v>
      </c>
      <c r="L133" s="149"/>
      <c r="M133" s="150"/>
      <c r="N133" s="139">
        <f>courbes!U132</f>
        <v>10.833333333333334</v>
      </c>
      <c r="O133" s="139">
        <f t="shared" ca="1" si="10"/>
        <v>5.4990905433693972E+18</v>
      </c>
      <c r="P133" s="153"/>
      <c r="Q133" s="139">
        <f t="shared" ca="1" si="11"/>
        <v>0</v>
      </c>
      <c r="R133" s="153"/>
      <c r="S133" s="153"/>
    </row>
    <row r="134" spans="10:19" ht="13.5" thickBot="1">
      <c r="J134" s="138">
        <f>courbes!A133</f>
        <v>10.916666666666666</v>
      </c>
      <c r="K134" s="139">
        <f t="shared" ca="1" si="9"/>
        <v>5.4077305431994051E+18</v>
      </c>
      <c r="L134" s="149"/>
      <c r="M134" s="150"/>
      <c r="N134" s="139">
        <f>courbes!U133</f>
        <v>10.916666666666666</v>
      </c>
      <c r="O134" s="139">
        <f t="shared" ca="1" si="10"/>
        <v>5.3826043907337267E+18</v>
      </c>
      <c r="Q134" s="139">
        <f t="shared" ca="1" si="11"/>
        <v>0</v>
      </c>
    </row>
    <row r="135" spans="10:19" ht="13.5" thickBot="1">
      <c r="J135" s="138">
        <f>courbes!A134</f>
        <v>11</v>
      </c>
      <c r="K135" s="139">
        <f t="shared" ca="1" si="9"/>
        <v>5.2957760156069734E+18</v>
      </c>
      <c r="L135" s="149"/>
      <c r="M135" s="150"/>
      <c r="N135" s="139">
        <f>courbes!U134</f>
        <v>11</v>
      </c>
      <c r="O135" s="139">
        <f t="shared" ca="1" si="10"/>
        <v>5.2685857413422469E+18</v>
      </c>
      <c r="Q135" s="139">
        <f t="shared" ca="1" si="11"/>
        <v>0</v>
      </c>
    </row>
    <row r="136" spans="10:19" ht="13.5" thickBot="1">
      <c r="J136" s="138">
        <f>courbes!A135</f>
        <v>11.083333333333334</v>
      </c>
      <c r="K136" s="139">
        <f t="shared" ca="1" si="9"/>
        <v>5.1862080360426895E+18</v>
      </c>
      <c r="L136" s="149"/>
      <c r="M136" s="150"/>
      <c r="N136" s="139">
        <f>courbes!U135</f>
        <v>11.083333333333334</v>
      </c>
      <c r="O136" s="139">
        <f t="shared" ca="1" si="10"/>
        <v>5.1569823265593948E+18</v>
      </c>
      <c r="Q136" s="139">
        <f t="shared" ca="1" si="11"/>
        <v>0</v>
      </c>
    </row>
    <row r="137" spans="10:19">
      <c r="J137" s="138">
        <f>courbes!A136</f>
        <v>11.166666666666666</v>
      </c>
      <c r="K137" s="139">
        <f t="shared" ca="1" si="9"/>
        <v>5.0789755278902231E+18</v>
      </c>
      <c r="L137" s="149"/>
      <c r="M137" s="150"/>
      <c r="N137" s="139">
        <f>courbes!U136</f>
        <v>11.166666666666666</v>
      </c>
      <c r="O137" s="139">
        <f t="shared" ca="1" si="10"/>
        <v>5.0477429849458299E+18</v>
      </c>
      <c r="Q137" s="139">
        <f t="shared" ca="1" si="11"/>
        <v>0</v>
      </c>
    </row>
    <row r="178" spans="10:19">
      <c r="J178" s="145"/>
      <c r="K178" s="145"/>
      <c r="L178" s="145"/>
      <c r="M178" s="145"/>
      <c r="N178" s="149"/>
      <c r="O178" s="145"/>
      <c r="P178" s="145"/>
      <c r="Q178" s="145"/>
      <c r="R178" s="145"/>
      <c r="S178" s="145"/>
    </row>
    <row r="179" spans="10:19">
      <c r="J179" s="145"/>
      <c r="K179" s="145"/>
      <c r="L179" s="145"/>
      <c r="M179" s="145"/>
      <c r="N179" s="149"/>
      <c r="O179" s="145"/>
      <c r="P179" s="145"/>
      <c r="Q179" s="145"/>
      <c r="R179" s="145"/>
      <c r="S179" s="145"/>
    </row>
    <row r="180" spans="10:19">
      <c r="J180" s="145"/>
      <c r="K180" s="145"/>
      <c r="L180" s="145"/>
      <c r="M180" s="145"/>
      <c r="N180" s="149"/>
      <c r="O180" s="145"/>
      <c r="P180" s="145"/>
      <c r="Q180" s="145"/>
      <c r="R180" s="145"/>
      <c r="S180" s="145"/>
    </row>
    <row r="181" spans="10:19">
      <c r="J181" s="145"/>
      <c r="K181" s="145"/>
      <c r="L181" s="145"/>
      <c r="M181" s="145"/>
      <c r="N181" s="149"/>
      <c r="O181" s="145"/>
      <c r="P181" s="145"/>
      <c r="Q181" s="145"/>
      <c r="R181" s="145"/>
      <c r="S181" s="145"/>
    </row>
    <row r="182" spans="10:19">
      <c r="J182" s="145"/>
      <c r="K182" s="145"/>
      <c r="L182" s="145"/>
      <c r="M182" s="145"/>
      <c r="N182" s="149"/>
      <c r="O182" s="145"/>
      <c r="P182" s="145"/>
      <c r="Q182" s="145"/>
      <c r="R182" s="145"/>
      <c r="S182" s="145"/>
    </row>
    <row r="183" spans="10:19">
      <c r="J183" s="145"/>
      <c r="K183" s="145"/>
      <c r="L183" s="145"/>
      <c r="M183" s="145"/>
      <c r="N183" s="149"/>
      <c r="O183" s="145"/>
      <c r="P183" s="145"/>
      <c r="Q183" s="145"/>
      <c r="R183" s="145"/>
      <c r="S183" s="145"/>
    </row>
    <row r="184" spans="10:19">
      <c r="J184" s="145"/>
      <c r="K184" s="145"/>
      <c r="L184" s="145"/>
      <c r="M184" s="145"/>
      <c r="N184" s="149"/>
      <c r="O184" s="145"/>
      <c r="P184" s="145"/>
      <c r="Q184" s="145"/>
      <c r="R184" s="145"/>
      <c r="S184" s="145"/>
    </row>
    <row r="185" spans="10:19">
      <c r="J185" s="145"/>
      <c r="K185" s="145"/>
      <c r="L185" s="145"/>
      <c r="M185" s="145"/>
      <c r="N185" s="149"/>
      <c r="O185" s="145"/>
      <c r="P185" s="145"/>
      <c r="Q185" s="145"/>
      <c r="R185" s="145"/>
      <c r="S185" s="145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7" sqref="B27"/>
    </sheetView>
  </sheetViews>
  <sheetFormatPr baseColWidth="10" defaultColWidth="17.875" defaultRowHeight="12.75"/>
  <cols>
    <col min="1" max="1" width="5.25" style="145" bestFit="1" customWidth="1"/>
    <col min="2" max="2" width="33.75" style="137" bestFit="1" customWidth="1"/>
    <col min="3" max="4" width="9.125" style="137" customWidth="1"/>
    <col min="5" max="5" width="20.125" style="137" customWidth="1"/>
    <col min="6" max="8" width="9.125" style="145" customWidth="1"/>
    <col min="9" max="9" width="2.5" style="145" customWidth="1"/>
    <col min="10" max="10" width="11" style="146" customWidth="1"/>
    <col min="11" max="11" width="10.625" style="146" bestFit="1" customWidth="1"/>
    <col min="12" max="12" width="9.125" style="153" bestFit="1" customWidth="1"/>
    <col min="13" max="13" width="9.75" style="146" bestFit="1" customWidth="1"/>
    <col min="14" max="14" width="9.125" style="146" bestFit="1" customWidth="1"/>
    <col min="15" max="15" width="16.625" style="146" bestFit="1" customWidth="1"/>
    <col min="16" max="16" width="9.25" style="146" bestFit="1" customWidth="1"/>
    <col min="17" max="17" width="11.75" style="146" bestFit="1" customWidth="1"/>
    <col min="18" max="18" width="9.25" style="146" bestFit="1" customWidth="1"/>
    <col min="19" max="19" width="10.375" style="146" bestFit="1" customWidth="1"/>
    <col min="20" max="16384" width="17.875" style="145"/>
  </cols>
  <sheetData>
    <row r="1" spans="1:19" ht="13.5" thickBot="1">
      <c r="K1" s="146" t="s">
        <v>40</v>
      </c>
      <c r="M1" s="137" t="s">
        <v>258</v>
      </c>
      <c r="O1" s="145" t="s">
        <v>168</v>
      </c>
      <c r="Q1" s="145" t="s">
        <v>259</v>
      </c>
      <c r="S1" s="145" t="s">
        <v>260</v>
      </c>
    </row>
    <row r="2" spans="1:19" ht="24.75" thickBot="1">
      <c r="A2" s="145" t="s">
        <v>257</v>
      </c>
      <c r="B2" s="143" t="s">
        <v>16</v>
      </c>
      <c r="D2" s="137" t="s">
        <v>40</v>
      </c>
      <c r="E2" s="137" t="s">
        <v>258</v>
      </c>
      <c r="F2" s="145" t="s">
        <v>168</v>
      </c>
      <c r="G2" s="145" t="s">
        <v>259</v>
      </c>
      <c r="H2" s="145" t="s">
        <v>260</v>
      </c>
      <c r="J2" s="138" t="str">
        <f>courbes!A1</f>
        <v>t(y)</v>
      </c>
      <c r="K2" s="139" t="str">
        <f ca="1">INDIRECT("courbes!"&amp;INDEX($D$3:$H$10,MATCH($B$2,$C$3:$C$10,0),MATCH(K$1,$D$2:$H$2,0))&amp;ROW($J1))</f>
        <v>RK1 - U238</v>
      </c>
      <c r="L2" s="141" t="str">
        <f>courbes!J1</f>
        <v>t(y)</v>
      </c>
      <c r="M2" s="139" t="str">
        <f ca="1">INDIRECT("courbes!"&amp;INDEX($D$3:$H$10,MATCH($B$2,$C$3:$C$10,0),MATCH(M$1,$D$2:$H$2,0))&amp;ROW($J1))</f>
        <v>O5 - U238</v>
      </c>
      <c r="N2" s="139" t="str">
        <f>courbes!U1</f>
        <v>t(y)</v>
      </c>
      <c r="O2" s="139" t="str">
        <f ca="1">INDIRECT("courbes!"&amp;INDEX($D$3:$H$10,MATCH($B$2,$C$3:$C$10,0),MATCH(O$1,$D$2:$H$2,0))&amp;ROW($J1))</f>
        <v xml:space="preserve"> Exact Simpl. - U238</v>
      </c>
      <c r="P2" s="138" t="str">
        <f>courbes!AE1</f>
        <v>t(y)</v>
      </c>
      <c r="Q2" s="139" t="str">
        <f ca="1">INDIRECT("courbes!"&amp;INDEX($D$3:$H$10,MATCH($B$2,$C$3:$C$10,0),MATCH(Q$1,$D$2:$H$2,0))&amp;ROW($J1))</f>
        <v>DRAGON - U238</v>
      </c>
      <c r="R2" s="138" t="str">
        <f>courbes!AO1</f>
        <v>t(y)</v>
      </c>
      <c r="S2" s="139" t="str">
        <f ca="1">INDIRECT("courbes!"&amp;INDEX($D$3:$H$10,MATCH($B$2,$C$3:$C$10,0),MATCH(S$1,$D$2:$H$2,0))&amp;ROW($J1))</f>
        <v xml:space="preserve">VESTA - U238 </v>
      </c>
    </row>
    <row r="3" spans="1:19" ht="13.5" thickBot="1">
      <c r="C3" s="143" t="s">
        <v>7</v>
      </c>
      <c r="D3" s="137" t="s">
        <v>261</v>
      </c>
      <c r="E3" s="137" t="s">
        <v>192</v>
      </c>
      <c r="F3" s="145" t="s">
        <v>128</v>
      </c>
      <c r="G3" s="145" t="s">
        <v>262</v>
      </c>
      <c r="H3" s="145" t="s">
        <v>263</v>
      </c>
      <c r="J3" s="138" t="e">
        <f>courbes!A2</f>
        <v>#NAME?</v>
      </c>
      <c r="K3" s="139">
        <f t="shared" ref="K3:K66" ca="1" si="0">INDIRECT("courbes!"&amp;INDEX($D$3:$H$10,MATCH($B$2,$C$3:$C$10,0),MATCH(K$1,$D$2:$H$2,0))&amp;ROW($J2))</f>
        <v>1.6799927091276064E+22</v>
      </c>
      <c r="L3" s="141">
        <f>courbes!J2</f>
        <v>0</v>
      </c>
      <c r="M3" s="139">
        <f t="shared" ref="M3:M66" ca="1" si="1">INDIRECT("courbes!"&amp;INDEX($D$3:$H$10,MATCH($B$2,$C$3:$C$10,0),MATCH(M$1,$D$2:$H$2,0))&amp;ROW($J2))</f>
        <v>1.6799927091276064E+22</v>
      </c>
      <c r="N3" s="139">
        <f>courbes!U2</f>
        <v>0</v>
      </c>
      <c r="O3" s="139">
        <f t="shared" ref="O3:O66" ca="1" si="2">INDIRECT("courbes!"&amp;INDEX($D$3:$H$10,MATCH($B$2,$C$3:$C$10,0),MATCH(O$1,$D$2:$H$2,0))&amp;ROW($J2))</f>
        <v>1.6799927091276066E+22</v>
      </c>
      <c r="P3" s="138">
        <f>courbes!AE2</f>
        <v>0</v>
      </c>
      <c r="Q3" s="139">
        <f t="shared" ref="Q3:Q66" ca="1" si="3">INDIRECT("courbes!"&amp;INDEX($D$3:$H$10,MATCH($B$2,$C$3:$C$10,0),MATCH(Q$1,$D$2:$H$2,0))&amp;ROW($J2))</f>
        <v>1.6799927091276064E+22</v>
      </c>
      <c r="R3" s="138">
        <f>courbes!AO2</f>
        <v>0</v>
      </c>
      <c r="S3" s="139">
        <f t="shared" ref="S3:S9" ca="1" si="4">INDIRECT("courbes!"&amp;INDEX($D$3:$H$10,MATCH($B$2,$C$3:$C$10,0),MATCH(S$1,$D$2:$H$2,0))&amp;ROW($J2))</f>
        <v>1.6799927091276064E+22</v>
      </c>
    </row>
    <row r="4" spans="1:19" ht="13.5" thickBot="1">
      <c r="C4" s="143" t="s">
        <v>9</v>
      </c>
      <c r="D4" s="137" t="s">
        <v>264</v>
      </c>
      <c r="E4" s="137" t="s">
        <v>265</v>
      </c>
      <c r="F4" s="145" t="s">
        <v>266</v>
      </c>
      <c r="G4" s="145" t="s">
        <v>268</v>
      </c>
      <c r="H4" s="145" t="s">
        <v>269</v>
      </c>
      <c r="J4" s="138">
        <f>courbes!A3</f>
        <v>8.3333333333333329E-2</v>
      </c>
      <c r="K4" s="139">
        <f t="shared" ca="1" si="0"/>
        <v>1.6751996671558376E+22</v>
      </c>
      <c r="L4" s="141">
        <f>courbes!J3</f>
        <v>8.3333333333333329E-2</v>
      </c>
      <c r="M4" s="139">
        <f t="shared" ca="1" si="1"/>
        <v>1.675206497968709E+22</v>
      </c>
      <c r="N4" s="139">
        <f>courbes!U3</f>
        <v>8.3333333333333329E-2</v>
      </c>
      <c r="O4" s="139">
        <f t="shared" ca="1" si="2"/>
        <v>1.6752064971806066E+22</v>
      </c>
      <c r="P4" s="138">
        <f>courbes!AE3</f>
        <v>0.2</v>
      </c>
      <c r="Q4" s="139">
        <f t="shared" ca="1" si="3"/>
        <v>1.669601413674456E+22</v>
      </c>
      <c r="R4" s="138">
        <f>courbes!AO3</f>
        <v>0.13689999999999999</v>
      </c>
      <c r="S4" s="139">
        <f t="shared" ca="1" si="4"/>
        <v>1.6722149651038675E+22</v>
      </c>
    </row>
    <row r="5" spans="1:19" ht="13.5" thickBot="1">
      <c r="C5" s="143" t="s">
        <v>10</v>
      </c>
      <c r="D5" s="137" t="s">
        <v>270</v>
      </c>
      <c r="E5" s="137" t="s">
        <v>276</v>
      </c>
      <c r="F5" s="145" t="s">
        <v>129</v>
      </c>
      <c r="G5" s="145" t="s">
        <v>287</v>
      </c>
      <c r="H5" s="145" t="s">
        <v>267</v>
      </c>
      <c r="J5" s="138">
        <f>courbes!A4</f>
        <v>0.16666666666666666</v>
      </c>
      <c r="K5" s="139">
        <f t="shared" ca="1" si="0"/>
        <v>1.6704202998052142E+22</v>
      </c>
      <c r="L5" s="141">
        <f>courbes!J4</f>
        <v>0.16666666666666666</v>
      </c>
      <c r="M5" s="139">
        <f t="shared" ca="1" si="1"/>
        <v>1.6704339224817908E+22</v>
      </c>
      <c r="N5" s="139">
        <f>courbes!U4</f>
        <v>0.16666666666666666</v>
      </c>
      <c r="O5" s="139">
        <f t="shared" ca="1" si="2"/>
        <v>1.6704339209027838E+22</v>
      </c>
      <c r="P5" s="138">
        <f>courbes!AE4</f>
        <v>0.4</v>
      </c>
      <c r="Q5" s="139">
        <f t="shared" ca="1" si="3"/>
        <v>1.6593100345237398E+22</v>
      </c>
      <c r="R5" s="138">
        <f>courbes!AO4</f>
        <v>0.41070000000000001</v>
      </c>
      <c r="S5" s="139">
        <f t="shared" ca="1" si="4"/>
        <v>1.6583878646172205E+22</v>
      </c>
    </row>
    <row r="6" spans="1:19" ht="13.5" thickBot="1">
      <c r="C6" s="143" t="s">
        <v>11</v>
      </c>
      <c r="D6" s="137" t="s">
        <v>271</v>
      </c>
      <c r="E6" s="137" t="s">
        <v>277</v>
      </c>
      <c r="F6" s="145" t="s">
        <v>282</v>
      </c>
      <c r="G6" s="145" t="s">
        <v>288</v>
      </c>
      <c r="H6" s="145" t="s">
        <v>293</v>
      </c>
      <c r="J6" s="138">
        <f>courbes!A5</f>
        <v>0.25</v>
      </c>
      <c r="K6" s="139">
        <f t="shared" ca="1" si="0"/>
        <v>1.665654568061717E+22</v>
      </c>
      <c r="L6" s="141">
        <f>courbes!J5</f>
        <v>0.25</v>
      </c>
      <c r="M6" s="139">
        <f t="shared" ca="1" si="1"/>
        <v>1.6656749438194034E+22</v>
      </c>
      <c r="N6" s="139">
        <f>courbes!U5</f>
        <v>0.25</v>
      </c>
      <c r="O6" s="139">
        <f t="shared" ca="1" si="2"/>
        <v>1.6656749414468249E+22</v>
      </c>
      <c r="P6" s="138">
        <f>courbes!AE5</f>
        <v>0.6</v>
      </c>
      <c r="Q6" s="139">
        <f t="shared" ca="1" si="3"/>
        <v>1.6490186553730236E+22</v>
      </c>
      <c r="R6" s="138">
        <f>courbes!AO5</f>
        <v>0.99929999999999997</v>
      </c>
      <c r="S6" s="139">
        <f t="shared" ca="1" si="4"/>
        <v>1.6272768885222648E+22</v>
      </c>
    </row>
    <row r="7" spans="1:19" ht="13.5" thickBot="1">
      <c r="C7" s="143" t="s">
        <v>13</v>
      </c>
      <c r="D7" s="137" t="s">
        <v>272</v>
      </c>
      <c r="E7" s="137" t="s">
        <v>278</v>
      </c>
      <c r="F7" s="145" t="s">
        <v>283</v>
      </c>
      <c r="G7" s="145" t="s">
        <v>289</v>
      </c>
      <c r="H7" s="145" t="s">
        <v>294</v>
      </c>
      <c r="J7" s="138">
        <f>courbes!A6</f>
        <v>0.33333333333333331</v>
      </c>
      <c r="K7" s="139">
        <f t="shared" ca="1" si="0"/>
        <v>1.6609024330226393E+22</v>
      </c>
      <c r="L7" s="141">
        <f>courbes!J6</f>
        <v>0.33333333333333331</v>
      </c>
      <c r="M7" s="139">
        <f t="shared" ca="1" si="1"/>
        <v>1.6609295232447757E+22</v>
      </c>
      <c r="N7" s="139">
        <f>courbes!U6</f>
        <v>0.33333333333333331</v>
      </c>
      <c r="O7" s="139">
        <f t="shared" ca="1" si="2"/>
        <v>1.660929520076091E+22</v>
      </c>
      <c r="P7" s="138">
        <f>courbes!AE6</f>
        <v>0.8</v>
      </c>
      <c r="Q7" s="139">
        <f t="shared" ca="1" si="3"/>
        <v>1.6387272762223072E+22</v>
      </c>
      <c r="R7" s="138">
        <f>courbes!AO6</f>
        <v>1.9990000000000001</v>
      </c>
      <c r="S7" s="139">
        <f t="shared" ca="1" si="4"/>
        <v>1.5754252616973387E+22</v>
      </c>
    </row>
    <row r="8" spans="1:19" ht="13.5" thickBot="1">
      <c r="C8" s="143" t="s">
        <v>14</v>
      </c>
      <c r="D8" s="137" t="s">
        <v>273</v>
      </c>
      <c r="E8" s="137" t="s">
        <v>279</v>
      </c>
      <c r="F8" s="145" t="s">
        <v>284</v>
      </c>
      <c r="G8" s="145" t="s">
        <v>290</v>
      </c>
      <c r="H8" s="145" t="s">
        <v>295</v>
      </c>
      <c r="J8" s="138">
        <f>courbes!A7</f>
        <v>0.41666666666666669</v>
      </c>
      <c r="K8" s="139">
        <f t="shared" ca="1" si="0"/>
        <v>1.6561638558962685E+22</v>
      </c>
      <c r="L8" s="141">
        <f>courbes!J7</f>
        <v>0.41666666666666669</v>
      </c>
      <c r="M8" s="139">
        <f t="shared" ca="1" si="1"/>
        <v>1.6561976221314947E+22</v>
      </c>
      <c r="N8" s="139">
        <f>courbes!U7</f>
        <v>0.41666666666666669</v>
      </c>
      <c r="O8" s="139">
        <f t="shared" ca="1" si="2"/>
        <v>1.6561976181643016E+22</v>
      </c>
      <c r="P8" s="138">
        <f>courbes!AE7</f>
        <v>1</v>
      </c>
      <c r="Q8" s="139">
        <f t="shared" ca="1" si="3"/>
        <v>1.6285358133740252E+22</v>
      </c>
      <c r="R8" s="138">
        <f>courbes!AO7</f>
        <v>4.9989999999999997</v>
      </c>
      <c r="S8" s="139">
        <f t="shared" ca="1" si="4"/>
        <v>1.4302407065875455E+22</v>
      </c>
    </row>
    <row r="9" spans="1:19" ht="13.5" thickBot="1">
      <c r="C9" s="143" t="s">
        <v>15</v>
      </c>
      <c r="D9" s="137" t="s">
        <v>274</v>
      </c>
      <c r="E9" s="137" t="s">
        <v>280</v>
      </c>
      <c r="F9" s="145" t="s">
        <v>285</v>
      </c>
      <c r="G9" s="145" t="s">
        <v>291</v>
      </c>
      <c r="H9" s="145" t="s">
        <v>297</v>
      </c>
      <c r="J9" s="138">
        <f>courbes!A8</f>
        <v>0.5</v>
      </c>
      <c r="K9" s="139">
        <f t="shared" ca="1" si="0"/>
        <v>1.6514387980015695E+22</v>
      </c>
      <c r="L9" s="141">
        <f>courbes!J8</f>
        <v>0.5</v>
      </c>
      <c r="M9" s="139">
        <f t="shared" ca="1" si="1"/>
        <v>1.6514792019631901E+22</v>
      </c>
      <c r="N9" s="139">
        <f>courbes!U8</f>
        <v>0.5</v>
      </c>
      <c r="O9" s="139">
        <f t="shared" ca="1" si="2"/>
        <v>1.6514791971952207E+22</v>
      </c>
      <c r="P9" s="138">
        <f>courbes!AE8</f>
        <v>1.2</v>
      </c>
      <c r="Q9" s="139">
        <f t="shared" ca="1" si="3"/>
        <v>1.6182444342233088E+22</v>
      </c>
      <c r="R9" s="138">
        <f>courbes!AO8</f>
        <v>9.9990000000000006</v>
      </c>
      <c r="S9" s="139">
        <f t="shared" ca="1" si="4"/>
        <v>1.2167848428249331E+22</v>
      </c>
    </row>
    <row r="10" spans="1:19" ht="13.5" thickBot="1">
      <c r="A10" s="145" t="s">
        <v>253</v>
      </c>
      <c r="B10" s="161" t="str">
        <f>"Comparaison des modèles pour le "&amp;B2</f>
        <v>Comparaison des modèles pour le U238</v>
      </c>
      <c r="C10" s="143" t="s">
        <v>16</v>
      </c>
      <c r="D10" s="137" t="s">
        <v>275</v>
      </c>
      <c r="E10" s="137" t="s">
        <v>281</v>
      </c>
      <c r="F10" s="145" t="s">
        <v>286</v>
      </c>
      <c r="G10" s="145" t="s">
        <v>292</v>
      </c>
      <c r="H10" s="145" t="s">
        <v>296</v>
      </c>
      <c r="J10" s="138">
        <f>courbes!A9</f>
        <v>0.58333333333333337</v>
      </c>
      <c r="K10" s="139">
        <f t="shared" ca="1" si="0"/>
        <v>1.6467272207678692E+22</v>
      </c>
      <c r="L10" s="141">
        <f>courbes!J9</f>
        <v>0.58333333333333337</v>
      </c>
      <c r="M10" s="139">
        <f t="shared" ca="1" si="1"/>
        <v>1.646774224333214E+22</v>
      </c>
      <c r="N10" s="139">
        <f>courbes!U9</f>
        <v>0.58333333333333337</v>
      </c>
      <c r="O10" s="139">
        <f t="shared" ca="1" si="2"/>
        <v>1.6467742187623425E+22</v>
      </c>
      <c r="P10" s="138">
        <f>courbes!AE9</f>
        <v>1.4</v>
      </c>
      <c r="Q10" s="139">
        <f t="shared" ca="1" si="3"/>
        <v>1.6080529713750266E+22</v>
      </c>
      <c r="S10" s="144"/>
    </row>
    <row r="11" spans="1:19" ht="13.5" thickBot="1">
      <c r="A11" s="145" t="s">
        <v>254</v>
      </c>
      <c r="B11" s="161" t="s">
        <v>256</v>
      </c>
      <c r="C11" s="161"/>
      <c r="D11" s="161"/>
      <c r="E11" s="161"/>
      <c r="J11" s="138">
        <f>courbes!A10</f>
        <v>0.66666666666666663</v>
      </c>
      <c r="K11" s="139">
        <f t="shared" ca="1" si="0"/>
        <v>1.6420290857345409E+22</v>
      </c>
      <c r="L11" s="141">
        <f>courbes!J10</f>
        <v>0.66666666666666663</v>
      </c>
      <c r="M11" s="139">
        <f t="shared" ca="1" si="1"/>
        <v>1.6420826509443242E+22</v>
      </c>
      <c r="N11" s="139">
        <f>courbes!U10</f>
        <v>0.66666666666666663</v>
      </c>
      <c r="O11" s="139">
        <f t="shared" ca="1" si="2"/>
        <v>1.6420826445685803E+22</v>
      </c>
      <c r="P11" s="138">
        <f>courbes!AE10</f>
        <v>1.6</v>
      </c>
      <c r="Q11" s="139">
        <f t="shared" ca="1" si="3"/>
        <v>1.5978615085267444E+22</v>
      </c>
    </row>
    <row r="12" spans="1:19" ht="18" thickBot="1">
      <c r="A12" s="145" t="s">
        <v>255</v>
      </c>
      <c r="B12" s="169" t="s">
        <v>299</v>
      </c>
      <c r="C12" s="161"/>
      <c r="D12" s="161"/>
      <c r="E12" s="161"/>
      <c r="J12" s="138">
        <f>courbes!A11</f>
        <v>0.75</v>
      </c>
      <c r="K12" s="139">
        <f t="shared" ca="1" si="0"/>
        <v>1.6373443545506907E+22</v>
      </c>
      <c r="L12" s="141">
        <f>courbes!J11</f>
        <v>0.75</v>
      </c>
      <c r="M12" s="139">
        <f t="shared" ca="1" si="1"/>
        <v>1.637404443608366E+22</v>
      </c>
      <c r="N12" s="139">
        <f>courbes!U11</f>
        <v>0.75</v>
      </c>
      <c r="O12" s="139">
        <f t="shared" ca="1" si="2"/>
        <v>1.6374044364259528E+22</v>
      </c>
      <c r="P12" s="138">
        <f>courbes!AE11</f>
        <v>1.8</v>
      </c>
      <c r="Q12" s="139">
        <f t="shared" ca="1" si="3"/>
        <v>1.5876700456784625E+22</v>
      </c>
    </row>
    <row r="13" spans="1:19" ht="13.5" thickBot="1">
      <c r="J13" s="138">
        <f>courbes!A12</f>
        <v>0.83333333333333337</v>
      </c>
      <c r="K13" s="139">
        <f t="shared" ca="1" si="0"/>
        <v>1.6326729889748437E+22</v>
      </c>
      <c r="L13" s="141">
        <f>courbes!J12</f>
        <v>0.83333333333333337</v>
      </c>
      <c r="M13" s="139">
        <f t="shared" ca="1" si="1"/>
        <v>1.6327395642459575E+22</v>
      </c>
      <c r="N13" s="139">
        <f>courbes!U12</f>
        <v>0.83333333333333337</v>
      </c>
      <c r="O13" s="139">
        <f t="shared" ca="1" si="2"/>
        <v>1.6327395562552748E+22</v>
      </c>
      <c r="P13" s="138">
        <f>courbes!AE12</f>
        <v>2</v>
      </c>
      <c r="Q13" s="139">
        <f t="shared" ca="1" si="3"/>
        <v>1.5774785828301803E+22</v>
      </c>
    </row>
    <row r="14" spans="1:19" ht="13.5" thickBot="1">
      <c r="J14" s="138">
        <f>courbes!A13</f>
        <v>0.91666666666666663</v>
      </c>
      <c r="K14" s="139">
        <f t="shared" ca="1" si="0"/>
        <v>1.6280149508746325E+22</v>
      </c>
      <c r="L14" s="141">
        <f>courbes!J13</f>
        <v>0.91666666666666663</v>
      </c>
      <c r="M14" s="139">
        <f t="shared" ca="1" si="1"/>
        <v>1.6280879748861668E+22</v>
      </c>
      <c r="N14" s="139">
        <f>courbes!U13</f>
        <v>0.91666666666666663</v>
      </c>
      <c r="O14" s="139">
        <f t="shared" ca="1" si="2"/>
        <v>1.6280879660858471E+22</v>
      </c>
      <c r="P14" s="138">
        <f>courbes!AE13</f>
        <v>2.2000000000000002</v>
      </c>
      <c r="Q14" s="139">
        <f t="shared" ca="1" si="3"/>
        <v>1.5672871199818979E+22</v>
      </c>
    </row>
    <row r="15" spans="1:19" ht="13.5" thickBot="1">
      <c r="J15" s="138">
        <f>courbes!A14</f>
        <v>1</v>
      </c>
      <c r="K15" s="139">
        <f t="shared" ca="1" si="0"/>
        <v>1.6233702022264849E+22</v>
      </c>
      <c r="L15" s="141">
        <f>courbes!J14</f>
        <v>1</v>
      </c>
      <c r="M15" s="139">
        <f t="shared" ca="1" si="1"/>
        <v>1.6234496376661975E+22</v>
      </c>
      <c r="N15" s="139">
        <f>courbes!U14</f>
        <v>1</v>
      </c>
      <c r="O15" s="139">
        <f t="shared" ca="1" si="2"/>
        <v>1.6234496280551462E+22</v>
      </c>
      <c r="P15" s="138">
        <f>courbes!AE14</f>
        <v>2.4</v>
      </c>
      <c r="Q15" s="139">
        <f t="shared" ca="1" si="3"/>
        <v>1.5571955734360502E+22</v>
      </c>
    </row>
    <row r="16" spans="1:19" ht="13.5" thickBot="1">
      <c r="J16" s="138">
        <f>courbes!A15</f>
        <v>1.0833333333333333</v>
      </c>
      <c r="K16" s="139">
        <f t="shared" ca="1" si="0"/>
        <v>1.6187387051153144E+22</v>
      </c>
      <c r="L16" s="141">
        <f>courbes!J15</f>
        <v>1.0833333333333333</v>
      </c>
      <c r="M16" s="139">
        <f t="shared" ca="1" si="1"/>
        <v>1.618824514833397E+22</v>
      </c>
      <c r="N16" s="139">
        <f>courbes!U15</f>
        <v>1.0833333333333333</v>
      </c>
      <c r="O16" s="139">
        <f t="shared" ca="1" si="2"/>
        <v>1.6188245044085173E+22</v>
      </c>
      <c r="P16" s="138">
        <f>courbes!AE15</f>
        <v>2.6</v>
      </c>
      <c r="Q16" s="139">
        <f t="shared" ca="1" si="3"/>
        <v>1.547004110587768E+22</v>
      </c>
    </row>
    <row r="17" spans="10:19" ht="13.5" thickBot="1">
      <c r="J17" s="138">
        <f>courbes!A16</f>
        <v>1.1666666666666667</v>
      </c>
      <c r="K17" s="139">
        <f t="shared" ca="1" si="0"/>
        <v>1.6141204217342097E+22</v>
      </c>
      <c r="L17" s="141">
        <f>courbes!J16</f>
        <v>1.1666666666666667</v>
      </c>
      <c r="M17" s="139">
        <f t="shared" ca="1" si="1"/>
        <v>1.6142125687390417E+22</v>
      </c>
      <c r="N17" s="139">
        <f>courbes!U16</f>
        <v>1.1666666666666667</v>
      </c>
      <c r="O17" s="139">
        <f t="shared" ca="1" si="2"/>
        <v>1.6142125574988667E+22</v>
      </c>
      <c r="P17" s="138">
        <f>courbes!AE16</f>
        <v>2.8</v>
      </c>
      <c r="Q17" s="139">
        <f t="shared" ca="1" si="3"/>
        <v>1.5369125640419198E+22</v>
      </c>
    </row>
    <row r="18" spans="10:19" ht="13.5" thickBot="1">
      <c r="J18" s="138">
        <f>courbes!A17</f>
        <v>1.25</v>
      </c>
      <c r="K18" s="139">
        <f t="shared" ca="1" si="0"/>
        <v>1.6095153143841265E+22</v>
      </c>
      <c r="L18" s="141">
        <f>courbes!J17</f>
        <v>1.25</v>
      </c>
      <c r="M18" s="139">
        <f t="shared" ca="1" si="1"/>
        <v>1.6096137618432041E+22</v>
      </c>
      <c r="N18" s="139">
        <f>courbes!U17</f>
        <v>1.25</v>
      </c>
      <c r="O18" s="139">
        <f t="shared" ca="1" si="2"/>
        <v>1.6096137497863558E+22</v>
      </c>
      <c r="P18" s="138">
        <f>courbes!AE17</f>
        <v>3</v>
      </c>
      <c r="Q18" s="139">
        <f t="shared" ca="1" si="3"/>
        <v>1.5269209337985061E+22</v>
      </c>
      <c r="R18" s="145"/>
      <c r="S18" s="145"/>
    </row>
    <row r="19" spans="10:19" ht="13.5" thickBot="1">
      <c r="J19" s="138">
        <f>courbes!A18</f>
        <v>1.3333333333333333</v>
      </c>
      <c r="K19" s="139">
        <f t="shared" ca="1" si="0"/>
        <v>1.6049233454735791E+22</v>
      </c>
      <c r="L19" s="141">
        <f>courbes!J18</f>
        <v>1.3333333333333333</v>
      </c>
      <c r="M19" s="139">
        <f t="shared" ca="1" si="1"/>
        <v>1.6050280567129082E+22</v>
      </c>
      <c r="N19" s="139">
        <f>courbes!U18</f>
        <v>1.3333333333333333</v>
      </c>
      <c r="O19" s="139">
        <f t="shared" ca="1" si="2"/>
        <v>1.6050280438380938E+22</v>
      </c>
      <c r="P19" s="138">
        <f>courbes!AE18</f>
        <v>3.2</v>
      </c>
      <c r="Q19" s="139">
        <f t="shared" ca="1" si="3"/>
        <v>1.5168293872526581E+22</v>
      </c>
      <c r="R19" s="145"/>
      <c r="S19" s="145"/>
    </row>
    <row r="20" spans="10:19" ht="13.5" thickBot="1">
      <c r="J20" s="138">
        <f>courbes!A19</f>
        <v>1.4166666666666667</v>
      </c>
      <c r="K20" s="139">
        <f t="shared" ca="1" si="0"/>
        <v>1.6003444775183343E+22</v>
      </c>
      <c r="L20" s="141">
        <f>courbes!J19</f>
        <v>1.4166666666666667</v>
      </c>
      <c r="M20" s="139">
        <f t="shared" ca="1" si="1"/>
        <v>1.60045541602182E+22</v>
      </c>
      <c r="N20" s="139">
        <f>courbes!U19</f>
        <v>1.4166666666666667</v>
      </c>
      <c r="O20" s="139">
        <f t="shared" ca="1" si="2"/>
        <v>1.6004554023278358E+22</v>
      </c>
      <c r="P20" s="138">
        <f>courbes!AE19</f>
        <v>3.4</v>
      </c>
      <c r="Q20" s="139">
        <f t="shared" ca="1" si="3"/>
        <v>1.50673784070681E+22</v>
      </c>
      <c r="R20" s="145"/>
      <c r="S20" s="145"/>
    </row>
    <row r="21" spans="10:19" ht="13.5" thickBot="1">
      <c r="J21" s="138">
        <f>courbes!A20</f>
        <v>1.5</v>
      </c>
      <c r="K21" s="139">
        <f t="shared" ca="1" si="0"/>
        <v>1.5957786731411046E+22</v>
      </c>
      <c r="L21" s="141">
        <f>courbes!J20</f>
        <v>1.5</v>
      </c>
      <c r="M21" s="139">
        <f t="shared" ca="1" si="1"/>
        <v>1.5958958025499415E+22</v>
      </c>
      <c r="N21" s="139">
        <f>courbes!U20</f>
        <v>1.5</v>
      </c>
      <c r="O21" s="139">
        <f t="shared" ca="1" si="2"/>
        <v>1.5958957880356763E+22</v>
      </c>
      <c r="P21" s="138">
        <f>courbes!AE20</f>
        <v>3.6</v>
      </c>
      <c r="Q21" s="139">
        <f t="shared" ca="1" si="3"/>
        <v>1.4967462104633962E+22</v>
      </c>
      <c r="R21" s="145"/>
      <c r="S21" s="145"/>
    </row>
    <row r="22" spans="10:19" ht="13.5" thickBot="1">
      <c r="J22" s="138">
        <f>courbes!A21</f>
        <v>1.5833333333333333</v>
      </c>
      <c r="K22" s="139">
        <f t="shared" ca="1" si="0"/>
        <v>1.591225895071243E+22</v>
      </c>
      <c r="L22" s="141">
        <f>courbes!J21</f>
        <v>1.5833333333333333</v>
      </c>
      <c r="M22" s="139">
        <f t="shared" ca="1" si="1"/>
        <v>1.5913491791833058E+22</v>
      </c>
      <c r="N22" s="139">
        <f>courbes!U21</f>
        <v>1.5833333333333333</v>
      </c>
      <c r="O22" s="139">
        <f t="shared" ca="1" si="2"/>
        <v>1.5913491638477476E+22</v>
      </c>
      <c r="P22" s="138">
        <f>courbes!AE21</f>
        <v>3.8</v>
      </c>
      <c r="Q22" s="139">
        <f t="shared" ca="1" si="3"/>
        <v>1.4867545802199823E+22</v>
      </c>
      <c r="R22" s="145"/>
      <c r="S22" s="145"/>
    </row>
    <row r="23" spans="10:19" ht="13.5" thickBot="1">
      <c r="J23" s="138">
        <f>courbes!A22</f>
        <v>1.6666666666666667</v>
      </c>
      <c r="K23" s="139">
        <f t="shared" ca="1" si="0"/>
        <v>1.5866861061444389E+22</v>
      </c>
      <c r="L23" s="141">
        <f>courbes!J22</f>
        <v>1.6666666666666667</v>
      </c>
      <c r="M23" s="139">
        <f t="shared" ca="1" si="1"/>
        <v>1.5868155089136669E+22</v>
      </c>
      <c r="N23" s="139">
        <f>courbes!U22</f>
        <v>1.6666666666666667</v>
      </c>
      <c r="O23" s="139">
        <f t="shared" ca="1" si="2"/>
        <v>1.5868154927559177E+22</v>
      </c>
      <c r="P23" s="138">
        <f>courbes!AE22</f>
        <v>4</v>
      </c>
      <c r="Q23" s="139">
        <f t="shared" ca="1" si="3"/>
        <v>1.4767629499765686E+22</v>
      </c>
      <c r="R23" s="145"/>
      <c r="S23" s="145"/>
    </row>
    <row r="24" spans="10:19" ht="13.5" thickBot="1">
      <c r="J24" s="138">
        <f>courbes!A23</f>
        <v>1.75</v>
      </c>
      <c r="K24" s="139">
        <f t="shared" ca="1" si="0"/>
        <v>1.5821592693024148E+22</v>
      </c>
      <c r="L24" s="141">
        <f>courbes!J23</f>
        <v>1.75</v>
      </c>
      <c r="M24" s="139">
        <f t="shared" ca="1" si="1"/>
        <v>1.5822947548381944E+22</v>
      </c>
      <c r="N24" s="139">
        <f>courbes!U23</f>
        <v>1.75</v>
      </c>
      <c r="O24" s="139">
        <f t="shared" ca="1" si="2"/>
        <v>1.5822947378574892E+22</v>
      </c>
      <c r="P24" s="138">
        <f>courbes!AE23</f>
        <v>4.2</v>
      </c>
      <c r="Q24" s="139">
        <f t="shared" ca="1" si="3"/>
        <v>1.4668712360355889E+22</v>
      </c>
      <c r="R24" s="145"/>
      <c r="S24" s="145"/>
    </row>
    <row r="25" spans="10:19" ht="13.5" thickBot="1">
      <c r="J25" s="138">
        <f>courbes!A24</f>
        <v>1.8333333333333333</v>
      </c>
      <c r="K25" s="139">
        <f t="shared" ca="1" si="0"/>
        <v>1.5776453475926234E+22</v>
      </c>
      <c r="L25" s="141">
        <f>courbes!J24</f>
        <v>1.8333333333333333</v>
      </c>
      <c r="M25" s="139">
        <f t="shared" ca="1" si="1"/>
        <v>1.5777868801591663E+22</v>
      </c>
      <c r="N25" s="139">
        <f>courbes!U24</f>
        <v>1.8333333333333333</v>
      </c>
      <c r="O25" s="139">
        <f t="shared" ca="1" si="2"/>
        <v>1.5777868623548976E+22</v>
      </c>
      <c r="P25" s="138">
        <f>courbes!AE24</f>
        <v>4.4000000000000004</v>
      </c>
      <c r="Q25" s="139">
        <f t="shared" ca="1" si="3"/>
        <v>1.4568796057921749E+22</v>
      </c>
      <c r="R25" s="145"/>
      <c r="S25" s="145"/>
    </row>
    <row r="26" spans="10:19" ht="13.5" thickBot="1">
      <c r="J26" s="138">
        <f>courbes!A25</f>
        <v>1.9166666666666667</v>
      </c>
      <c r="K26" s="139">
        <f t="shared" ca="1" si="0"/>
        <v>1.5731443041679459E+22</v>
      </c>
      <c r="L26" s="141">
        <f>courbes!J25</f>
        <v>1.9166666666666667</v>
      </c>
      <c r="M26" s="139">
        <f t="shared" ca="1" si="1"/>
        <v>1.5732918481836627E+22</v>
      </c>
      <c r="N26" s="139">
        <f>courbes!U25</f>
        <v>1.9166666666666667</v>
      </c>
      <c r="O26" s="139">
        <f t="shared" ca="1" si="2"/>
        <v>1.5732918295554135E+22</v>
      </c>
      <c r="P26" s="138">
        <f>courbes!AE25</f>
        <v>4.5999999999999996</v>
      </c>
      <c r="Q26" s="139">
        <f t="shared" ca="1" si="3"/>
        <v>1.4469878918511952E+22</v>
      </c>
      <c r="R26" s="145"/>
      <c r="S26" s="145"/>
    </row>
    <row r="27" spans="10:19" ht="13.5" thickBot="1">
      <c r="J27" s="138">
        <f>courbes!A26</f>
        <v>2</v>
      </c>
      <c r="K27" s="139">
        <f t="shared" ca="1" si="0"/>
        <v>1.5686561022863911E+22</v>
      </c>
      <c r="L27" s="141">
        <f>courbes!J26</f>
        <v>2</v>
      </c>
      <c r="M27" s="139">
        <f t="shared" ca="1" si="1"/>
        <v>1.568809622323257E+22</v>
      </c>
      <c r="N27" s="139">
        <f>courbes!U26</f>
        <v>2</v>
      </c>
      <c r="O27" s="139">
        <f t="shared" ca="1" si="2"/>
        <v>1.5688096028708431E+22</v>
      </c>
      <c r="P27" s="138">
        <f>courbes!AE26</f>
        <v>4.8</v>
      </c>
      <c r="Q27" s="139">
        <f t="shared" ca="1" si="3"/>
        <v>1.4370961779102155E+22</v>
      </c>
      <c r="R27" s="145"/>
      <c r="S27" s="145"/>
    </row>
    <row r="28" spans="10:19" ht="13.5" thickBot="1">
      <c r="J28" s="138">
        <f>courbes!A27</f>
        <v>2.0833333333333335</v>
      </c>
      <c r="K28" s="139">
        <f t="shared" ca="1" si="0"/>
        <v>1.5641807053107954E+22</v>
      </c>
      <c r="L28" s="141">
        <f>courbes!J27</f>
        <v>2.0833333333333335</v>
      </c>
      <c r="M28" s="139">
        <f t="shared" ca="1" si="1"/>
        <v>1.5643401660959549E+22</v>
      </c>
      <c r="N28" s="139">
        <f>courbes!U27</f>
        <v>2.0833333333333335</v>
      </c>
      <c r="O28" s="139">
        <f t="shared" ca="1" si="2"/>
        <v>1.5643401458172304E+22</v>
      </c>
      <c r="P28" s="138">
        <f>courbes!AE27</f>
        <v>5</v>
      </c>
      <c r="Q28" s="139">
        <f t="shared" ca="1" si="3"/>
        <v>1.4272044639692358E+22</v>
      </c>
      <c r="R28" s="145"/>
      <c r="S28" s="145"/>
    </row>
    <row r="29" spans="10:19" ht="13.5" thickBot="1">
      <c r="J29" s="138">
        <f>courbes!A28</f>
        <v>2.1666666666666665</v>
      </c>
      <c r="K29" s="139">
        <f t="shared" ca="1" si="0"/>
        <v>1.559718076708524E+22</v>
      </c>
      <c r="L29" s="141">
        <f>courbes!J28</f>
        <v>2.1666666666666665</v>
      </c>
      <c r="M29" s="139">
        <f t="shared" ca="1" si="1"/>
        <v>1.5598834431201976E+22</v>
      </c>
      <c r="N29" s="139">
        <f>courbes!U28</f>
        <v>2.1666666666666665</v>
      </c>
      <c r="O29" s="139">
        <f t="shared" ca="1" si="2"/>
        <v>1.5598834220145595E+22</v>
      </c>
      <c r="P29" s="138">
        <f>courbes!AE28</f>
        <v>5.2</v>
      </c>
      <c r="Q29" s="139">
        <f t="shared" ca="1" si="3"/>
        <v>1.4174126663306903E+22</v>
      </c>
      <c r="R29" s="145"/>
      <c r="S29" s="145"/>
    </row>
    <row r="30" spans="10:19" ht="13.5" thickBot="1">
      <c r="J30" s="138">
        <f>courbes!A29</f>
        <v>2.25</v>
      </c>
      <c r="K30" s="139">
        <f t="shared" ca="1" si="0"/>
        <v>1.5552681800511722E+22</v>
      </c>
      <c r="L30" s="141">
        <f>courbes!J29</f>
        <v>2.25</v>
      </c>
      <c r="M30" s="139">
        <f t="shared" ca="1" si="1"/>
        <v>1.5554394171195582E+22</v>
      </c>
      <c r="N30" s="139">
        <f>courbes!U29</f>
        <v>2.25</v>
      </c>
      <c r="O30" s="139">
        <f t="shared" ca="1" si="2"/>
        <v>1.5554393951864609E+22</v>
      </c>
      <c r="P30" s="138">
        <f>courbes!AE29</f>
        <v>5.4</v>
      </c>
      <c r="Q30" s="139">
        <f t="shared" ca="1" si="3"/>
        <v>1.4076208686921446E+22</v>
      </c>
      <c r="R30" s="145"/>
      <c r="S30" s="145"/>
    </row>
    <row r="31" spans="10:19" ht="13.5" thickBot="1">
      <c r="J31" s="138">
        <f>courbes!A30</f>
        <v>2.3333333333333335</v>
      </c>
      <c r="K31" s="139">
        <f t="shared" ca="1" si="0"/>
        <v>1.5508309790142679E+22</v>
      </c>
      <c r="L31" s="141">
        <f>courbes!J30</f>
        <v>2.3333333333333335</v>
      </c>
      <c r="M31" s="139">
        <f t="shared" ca="1" si="1"/>
        <v>1.5510080519209591E+22</v>
      </c>
      <c r="N31" s="139">
        <f>courbes!U30</f>
        <v>2.3333333333333335</v>
      </c>
      <c r="O31" s="139">
        <f t="shared" ca="1" si="2"/>
        <v>1.5510080291599131E+22</v>
      </c>
      <c r="P31" s="138">
        <f>courbes!AE30</f>
        <v>5.6</v>
      </c>
      <c r="Q31" s="139">
        <f t="shared" ca="1" si="3"/>
        <v>1.3978290710535991E+22</v>
      </c>
      <c r="R31" s="145"/>
      <c r="S31" s="145"/>
    </row>
    <row r="32" spans="10:19" ht="13.5" thickBot="1">
      <c r="J32" s="138">
        <f>courbes!A31</f>
        <v>2.4166666666666665</v>
      </c>
      <c r="K32" s="139">
        <f t="shared" ca="1" si="0"/>
        <v>1.5464064373769753E+22</v>
      </c>
      <c r="L32" s="141">
        <f>courbes!J31</f>
        <v>2.4166666666666665</v>
      </c>
      <c r="M32" s="139">
        <f t="shared" ca="1" si="1"/>
        <v>1.5465893114543767E+22</v>
      </c>
      <c r="N32" s="139">
        <f>courbes!U31</f>
        <v>2.4166666666666665</v>
      </c>
      <c r="O32" s="139">
        <f t="shared" ca="1" si="2"/>
        <v>1.5465892878649506E+22</v>
      </c>
      <c r="P32" s="138">
        <f>courbes!AE31</f>
        <v>5.8</v>
      </c>
      <c r="Q32" s="139">
        <f t="shared" ca="1" si="3"/>
        <v>1.3880372734150534E+22</v>
      </c>
      <c r="R32" s="145"/>
      <c r="S32" s="145"/>
    </row>
    <row r="33" spans="10:19" ht="13.5" thickBot="1">
      <c r="J33" s="138">
        <f>courbes!A32</f>
        <v>2.5</v>
      </c>
      <c r="K33" s="139">
        <f t="shared" ca="1" si="0"/>
        <v>1.5419945190217992E+22</v>
      </c>
      <c r="L33" s="141">
        <f>courbes!J32</f>
        <v>2.5</v>
      </c>
      <c r="M33" s="139">
        <f t="shared" ca="1" si="1"/>
        <v>1.5421831597525425E+22</v>
      </c>
      <c r="N33" s="139">
        <f>courbes!U32</f>
        <v>2.5</v>
      </c>
      <c r="O33" s="139">
        <f t="shared" ca="1" si="2"/>
        <v>1.5421831353343691E+22</v>
      </c>
      <c r="P33" s="138">
        <f>courbes!AE32</f>
        <v>6</v>
      </c>
      <c r="Q33" s="139">
        <f t="shared" ca="1" si="3"/>
        <v>1.3782454757765079E+22</v>
      </c>
      <c r="R33" s="145"/>
      <c r="S33" s="145"/>
    </row>
    <row r="34" spans="10:19" ht="13.5" thickBot="1">
      <c r="J34" s="138">
        <f>courbes!A33</f>
        <v>2.5833333333333335</v>
      </c>
      <c r="K34" s="139">
        <f t="shared" ca="1" si="0"/>
        <v>1.5375951879342897E+22</v>
      </c>
      <c r="L34" s="141">
        <f>courbes!J33</f>
        <v>2.5833333333333335</v>
      </c>
      <c r="M34" s="139">
        <f t="shared" ca="1" si="1"/>
        <v>1.5377895609506487E+22</v>
      </c>
      <c r="N34" s="139">
        <f>courbes!U33</f>
        <v>2.5833333333333335</v>
      </c>
      <c r="O34" s="139">
        <f t="shared" ca="1" si="2"/>
        <v>1.5377895357034325E+22</v>
      </c>
      <c r="P34" s="138">
        <f>courbes!AE33</f>
        <v>6.2</v>
      </c>
      <c r="Q34" s="139">
        <f t="shared" ca="1" si="3"/>
        <v>1.3685535944403965E+22</v>
      </c>
      <c r="R34" s="145"/>
      <c r="S34" s="145"/>
    </row>
    <row r="35" spans="10:19" ht="13.5" thickBot="1">
      <c r="J35" s="138">
        <f>courbes!A34</f>
        <v>2.6666666666666665</v>
      </c>
      <c r="K35" s="139">
        <f t="shared" ca="1" si="0"/>
        <v>1.5332084082027484E+22</v>
      </c>
      <c r="L35" s="141">
        <f>courbes!J34</f>
        <v>2.6666666666666665</v>
      </c>
      <c r="M35" s="139">
        <f t="shared" ca="1" si="1"/>
        <v>1.5334084792860505E+22</v>
      </c>
      <c r="N35" s="139">
        <f>courbes!U34</f>
        <v>2.6666666666666665</v>
      </c>
      <c r="O35" s="139">
        <f t="shared" ca="1" si="2"/>
        <v>1.5334084532095821E+22</v>
      </c>
      <c r="P35" s="138">
        <f>courbes!AE34</f>
        <v>6.4</v>
      </c>
      <c r="Q35" s="139">
        <f t="shared" ca="1" si="3"/>
        <v>1.3587617968018508E+22</v>
      </c>
      <c r="R35" s="145"/>
      <c r="S35" s="145"/>
    </row>
    <row r="36" spans="10:19" ht="13.5" thickBot="1">
      <c r="J36" s="138">
        <f>courbes!A35</f>
        <v>2.75</v>
      </c>
      <c r="K36" s="139">
        <f t="shared" ca="1" si="0"/>
        <v>1.5288341440179355E+22</v>
      </c>
      <c r="L36" s="141">
        <f>courbes!J35</f>
        <v>2.75</v>
      </c>
      <c r="M36" s="139">
        <f t="shared" ca="1" si="1"/>
        <v>1.5290398790979701E+22</v>
      </c>
      <c r="N36" s="139">
        <f>courbes!U35</f>
        <v>2.75</v>
      </c>
      <c r="O36" s="139">
        <f t="shared" ca="1" si="2"/>
        <v>1.5290398521921443E+22</v>
      </c>
      <c r="P36" s="138">
        <f>courbes!AE35</f>
        <v>6.6</v>
      </c>
      <c r="Q36" s="139">
        <f t="shared" ca="1" si="3"/>
        <v>1.3490699154657395E+22</v>
      </c>
      <c r="R36" s="145"/>
      <c r="S36" s="145"/>
    </row>
    <row r="37" spans="10:19" ht="13.5" thickBot="1">
      <c r="J37" s="138">
        <f>courbes!A36</f>
        <v>2.8333333333333335</v>
      </c>
      <c r="K37" s="139">
        <f t="shared" ca="1" si="0"/>
        <v>1.5244723596727767E+22</v>
      </c>
      <c r="L37" s="141">
        <f>courbes!J36</f>
        <v>2.8333333333333335</v>
      </c>
      <c r="M37" s="139">
        <f t="shared" ca="1" si="1"/>
        <v>1.5246837248271994E+22</v>
      </c>
      <c r="N37" s="139">
        <f>courbes!U36</f>
        <v>2.8333333333333335</v>
      </c>
      <c r="O37" s="139">
        <f t="shared" ca="1" si="2"/>
        <v>1.5246836970920421E+22</v>
      </c>
      <c r="P37" s="138">
        <f>courbes!AE36</f>
        <v>6.8</v>
      </c>
      <c r="Q37" s="139">
        <f t="shared" ca="1" si="3"/>
        <v>1.3394779504320621E+22</v>
      </c>
      <c r="R37" s="145"/>
      <c r="S37" s="145"/>
    </row>
    <row r="38" spans="10:19" ht="13.5" thickBot="1">
      <c r="J38" s="138">
        <f>courbes!A37</f>
        <v>2.9166666666666665</v>
      </c>
      <c r="K38" s="139">
        <f t="shared" ca="1" si="0"/>
        <v>1.5201230195620722E+22</v>
      </c>
      <c r="L38" s="141">
        <f>courbes!J37</f>
        <v>2.9166666666666665</v>
      </c>
      <c r="M38" s="139">
        <f t="shared" ca="1" si="1"/>
        <v>1.5203399810158034E+22</v>
      </c>
      <c r="N38" s="139">
        <f>courbes!U37</f>
        <v>2.9166666666666665</v>
      </c>
      <c r="O38" s="139">
        <f t="shared" ca="1" si="2"/>
        <v>1.5203399524515026E+22</v>
      </c>
      <c r="P38" s="138">
        <f>courbes!AE37</f>
        <v>7</v>
      </c>
      <c r="Q38" s="139">
        <f t="shared" ca="1" si="3"/>
        <v>1.3297860690959506E+22</v>
      </c>
      <c r="R38" s="145"/>
      <c r="S38" s="145"/>
    </row>
    <row r="39" spans="10:19" ht="13.5" thickBot="1">
      <c r="J39" s="138">
        <f>courbes!A38</f>
        <v>3</v>
      </c>
      <c r="K39" s="139">
        <f t="shared" ca="1" si="0"/>
        <v>1.5157860881822059E+22</v>
      </c>
      <c r="L39" s="141">
        <f>courbes!J38</f>
        <v>3</v>
      </c>
      <c r="M39" s="139">
        <f t="shared" ca="1" si="1"/>
        <v>1.5160086123068244E+22</v>
      </c>
      <c r="N39" s="139">
        <f>courbes!U38</f>
        <v>3</v>
      </c>
      <c r="O39" s="139">
        <f t="shared" ca="1" si="2"/>
        <v>1.5160085829137721E+22</v>
      </c>
      <c r="P39" s="138">
        <f>courbes!AE38</f>
        <v>7.2</v>
      </c>
      <c r="Q39" s="139">
        <f t="shared" ca="1" si="3"/>
        <v>1.3201941040622733E+22</v>
      </c>
      <c r="R39" s="145"/>
      <c r="S39" s="145"/>
    </row>
    <row r="40" spans="10:19" ht="13.5" thickBot="1">
      <c r="J40" s="138">
        <f>courbes!A39</f>
        <v>3.0833333333333335</v>
      </c>
      <c r="K40" s="139">
        <f t="shared" ca="1" si="0"/>
        <v>1.5114615301308554E+22</v>
      </c>
      <c r="L40" s="141">
        <f>courbes!J39</f>
        <v>3.0833333333333335</v>
      </c>
      <c r="M40" s="139">
        <f t="shared" ca="1" si="1"/>
        <v>1.5116895834461507E+22</v>
      </c>
      <c r="N40" s="139">
        <f>courbes!U39</f>
        <v>3.0833333333333335</v>
      </c>
      <c r="O40" s="139">
        <f t="shared" ca="1" si="2"/>
        <v>1.5116895532228253E+22</v>
      </c>
      <c r="P40" s="138">
        <f>courbes!AE39</f>
        <v>7.4</v>
      </c>
      <c r="Q40" s="139">
        <f t="shared" ca="1" si="3"/>
        <v>1.3105022227261619E+22</v>
      </c>
      <c r="R40" s="145"/>
      <c r="S40" s="145"/>
    </row>
    <row r="41" spans="10:19" ht="13.5" thickBot="1">
      <c r="J41" s="138">
        <f>courbes!A40</f>
        <v>3.1666666666666665</v>
      </c>
      <c r="K41" s="139">
        <f t="shared" ca="1" si="0"/>
        <v>1.5071493101067031E+22</v>
      </c>
      <c r="L41" s="141">
        <f>courbes!J40</f>
        <v>3.1666666666666665</v>
      </c>
      <c r="M41" s="139">
        <f t="shared" ca="1" si="1"/>
        <v>1.5073828592767302E+22</v>
      </c>
      <c r="N41" s="139">
        <f>courbes!U40</f>
        <v>3.1666666666666665</v>
      </c>
      <c r="O41" s="139">
        <f t="shared" ca="1" si="2"/>
        <v>1.5073828282230796E+22</v>
      </c>
      <c r="P41" s="138">
        <f>courbes!AE40</f>
        <v>7.6</v>
      </c>
      <c r="Q41" s="139">
        <f t="shared" ca="1" si="3"/>
        <v>1.3010101739949188E+22</v>
      </c>
      <c r="R41" s="145"/>
      <c r="S41" s="145"/>
    </row>
    <row r="42" spans="10:19" ht="13.5" thickBot="1">
      <c r="J42" s="138">
        <f>courbes!A41</f>
        <v>3.25</v>
      </c>
      <c r="K42" s="139">
        <f t="shared" ca="1" si="0"/>
        <v>1.5028493929091479E+22</v>
      </c>
      <c r="L42" s="141">
        <f>courbes!J41</f>
        <v>3.25</v>
      </c>
      <c r="M42" s="139">
        <f t="shared" ca="1" si="1"/>
        <v>1.5030884047430997E+22</v>
      </c>
      <c r="N42" s="139">
        <f>courbes!U41</f>
        <v>3.25</v>
      </c>
      <c r="O42" s="139">
        <f t="shared" ca="1" si="2"/>
        <v>1.5030883728591096E+22</v>
      </c>
      <c r="P42" s="138">
        <f>courbes!AE41</f>
        <v>7.8</v>
      </c>
      <c r="Q42" s="139">
        <f t="shared" ca="1" si="3"/>
        <v>1.2914182089612414E+22</v>
      </c>
      <c r="R42" s="145"/>
      <c r="S42" s="145"/>
    </row>
    <row r="43" spans="10:19" ht="13.5" thickBot="1">
      <c r="J43" s="138">
        <f>courbes!A42</f>
        <v>3.3333333333333335</v>
      </c>
      <c r="K43" s="139">
        <f t="shared" ca="1" si="0"/>
        <v>1.4985617434380178E+22</v>
      </c>
      <c r="L43" s="141">
        <f>courbes!J42</f>
        <v>3.3333333333333335</v>
      </c>
      <c r="M43" s="139">
        <f t="shared" ca="1" si="1"/>
        <v>1.4988061848896688E+22</v>
      </c>
      <c r="N43" s="139">
        <f>courbes!U42</f>
        <v>3.3333333333333335</v>
      </c>
      <c r="O43" s="139">
        <f t="shared" ca="1" si="2"/>
        <v>1.4988061521753596E+22</v>
      </c>
      <c r="P43" s="138">
        <f>courbes!AE42</f>
        <v>8</v>
      </c>
      <c r="Q43" s="139">
        <f t="shared" ca="1" si="3"/>
        <v>1.2818262439275641E+22</v>
      </c>
      <c r="R43" s="145"/>
      <c r="S43" s="145"/>
    </row>
    <row r="44" spans="10:19" ht="13.5" thickBot="1">
      <c r="J44" s="138">
        <f>courbes!A43</f>
        <v>3.4166666666666665</v>
      </c>
      <c r="K44" s="139">
        <f t="shared" ca="1" si="0"/>
        <v>1.4942863266932834E+22</v>
      </c>
      <c r="L44" s="141">
        <f>courbes!J43</f>
        <v>3.4166666666666665</v>
      </c>
      <c r="M44" s="139">
        <f t="shared" ca="1" si="1"/>
        <v>1.4945361648604297E+22</v>
      </c>
      <c r="N44" s="139">
        <f>courbes!U43</f>
        <v>3.4166666666666665</v>
      </c>
      <c r="O44" s="139">
        <f t="shared" ca="1" si="2"/>
        <v>1.4945361313158622E+22</v>
      </c>
      <c r="P44" s="138">
        <f>courbes!AE43</f>
        <v>8.1999999999999993</v>
      </c>
      <c r="Q44" s="139">
        <f t="shared" ca="1" si="3"/>
        <v>1.2723341951963209E+22</v>
      </c>
      <c r="R44" s="145"/>
      <c r="S44" s="145"/>
    </row>
    <row r="45" spans="10:19" ht="13.5" thickBot="1">
      <c r="J45" s="138">
        <f>courbes!A44</f>
        <v>3.5</v>
      </c>
      <c r="K45" s="139">
        <f t="shared" ca="1" si="0"/>
        <v>1.4900231077747719E+22</v>
      </c>
      <c r="L45" s="141">
        <f>courbes!J44</f>
        <v>3.5</v>
      </c>
      <c r="M45" s="139">
        <f t="shared" ca="1" si="1"/>
        <v>1.4902783098986724E+22</v>
      </c>
      <c r="N45" s="139">
        <f>courbes!U44</f>
        <v>3.5</v>
      </c>
      <c r="O45" s="139">
        <f t="shared" ca="1" si="2"/>
        <v>1.4902782755239511E+22</v>
      </c>
      <c r="P45" s="138">
        <f>courbes!AE44</f>
        <v>8.4</v>
      </c>
      <c r="Q45" s="139">
        <f t="shared" ca="1" si="3"/>
        <v>1.2628421464650777E+22</v>
      </c>
      <c r="R45" s="145"/>
      <c r="S45" s="145"/>
    </row>
    <row r="46" spans="10:19" ht="13.5" thickBot="1">
      <c r="J46" s="138">
        <f>courbes!A45</f>
        <v>3.5833333333333335</v>
      </c>
      <c r="K46" s="139">
        <f t="shared" ca="1" si="0"/>
        <v>1.4857720518818828E+22</v>
      </c>
      <c r="L46" s="141">
        <f>courbes!J45</f>
        <v>3.5833333333333335</v>
      </c>
      <c r="M46" s="139">
        <f t="shared" ca="1" si="1"/>
        <v>1.4860325853466976E+22</v>
      </c>
      <c r="N46" s="139">
        <f>courbes!U45</f>
        <v>3.5833333333333335</v>
      </c>
      <c r="O46" s="139">
        <f t="shared" ca="1" si="2"/>
        <v>1.4860325501419815E+22</v>
      </c>
      <c r="P46" s="138">
        <f>courbes!AE45</f>
        <v>8.6</v>
      </c>
      <c r="Q46" s="139">
        <f t="shared" ca="1" si="3"/>
        <v>1.2533500977338347E+22</v>
      </c>
      <c r="R46" s="145"/>
      <c r="S46" s="145"/>
    </row>
    <row r="47" spans="10:19" ht="13.5" thickBot="1">
      <c r="J47" s="138">
        <f>courbes!A46</f>
        <v>3.6666666666666665</v>
      </c>
      <c r="K47" s="139">
        <f t="shared" ca="1" si="0"/>
        <v>1.481533124313303E+22</v>
      </c>
      <c r="L47" s="141">
        <f>courbes!J46</f>
        <v>3.6666666666666665</v>
      </c>
      <c r="M47" s="139">
        <f t="shared" ca="1" si="1"/>
        <v>1.4817989566455307E+22</v>
      </c>
      <c r="N47" s="139">
        <f>courbes!U46</f>
        <v>3.6666666666666665</v>
      </c>
      <c r="O47" s="139">
        <f t="shared" ca="1" si="2"/>
        <v>1.4817989206110452E+22</v>
      </c>
      <c r="P47" s="138">
        <f>courbes!AE46</f>
        <v>8.8000000000000007</v>
      </c>
      <c r="Q47" s="139">
        <f t="shared" ca="1" si="3"/>
        <v>1.2438580490025914E+22</v>
      </c>
      <c r="R47" s="145"/>
      <c r="S47" s="145"/>
    </row>
    <row r="48" spans="10:19" ht="13.5" thickBot="1">
      <c r="J48" s="138">
        <f>courbes!A47</f>
        <v>3.75</v>
      </c>
      <c r="K48" s="139">
        <f t="shared" ca="1" si="0"/>
        <v>1.4773062904667236E+22</v>
      </c>
      <c r="L48" s="141">
        <f>courbes!J47</f>
        <v>3.75</v>
      </c>
      <c r="M48" s="139">
        <f t="shared" ca="1" si="1"/>
        <v>1.4775773893346342E+22</v>
      </c>
      <c r="N48" s="139">
        <f>courbes!U47</f>
        <v>3.75</v>
      </c>
      <c r="O48" s="139">
        <f t="shared" ca="1" si="2"/>
        <v>1.4775773524706908E+22</v>
      </c>
      <c r="P48" s="138">
        <f>courbes!AE47</f>
        <v>9</v>
      </c>
      <c r="Q48" s="139">
        <f t="shared" ca="1" si="3"/>
        <v>1.2344659165737824E+22</v>
      </c>
      <c r="R48" s="145"/>
      <c r="S48" s="145"/>
    </row>
    <row r="49" spans="10:19" ht="13.5" thickBot="1">
      <c r="J49" s="138">
        <f>courbes!A48</f>
        <v>3.8333333333333335</v>
      </c>
      <c r="K49" s="139">
        <f t="shared" ca="1" si="0"/>
        <v>1.473091515838558E+22</v>
      </c>
      <c r="L49" s="141">
        <f>courbes!J48</f>
        <v>3.8333333333333335</v>
      </c>
      <c r="M49" s="139">
        <f t="shared" ca="1" si="1"/>
        <v>1.4733678490516218E+22</v>
      </c>
      <c r="N49" s="139">
        <f>courbes!U48</f>
        <v>3.8333333333333335</v>
      </c>
      <c r="O49" s="139">
        <f t="shared" ca="1" si="2"/>
        <v>1.4733678113586439E+22</v>
      </c>
      <c r="P49" s="138">
        <f>courbes!AE48</f>
        <v>9.1999999999999993</v>
      </c>
      <c r="Q49" s="139">
        <f t="shared" ca="1" si="3"/>
        <v>1.2250737841449734E+22</v>
      </c>
      <c r="R49" s="145"/>
      <c r="S49" s="145"/>
    </row>
    <row r="50" spans="10:19" ht="13.5" thickBot="1">
      <c r="J50" s="138">
        <f>courbes!A49</f>
        <v>3.9166666666666665</v>
      </c>
      <c r="K50" s="139">
        <f t="shared" ca="1" si="0"/>
        <v>1.4688887660236599E+22</v>
      </c>
      <c r="L50" s="141">
        <f>courbes!J49</f>
        <v>3.9166666666666665</v>
      </c>
      <c r="M50" s="139">
        <f t="shared" ca="1" si="1"/>
        <v>1.4691703015319712E+22</v>
      </c>
      <c r="N50" s="139">
        <f>courbes!U49</f>
        <v>3.9166666666666665</v>
      </c>
      <c r="O50" s="139">
        <f t="shared" ca="1" si="2"/>
        <v>1.4691702630105253E+22</v>
      </c>
      <c r="P50" s="138">
        <f>courbes!AE49</f>
        <v>9.4</v>
      </c>
      <c r="Q50" s="139">
        <f t="shared" ca="1" si="3"/>
        <v>1.2156816517161644E+22</v>
      </c>
      <c r="R50" s="145"/>
      <c r="S50" s="145"/>
    </row>
    <row r="51" spans="10:19" ht="13.5" thickBot="1">
      <c r="J51" s="138">
        <f>courbes!A50</f>
        <v>4</v>
      </c>
      <c r="K51" s="139">
        <f t="shared" ca="1" si="0"/>
        <v>1.4646980067150419E+22</v>
      </c>
      <c r="L51" s="141">
        <f>courbes!J50</f>
        <v>4</v>
      </c>
      <c r="M51" s="139">
        <f t="shared" ca="1" si="1"/>
        <v>1.4649847126087382E+22</v>
      </c>
      <c r="N51" s="139">
        <f>courbes!U50</f>
        <v>4</v>
      </c>
      <c r="O51" s="139">
        <f t="shared" ca="1" si="2"/>
        <v>1.4649846732595736E+22</v>
      </c>
      <c r="P51" s="138">
        <f>courbes!AE50</f>
        <v>9.6</v>
      </c>
      <c r="Q51" s="139">
        <f t="shared" ca="1" si="3"/>
        <v>1.2062895192873554E+22</v>
      </c>
      <c r="R51" s="145"/>
      <c r="S51" s="145"/>
    </row>
    <row r="52" spans="10:19" ht="13.5" thickBot="1">
      <c r="J52" s="138">
        <f>courbes!A51</f>
        <v>4.083333333333333</v>
      </c>
      <c r="K52" s="139">
        <f t="shared" ca="1" si="0"/>
        <v>1.4605192037035963E+22</v>
      </c>
      <c r="L52" s="141">
        <f>courbes!J51</f>
        <v>4.083333333333333</v>
      </c>
      <c r="M52" s="139">
        <f t="shared" ca="1" si="1"/>
        <v>1.4608110482143614E+22</v>
      </c>
      <c r="N52" s="139">
        <f>courbes!U51</f>
        <v>4.083333333333333</v>
      </c>
      <c r="O52" s="139">
        <f t="shared" ca="1" si="2"/>
        <v>1.4608110080363667E+22</v>
      </c>
      <c r="P52" s="138">
        <f>courbes!AE51</f>
        <v>9.8000000000000007</v>
      </c>
      <c r="Q52" s="139">
        <f t="shared" ca="1" si="3"/>
        <v>1.1968973868585464E+22</v>
      </c>
      <c r="R52" s="145"/>
      <c r="S52" s="145"/>
    </row>
    <row r="53" spans="10:19" ht="13.5" thickBot="1">
      <c r="J53" s="138">
        <f>courbes!A52</f>
        <v>4.166666666666667</v>
      </c>
      <c r="K53" s="139">
        <f t="shared" ca="1" si="0"/>
        <v>1.4563523228778151E+22</v>
      </c>
      <c r="L53" s="141">
        <f>courbes!J52</f>
        <v>4.166666666666667</v>
      </c>
      <c r="M53" s="139">
        <f t="shared" ca="1" si="1"/>
        <v>1.4566492743750732E+22</v>
      </c>
      <c r="N53" s="139">
        <f>courbes!U52</f>
        <v>4.166666666666667</v>
      </c>
      <c r="O53" s="139">
        <f t="shared" ca="1" si="2"/>
        <v>1.4566492333685451E+22</v>
      </c>
      <c r="Q53" s="139">
        <f t="shared" ca="1" si="3"/>
        <v>0</v>
      </c>
      <c r="R53" s="145"/>
      <c r="S53" s="145"/>
    </row>
    <row r="54" spans="10:19" ht="13.5" thickBot="1">
      <c r="J54" s="138">
        <f>courbes!A53</f>
        <v>4.25</v>
      </c>
      <c r="K54" s="139">
        <f t="shared" ca="1" si="0"/>
        <v>1.4521973302235117E+22</v>
      </c>
      <c r="L54" s="141">
        <f>courbes!J53</f>
        <v>4.25</v>
      </c>
      <c r="M54" s="139">
        <f t="shared" ca="1" si="1"/>
        <v>1.4524993572152766E+22</v>
      </c>
      <c r="N54" s="139">
        <f>courbes!U53</f>
        <v>4.25</v>
      </c>
      <c r="O54" s="139">
        <f t="shared" ca="1" si="2"/>
        <v>1.4524993153805335E+22</v>
      </c>
      <c r="Q54" s="139">
        <f t="shared" ca="1" si="3"/>
        <v>0</v>
      </c>
      <c r="R54" s="145"/>
      <c r="S54" s="145"/>
    </row>
    <row r="55" spans="10:19" ht="13.5" thickBot="1">
      <c r="J55" s="138">
        <f>courbes!A54</f>
        <v>4.333333333333333</v>
      </c>
      <c r="K55" s="139">
        <f t="shared" ca="1" si="0"/>
        <v>1.4480541918235434E+22</v>
      </c>
      <c r="L55" s="141">
        <f>courbes!J54</f>
        <v>4.333333333333333</v>
      </c>
      <c r="M55" s="139">
        <f t="shared" ca="1" si="1"/>
        <v>1.4483612629558828E+22</v>
      </c>
      <c r="N55" s="139">
        <f>courbes!U54</f>
        <v>4.333333333333333</v>
      </c>
      <c r="O55" s="139">
        <f t="shared" ca="1" si="2"/>
        <v>1.4483612202932673E+22</v>
      </c>
      <c r="Q55" s="139">
        <f t="shared" ca="1" si="3"/>
        <v>0</v>
      </c>
      <c r="R55" s="145"/>
      <c r="S55" s="145"/>
    </row>
    <row r="56" spans="10:19" ht="13.5" thickBot="1">
      <c r="J56" s="138">
        <f>courbes!A55</f>
        <v>4.416666666666667</v>
      </c>
      <c r="K56" s="139">
        <f t="shared" ca="1" si="0"/>
        <v>1.4439228738575345E+22</v>
      </c>
      <c r="L56" s="141">
        <f>courbes!J55</f>
        <v>4.416666666666667</v>
      </c>
      <c r="M56" s="139">
        <f t="shared" ca="1" si="1"/>
        <v>1.4442349579140357E+22</v>
      </c>
      <c r="N56" s="139">
        <f>courbes!U55</f>
        <v>4.416666666666667</v>
      </c>
      <c r="O56" s="139">
        <f t="shared" ca="1" si="2"/>
        <v>1.4442349144239172E+22</v>
      </c>
      <c r="Q56" s="139">
        <f t="shared" ca="1" si="3"/>
        <v>0</v>
      </c>
      <c r="R56" s="145"/>
      <c r="S56" s="145"/>
    </row>
    <row r="57" spans="10:19" ht="13.5" thickBot="1">
      <c r="J57" s="138">
        <f>courbes!A56</f>
        <v>4.5</v>
      </c>
      <c r="K57" s="139">
        <f t="shared" ca="1" si="0"/>
        <v>1.4398033426015999E+22</v>
      </c>
      <c r="L57" s="141">
        <f>courbes!J56</f>
        <v>4.5</v>
      </c>
      <c r="M57" s="139">
        <f t="shared" ca="1" si="1"/>
        <v>1.4401204085028333E+22</v>
      </c>
      <c r="N57" s="139">
        <f>courbes!U56</f>
        <v>4.5</v>
      </c>
      <c r="O57" s="139">
        <f t="shared" ca="1" si="2"/>
        <v>1.4401203641856129E+22</v>
      </c>
      <c r="Q57" s="139">
        <f t="shared" ca="1" si="3"/>
        <v>0</v>
      </c>
      <c r="R57" s="145"/>
      <c r="S57" s="145"/>
    </row>
    <row r="58" spans="10:19" ht="13.5" thickBot="1">
      <c r="J58" s="138">
        <f>courbes!A57</f>
        <v>4.583333333333333</v>
      </c>
      <c r="K58" s="139">
        <f t="shared" ca="1" si="0"/>
        <v>1.4356955644280701E+22</v>
      </c>
      <c r="L58" s="141">
        <f>courbes!J57</f>
        <v>4.583333333333333</v>
      </c>
      <c r="M58" s="139">
        <f t="shared" ca="1" si="1"/>
        <v>1.4360175812310519E+22</v>
      </c>
      <c r="N58" s="139">
        <f>courbes!U57</f>
        <v>4.583333333333333</v>
      </c>
      <c r="O58" s="139">
        <f t="shared" ca="1" si="2"/>
        <v>1.4360175360871728E+22</v>
      </c>
      <c r="Q58" s="139">
        <f t="shared" ca="1" si="3"/>
        <v>0</v>
      </c>
      <c r="R58" s="145"/>
      <c r="S58" s="145"/>
    </row>
    <row r="59" spans="10:19" ht="13.5" thickBot="1">
      <c r="J59" s="138">
        <f>courbes!A58</f>
        <v>4.666666666666667</v>
      </c>
      <c r="K59" s="139">
        <f t="shared" ca="1" si="0"/>
        <v>1.4315995058052163E+22</v>
      </c>
      <c r="L59" s="141">
        <f>courbes!J58</f>
        <v>4.666666666666667</v>
      </c>
      <c r="M59" s="139">
        <f t="shared" ca="1" si="1"/>
        <v>1.4319264427028693E+22</v>
      </c>
      <c r="N59" s="139">
        <f>courbes!U58</f>
        <v>4.666666666666667</v>
      </c>
      <c r="O59" s="139">
        <f t="shared" ca="1" si="2"/>
        <v>1.4319263967328294E+22</v>
      </c>
      <c r="Q59" s="139">
        <f t="shared" ca="1" si="3"/>
        <v>0</v>
      </c>
      <c r="R59" s="145"/>
      <c r="S59" s="145"/>
    </row>
    <row r="60" spans="10:19" ht="13.5" thickBot="1">
      <c r="J60" s="138">
        <f>courbes!A59</f>
        <v>4.75</v>
      </c>
      <c r="K60" s="139">
        <f t="shared" ca="1" si="0"/>
        <v>1.427515133296977E+22</v>
      </c>
      <c r="L60" s="141">
        <f>courbes!J59</f>
        <v>4.75</v>
      </c>
      <c r="M60" s="139">
        <f t="shared" ca="1" si="1"/>
        <v>1.4278469596175869E+22</v>
      </c>
      <c r="N60" s="139">
        <f>courbes!U59</f>
        <v>4.75</v>
      </c>
      <c r="O60" s="139">
        <f t="shared" ca="1" si="2"/>
        <v>1.4278469128219582E+22</v>
      </c>
      <c r="Q60" s="139">
        <f t="shared" ca="1" si="3"/>
        <v>0</v>
      </c>
      <c r="R60" s="145"/>
      <c r="S60" s="145"/>
    </row>
    <row r="61" spans="10:19" ht="13.5" thickBot="1">
      <c r="J61" s="138">
        <f>courbes!A60</f>
        <v>4.833333333333333</v>
      </c>
      <c r="K61" s="139">
        <f t="shared" ca="1" si="0"/>
        <v>1.423442413562685E+22</v>
      </c>
      <c r="L61" s="141">
        <f>courbes!J60</f>
        <v>4.833333333333333</v>
      </c>
      <c r="M61" s="139">
        <f t="shared" ca="1" si="1"/>
        <v>1.4237790987693536E+22</v>
      </c>
      <c r="N61" s="139">
        <f>courbes!U60</f>
        <v>4.833333333333333</v>
      </c>
      <c r="O61" s="139">
        <f t="shared" ca="1" si="2"/>
        <v>1.4237790511488058E+22</v>
      </c>
      <c r="Q61" s="139">
        <f t="shared" ca="1" si="3"/>
        <v>0</v>
      </c>
      <c r="R61" s="145"/>
      <c r="S61" s="145"/>
    </row>
    <row r="62" spans="10:19" ht="13.5" thickBot="1">
      <c r="J62" s="138">
        <f>courbes!A61</f>
        <v>4.916666666666667</v>
      </c>
      <c r="K62" s="139">
        <f t="shared" ca="1" si="0"/>
        <v>1.4193813133567948E+22</v>
      </c>
      <c r="L62" s="141">
        <f>courbes!J61</f>
        <v>4.916666666666667</v>
      </c>
      <c r="M62" s="139">
        <f t="shared" ca="1" si="1"/>
        <v>1.4197228270468886E+22</v>
      </c>
      <c r="N62" s="139">
        <f>courbes!U61</f>
        <v>4.916666666666667</v>
      </c>
      <c r="O62" s="139">
        <f t="shared" ca="1" si="2"/>
        <v>1.4197227786022211E+22</v>
      </c>
      <c r="Q62" s="139">
        <f t="shared" ca="1" si="3"/>
        <v>0</v>
      </c>
      <c r="R62" s="145"/>
      <c r="S62" s="145"/>
    </row>
    <row r="63" spans="10:19" ht="13.5" thickBot="1">
      <c r="J63" s="138">
        <f>courbes!A62</f>
        <v>5</v>
      </c>
      <c r="K63" s="139">
        <f t="shared" ca="1" si="0"/>
        <v>1.4153317995286119E+22</v>
      </c>
      <c r="L63" s="141">
        <f>courbes!J62</f>
        <v>5</v>
      </c>
      <c r="M63" s="139">
        <f t="shared" ca="1" si="1"/>
        <v>1.4156781114332042E+22</v>
      </c>
      <c r="N63" s="139">
        <f>courbes!U62</f>
        <v>5</v>
      </c>
      <c r="O63" s="139">
        <f t="shared" ca="1" si="2"/>
        <v>1.4156780621653845E+22</v>
      </c>
      <c r="Q63" s="139">
        <f t="shared" ca="1" si="3"/>
        <v>0</v>
      </c>
      <c r="R63" s="145"/>
      <c r="S63" s="145"/>
    </row>
    <row r="64" spans="10:19" ht="13.5" thickBot="1">
      <c r="J64" s="138">
        <f>courbes!A63</f>
        <v>5.083333333333333</v>
      </c>
      <c r="K64" s="139">
        <f t="shared" ca="1" si="0"/>
        <v>1.4112938390220215E+22</v>
      </c>
      <c r="L64" s="141">
        <f>courbes!J63</f>
        <v>5.083333333333333</v>
      </c>
      <c r="M64" s="139">
        <f t="shared" ca="1" si="1"/>
        <v>1.4116449190073487E+22</v>
      </c>
      <c r="N64" s="139">
        <f>courbes!U63</f>
        <v>5.083333333333333</v>
      </c>
      <c r="O64" s="139">
        <f t="shared" ca="1" si="2"/>
        <v>1.4116448689155398E+22</v>
      </c>
      <c r="Q64" s="139">
        <f t="shared" ca="1" si="3"/>
        <v>0</v>
      </c>
      <c r="R64" s="145"/>
      <c r="S64" s="145"/>
    </row>
    <row r="65" spans="10:19" ht="13.5" thickBot="1">
      <c r="J65" s="138">
        <f>courbes!A64</f>
        <v>5.166666666666667</v>
      </c>
      <c r="K65" s="139">
        <f t="shared" ca="1" si="0"/>
        <v>1.407267398875219E+22</v>
      </c>
      <c r="L65" s="141">
        <f>courbes!J64</f>
        <v>5.166666666666667</v>
      </c>
      <c r="M65" s="139">
        <f t="shared" ca="1" si="1"/>
        <v>1.4076232169390103E+22</v>
      </c>
      <c r="N65" s="139">
        <f>courbes!U64</f>
        <v>5.166666666666667</v>
      </c>
      <c r="O65" s="139">
        <f t="shared" ca="1" si="2"/>
        <v>1.407623166023726E+22</v>
      </c>
      <c r="Q65" s="139">
        <f t="shared" ca="1" si="3"/>
        <v>0</v>
      </c>
      <c r="R65" s="145"/>
      <c r="S65" s="145"/>
    </row>
    <row r="66" spans="10:19" ht="13.5" thickBot="1">
      <c r="J66" s="138">
        <f>courbes!A65</f>
        <v>5.25</v>
      </c>
      <c r="K66" s="139">
        <f t="shared" ca="1" si="0"/>
        <v>1.4032524462204406E+22</v>
      </c>
      <c r="L66" s="141">
        <f>courbes!J65</f>
        <v>5.25</v>
      </c>
      <c r="M66" s="139">
        <f t="shared" ca="1" si="1"/>
        <v>1.4036129724927406E+22</v>
      </c>
      <c r="N66" s="139">
        <f>courbes!U65</f>
        <v>5.25</v>
      </c>
      <c r="O66" s="139">
        <f t="shared" ca="1" si="2"/>
        <v>1.4036129207545097E+22</v>
      </c>
      <c r="Q66" s="139">
        <f t="shared" ca="1" si="3"/>
        <v>0</v>
      </c>
      <c r="R66" s="145"/>
      <c r="S66" s="145"/>
    </row>
    <row r="67" spans="10:19" ht="13.5" thickBot="1">
      <c r="J67" s="138">
        <f>courbes!A66</f>
        <v>5.333333333333333</v>
      </c>
      <c r="K67" s="139">
        <f t="shared" ref="K67:K130" ca="1" si="5">INDIRECT("courbes!"&amp;INDEX($D$3:$H$10,MATCH($B$2,$C$3:$C$10,0),MATCH(K$1,$D$2:$H$2,0))&amp;ROW($J66))</f>
        <v>1.3992489482836955E+22</v>
      </c>
      <c r="L67" s="141">
        <f>courbes!J66</f>
        <v>5.333333333333333</v>
      </c>
      <c r="M67" s="139">
        <f t="shared" ref="M67:M123" ca="1" si="6">INDIRECT("courbes!"&amp;INDEX($D$3:$H$10,MATCH($B$2,$C$3:$C$10,0),MATCH(M$1,$D$2:$H$2,0))&amp;ROW($J66))</f>
        <v>1.3996141530263528E+22</v>
      </c>
      <c r="N67" s="139">
        <f>courbes!U66</f>
        <v>5.333333333333333</v>
      </c>
      <c r="O67" s="139">
        <f t="shared" ref="O67:O130" ca="1" si="7">INDIRECT("courbes!"&amp;INDEX($D$3:$H$10,MATCH($B$2,$C$3:$C$10,0),MATCH(O$1,$D$2:$H$2,0))&amp;ROW($J66))</f>
        <v>1.3996141004657198E+22</v>
      </c>
      <c r="Q67" s="139">
        <f t="shared" ref="Q67:Q130" ca="1" si="8">INDIRECT("courbes!"&amp;INDEX($D$3:$H$10,MATCH($B$2,$C$3:$C$10,0),MATCH(Q$1,$D$2:$H$2,0))&amp;ROW($J66))</f>
        <v>0</v>
      </c>
      <c r="R67" s="145"/>
      <c r="S67" s="145"/>
    </row>
    <row r="68" spans="10:19" ht="13.5" thickBot="1">
      <c r="J68" s="138">
        <f>courbes!A67</f>
        <v>5.416666666666667</v>
      </c>
      <c r="K68" s="139">
        <f t="shared" ca="1" si="5"/>
        <v>1.3952568723844981E+22</v>
      </c>
      <c r="L68" s="141">
        <f>courbes!J67</f>
        <v>5.416666666666667</v>
      </c>
      <c r="M68" s="139">
        <f t="shared" ca="1" si="6"/>
        <v>1.395626725990653E+22</v>
      </c>
      <c r="N68" s="139">
        <f>courbes!U67</f>
        <v>5.416666666666667</v>
      </c>
      <c r="O68" s="139">
        <f t="shared" ca="1" si="7"/>
        <v>1.3956266726081801E+22</v>
      </c>
      <c r="Q68" s="139">
        <f t="shared" ca="1" si="8"/>
        <v>0</v>
      </c>
      <c r="R68" s="145"/>
      <c r="S68" s="145"/>
    </row>
    <row r="69" spans="10:19" ht="13.5" thickBot="1">
      <c r="J69" s="138">
        <f>courbes!A68</f>
        <v>5.5</v>
      </c>
      <c r="K69" s="139">
        <f t="shared" ca="1" si="5"/>
        <v>1.3912761859356007E+22</v>
      </c>
      <c r="L69" s="141">
        <f>courbes!J68</f>
        <v>5.5</v>
      </c>
      <c r="M69" s="139">
        <f t="shared" ca="1" si="6"/>
        <v>1.3916506589291707E+22</v>
      </c>
      <c r="N69" s="139">
        <f>courbes!U68</f>
        <v>5.5</v>
      </c>
      <c r="O69" s="139">
        <f t="shared" ca="1" si="7"/>
        <v>1.3916506047254465E+22</v>
      </c>
      <c r="Q69" s="139">
        <f t="shared" ca="1" si="8"/>
        <v>0</v>
      </c>
      <c r="R69" s="145"/>
      <c r="S69" s="145"/>
    </row>
    <row r="70" spans="10:19" ht="13.5" thickBot="1">
      <c r="J70" s="138">
        <f>courbes!A69</f>
        <v>5.583333333333333</v>
      </c>
      <c r="K70" s="139">
        <f t="shared" ca="1" si="5"/>
        <v>1.3873068564427282E+22</v>
      </c>
      <c r="L70" s="141">
        <f>courbes!J69</f>
        <v>5.583333333333333</v>
      </c>
      <c r="M70" s="139">
        <f t="shared" ca="1" si="6"/>
        <v>1.3876859194778952E+22</v>
      </c>
      <c r="N70" s="139">
        <f>courbes!U69</f>
        <v>5.583333333333333</v>
      </c>
      <c r="O70" s="139">
        <f t="shared" ca="1" si="7"/>
        <v>1.3876858644535404E+22</v>
      </c>
      <c r="Q70" s="139">
        <f t="shared" ca="1" si="8"/>
        <v>0</v>
      </c>
      <c r="R70" s="145"/>
      <c r="S70" s="145"/>
    </row>
    <row r="71" spans="10:19" ht="13.5" thickBot="1">
      <c r="J71" s="138">
        <f>courbes!A70</f>
        <v>5.666666666666667</v>
      </c>
      <c r="K71" s="139">
        <f t="shared" ca="1" si="5"/>
        <v>1.3833488515043124E+22</v>
      </c>
      <c r="L71" s="141">
        <f>courbes!J70</f>
        <v>5.666666666666667</v>
      </c>
      <c r="M71" s="139">
        <f t="shared" ca="1" si="6"/>
        <v>1.3837324753650045E+22</v>
      </c>
      <c r="N71" s="139">
        <f>courbes!U70</f>
        <v>5.666666666666667</v>
      </c>
      <c r="O71" s="139">
        <f t="shared" ca="1" si="7"/>
        <v>1.3837324195206875E+22</v>
      </c>
      <c r="Q71" s="139">
        <f t="shared" ca="1" si="8"/>
        <v>0</v>
      </c>
      <c r="R71" s="145"/>
      <c r="S71" s="145"/>
    </row>
    <row r="72" spans="10:19" ht="13.5" thickBot="1">
      <c r="J72" s="138">
        <f>courbes!A71</f>
        <v>5.75</v>
      </c>
      <c r="K72" s="139">
        <f t="shared" ca="1" si="5"/>
        <v>1.379402138811228E+22</v>
      </c>
      <c r="L72" s="141">
        <f>courbes!J71</f>
        <v>5.75</v>
      </c>
      <c r="M72" s="139">
        <f t="shared" ca="1" si="6"/>
        <v>1.3797902944105983E+22</v>
      </c>
      <c r="N72" s="139">
        <f>courbes!U71</f>
        <v>5.75</v>
      </c>
      <c r="O72" s="139">
        <f t="shared" ca="1" si="7"/>
        <v>1.3797902377470535E+22</v>
      </c>
      <c r="Q72" s="139">
        <f t="shared" ca="1" si="8"/>
        <v>0</v>
      </c>
      <c r="R72" s="145"/>
      <c r="S72" s="145"/>
    </row>
    <row r="73" spans="10:19" ht="13.5" thickBot="1">
      <c r="J73" s="138">
        <f>courbes!A72</f>
        <v>5.833333333333333</v>
      </c>
      <c r="K73" s="139">
        <f t="shared" ca="1" si="5"/>
        <v>1.3754666861465279E+22</v>
      </c>
      <c r="L73" s="141">
        <f>courbes!J72</f>
        <v>5.833333333333333</v>
      </c>
      <c r="M73" s="139">
        <f t="shared" ca="1" si="6"/>
        <v>1.3758593445264324E+22</v>
      </c>
      <c r="N73" s="139">
        <f>courbes!U72</f>
        <v>5.833333333333333</v>
      </c>
      <c r="O73" s="139">
        <f t="shared" ca="1" si="7"/>
        <v>1.3758592870444826E+22</v>
      </c>
      <c r="Q73" s="139">
        <f t="shared" ca="1" si="8"/>
        <v>0</v>
      </c>
      <c r="R73" s="145"/>
      <c r="S73" s="145"/>
    </row>
    <row r="74" spans="10:19" ht="13.5" thickBot="1">
      <c r="J74" s="138">
        <f>courbes!A73</f>
        <v>5.916666666666667</v>
      </c>
      <c r="K74" s="139">
        <f t="shared" ca="1" si="5"/>
        <v>1.3715424613851812E+22</v>
      </c>
      <c r="L74" s="141">
        <f>courbes!J73</f>
        <v>5.916666666666667</v>
      </c>
      <c r="M74" s="139">
        <f t="shared" ca="1" si="6"/>
        <v>1.3719395937156493E+22</v>
      </c>
      <c r="N74" s="139">
        <f>courbes!U73</f>
        <v>5.916666666666667</v>
      </c>
      <c r="O74" s="139">
        <f t="shared" ca="1" si="7"/>
        <v>1.3719395354162374E+22</v>
      </c>
      <c r="Q74" s="139">
        <f t="shared" ca="1" si="8"/>
        <v>0</v>
      </c>
      <c r="R74" s="145"/>
      <c r="S74" s="145"/>
    </row>
    <row r="75" spans="10:19" ht="13.5" thickBot="1">
      <c r="J75" s="138">
        <f>courbes!A74</f>
        <v>6</v>
      </c>
      <c r="K75" s="139">
        <f t="shared" ca="1" si="5"/>
        <v>1.3676294324938103E+22</v>
      </c>
      <c r="L75" s="141">
        <f>courbes!J74</f>
        <v>6</v>
      </c>
      <c r="M75" s="139">
        <f t="shared" ca="1" si="6"/>
        <v>1.3680310100725101E+22</v>
      </c>
      <c r="N75" s="139">
        <f>courbes!U74</f>
        <v>6</v>
      </c>
      <c r="O75" s="139">
        <f t="shared" ca="1" si="7"/>
        <v>1.3680309509567365E+22</v>
      </c>
      <c r="Q75" s="139">
        <f t="shared" ca="1" si="8"/>
        <v>0</v>
      </c>
      <c r="R75" s="145"/>
      <c r="S75" s="145"/>
    </row>
    <row r="76" spans="10:19" ht="13.5" thickBot="1">
      <c r="J76" s="138">
        <f>courbes!A75</f>
        <v>6.083333333333333</v>
      </c>
      <c r="K76" s="139">
        <f t="shared" ca="1" si="5"/>
        <v>1.3637275675304298E+22</v>
      </c>
      <c r="L76" s="141">
        <f>courbes!J75</f>
        <v>6.083333333333333</v>
      </c>
      <c r="M76" s="139">
        <f t="shared" ca="1" si="6"/>
        <v>1.3641335617840795E+22</v>
      </c>
      <c r="N76" s="139">
        <f>courbes!U75</f>
        <v>6.083333333333333</v>
      </c>
      <c r="O76" s="139">
        <f t="shared" ca="1" si="7"/>
        <v>1.3641335018512965E+22</v>
      </c>
      <c r="Q76" s="139">
        <f t="shared" ca="1" si="8"/>
        <v>0</v>
      </c>
      <c r="R76" s="145"/>
      <c r="S76" s="145"/>
    </row>
    <row r="77" spans="10:19" ht="13.5" thickBot="1">
      <c r="J77" s="138">
        <f>courbes!A76</f>
        <v>6.166666666666667</v>
      </c>
      <c r="K77" s="139">
        <f t="shared" ca="1" si="5"/>
        <v>1.3598368346441853E+22</v>
      </c>
      <c r="L77" s="141">
        <f>courbes!J76</f>
        <v>6.166666666666667</v>
      </c>
      <c r="M77" s="139">
        <f t="shared" ca="1" si="6"/>
        <v>1.3602472171250125E+22</v>
      </c>
      <c r="N77" s="139">
        <f>courbes!U76</f>
        <v>6.166666666666667</v>
      </c>
      <c r="O77" s="139">
        <f t="shared" ca="1" si="7"/>
        <v>1.3602471563758727E+22</v>
      </c>
      <c r="Q77" s="139">
        <f t="shared" ca="1" si="8"/>
        <v>0</v>
      </c>
      <c r="R77" s="145"/>
      <c r="S77" s="145"/>
    </row>
    <row r="78" spans="10:19" ht="13.5" thickBot="1">
      <c r="J78" s="138">
        <f>courbes!A77</f>
        <v>6.25</v>
      </c>
      <c r="K78" s="139">
        <f t="shared" ca="1" si="5"/>
        <v>1.3559572020750937E+22</v>
      </c>
      <c r="L78" s="141">
        <f>courbes!J77</f>
        <v>6.25</v>
      </c>
      <c r="M78" s="139">
        <f t="shared" ca="1" si="6"/>
        <v>1.3563719444616337E+22</v>
      </c>
      <c r="N78" s="139">
        <f>courbes!U77</f>
        <v>6.25</v>
      </c>
      <c r="O78" s="139">
        <f t="shared" ca="1" si="7"/>
        <v>1.356371882896799E+22</v>
      </c>
      <c r="Q78" s="139">
        <f t="shared" ca="1" si="8"/>
        <v>0</v>
      </c>
      <c r="R78" s="145"/>
      <c r="S78" s="145"/>
    </row>
    <row r="79" spans="10:19" ht="13.5" thickBot="1">
      <c r="J79" s="138">
        <f>courbes!A78</f>
        <v>6.333333333333333</v>
      </c>
      <c r="K79" s="139">
        <f t="shared" ca="1" si="5"/>
        <v>1.3520886381537839E+22</v>
      </c>
      <c r="L79" s="141">
        <f>courbes!J78</f>
        <v>6.333333333333333</v>
      </c>
      <c r="M79" s="139">
        <f t="shared" ca="1" si="6"/>
        <v>1.3525077122503896E+22</v>
      </c>
      <c r="N79" s="139">
        <f>courbes!U78</f>
        <v>6.333333333333333</v>
      </c>
      <c r="O79" s="139">
        <f t="shared" ca="1" si="7"/>
        <v>1.352507649870534E+22</v>
      </c>
      <c r="Q79" s="139">
        <f t="shared" ca="1" si="8"/>
        <v>0</v>
      </c>
      <c r="R79" s="145"/>
      <c r="S79" s="145"/>
    </row>
    <row r="80" spans="10:19" ht="13.5" thickBot="1">
      <c r="J80" s="138">
        <f>courbes!A79</f>
        <v>6.416666666666667</v>
      </c>
      <c r="K80" s="139">
        <f t="shared" ca="1" si="5"/>
        <v>1.3482311113012383E+22</v>
      </c>
      <c r="L80" s="141">
        <f>courbes!J79</f>
        <v>6.416666666666667</v>
      </c>
      <c r="M80" s="139">
        <f t="shared" ca="1" si="6"/>
        <v>1.3486544890375904E+22</v>
      </c>
      <c r="N80" s="139">
        <f>courbes!U79</f>
        <v>6.416666666666667</v>
      </c>
      <c r="O80" s="139">
        <f t="shared" ca="1" si="7"/>
        <v>1.3486544258434008E+22</v>
      </c>
      <c r="Q80" s="139">
        <f t="shared" ca="1" si="8"/>
        <v>0</v>
      </c>
      <c r="R80" s="145"/>
      <c r="S80" s="145"/>
    </row>
    <row r="81" spans="10:19" ht="13.5" thickBot="1">
      <c r="J81" s="138">
        <f>courbes!A80</f>
        <v>6.5</v>
      </c>
      <c r="K81" s="139">
        <f t="shared" ca="1" si="5"/>
        <v>1.3443845900285348E+22</v>
      </c>
      <c r="L81" s="141">
        <f>courbes!J80</f>
        <v>6.5</v>
      </c>
      <c r="M81" s="139">
        <f t="shared" ca="1" si="6"/>
        <v>1.344812243459149E+22</v>
      </c>
      <c r="N81" s="139">
        <f>courbes!U80</f>
        <v>6.5</v>
      </c>
      <c r="O81" s="139">
        <f t="shared" ca="1" si="7"/>
        <v>1.3448121794513326E+22</v>
      </c>
      <c r="Q81" s="139">
        <f t="shared" ca="1" si="8"/>
        <v>0</v>
      </c>
      <c r="R81" s="145"/>
      <c r="S81" s="145"/>
    </row>
    <row r="82" spans="10:19" ht="13.5" thickBot="1">
      <c r="J82" s="138">
        <f>courbes!A81</f>
        <v>6.583333333333333</v>
      </c>
      <c r="K82" s="139">
        <f t="shared" ca="1" si="5"/>
        <v>1.3405490429365901E+22</v>
      </c>
      <c r="L82" s="141">
        <f>courbes!J81</f>
        <v>6.583333333333333</v>
      </c>
      <c r="M82" s="139">
        <f t="shared" ca="1" si="6"/>
        <v>1.3409809442403248E+22</v>
      </c>
      <c r="N82" s="139">
        <f>courbes!U81</f>
        <v>6.583333333333333</v>
      </c>
      <c r="O82" s="139">
        <f t="shared" ca="1" si="7"/>
        <v>1.340980879419618E+22</v>
      </c>
      <c r="Q82" s="139">
        <f t="shared" ca="1" si="8"/>
        <v>0</v>
      </c>
    </row>
    <row r="83" spans="10:19" ht="13.5" thickBot="1">
      <c r="J83" s="138">
        <f>courbes!A82</f>
        <v>6.666666666666667</v>
      </c>
      <c r="K83" s="139">
        <f t="shared" ca="1" si="5"/>
        <v>1.3367244387159028E+22</v>
      </c>
      <c r="L83" s="141">
        <f>courbes!J82</f>
        <v>6.666666666666667</v>
      </c>
      <c r="M83" s="139">
        <f t="shared" ca="1" si="6"/>
        <v>1.337160560195464E+22</v>
      </c>
      <c r="N83" s="139">
        <f>courbes!U82</f>
        <v>6.666666666666667</v>
      </c>
      <c r="O83" s="139">
        <f t="shared" ca="1" si="7"/>
        <v>1.3371604945626445E+22</v>
      </c>
      <c r="Q83" s="139">
        <f t="shared" ca="1" si="8"/>
        <v>0</v>
      </c>
    </row>
    <row r="84" spans="10:19" ht="13.5" thickBot="1">
      <c r="J84" s="138">
        <f>courbes!A83</f>
        <v>6.75</v>
      </c>
      <c r="K84" s="139">
        <f t="shared" ca="1" si="5"/>
        <v>1.3329107461462984E+22</v>
      </c>
      <c r="L84" s="141">
        <f>courbes!J83</f>
        <v>6.75</v>
      </c>
      <c r="M84" s="139">
        <f t="shared" ca="1" si="6"/>
        <v>1.3333510602277404E+22</v>
      </c>
      <c r="N84" s="139">
        <f>courbes!U83</f>
        <v>6.75</v>
      </c>
      <c r="O84" s="139">
        <f t="shared" ca="1" si="7"/>
        <v>1.333350993783647E+22</v>
      </c>
      <c r="Q84" s="139">
        <f t="shared" ca="1" si="8"/>
        <v>0</v>
      </c>
    </row>
    <row r="85" spans="10:19" ht="13.5" thickBot="1">
      <c r="J85" s="138">
        <f>courbes!A84</f>
        <v>6.833333333333333</v>
      </c>
      <c r="K85" s="139">
        <f t="shared" ca="1" si="5"/>
        <v>1.329107934096674E+22</v>
      </c>
      <c r="L85" s="141">
        <f>courbes!J84</f>
        <v>6.833333333333333</v>
      </c>
      <c r="M85" s="139">
        <f t="shared" ca="1" si="6"/>
        <v>1.3295524133288985E+22</v>
      </c>
      <c r="N85" s="139">
        <f>courbes!U84</f>
        <v>6.833333333333333</v>
      </c>
      <c r="O85" s="139">
        <f t="shared" ca="1" si="7"/>
        <v>1.3295523460744521E+22</v>
      </c>
      <c r="Q85" s="139">
        <f t="shared" ca="1" si="8"/>
        <v>0</v>
      </c>
    </row>
    <row r="86" spans="10:19" ht="13.5" thickBot="1">
      <c r="J86" s="138">
        <f>courbes!A85</f>
        <v>6.916666666666667</v>
      </c>
      <c r="K86" s="139">
        <f t="shared" ca="1" si="5"/>
        <v>1.3253159715247447E+22</v>
      </c>
      <c r="L86" s="141">
        <f>courbes!J85</f>
        <v>6.916666666666667</v>
      </c>
      <c r="M86" s="139">
        <f t="shared" ca="1" si="6"/>
        <v>1.3257645885789934E+22</v>
      </c>
      <c r="N86" s="139">
        <f>courbes!U85</f>
        <v>6.916666666666667</v>
      </c>
      <c r="O86" s="139">
        <f t="shared" ca="1" si="7"/>
        <v>1.3257645205152281E+22</v>
      </c>
      <c r="Q86" s="139">
        <f t="shared" ca="1" si="8"/>
        <v>0</v>
      </c>
    </row>
    <row r="87" spans="10:19" ht="13.5" thickBot="1">
      <c r="J87" s="138">
        <f>courbes!A86</f>
        <v>7</v>
      </c>
      <c r="K87" s="139">
        <f t="shared" ca="1" si="5"/>
        <v>1.3215348274767895E+22</v>
      </c>
      <c r="L87" s="141">
        <f>courbes!J86</f>
        <v>7</v>
      </c>
      <c r="M87" s="139">
        <f t="shared" ca="1" si="6"/>
        <v>1.3219875551461331E+22</v>
      </c>
      <c r="N87" s="139">
        <f>courbes!U86</f>
        <v>7</v>
      </c>
      <c r="O87" s="139">
        <f t="shared" ca="1" si="7"/>
        <v>1.321987486274232E+22</v>
      </c>
      <c r="Q87" s="139">
        <f t="shared" ca="1" si="8"/>
        <v>0</v>
      </c>
    </row>
    <row r="88" spans="10:19" ht="13.5" thickBot="1">
      <c r="J88" s="138">
        <f>courbes!A87</f>
        <v>7.083333333333333</v>
      </c>
      <c r="K88" s="139">
        <f t="shared" ca="1" si="5"/>
        <v>1.3177644710873994E+22</v>
      </c>
      <c r="L88" s="141">
        <f>courbes!J87</f>
        <v>7.083333333333333</v>
      </c>
      <c r="M88" s="139">
        <f t="shared" ca="1" si="6"/>
        <v>1.3182212822881039E+22</v>
      </c>
      <c r="N88" s="139">
        <f>courbes!U87</f>
        <v>7.083333333333333</v>
      </c>
      <c r="O88" s="139">
        <f t="shared" ca="1" si="7"/>
        <v>1.318221212607559E+22</v>
      </c>
      <c r="Q88" s="139">
        <f t="shared" ca="1" si="8"/>
        <v>0</v>
      </c>
    </row>
    <row r="89" spans="10:19" ht="13.5" thickBot="1">
      <c r="J89" s="138">
        <f>courbes!A88</f>
        <v>7.166666666666667</v>
      </c>
      <c r="K89" s="139">
        <f t="shared" ca="1" si="5"/>
        <v>1.3140048715792245E+22</v>
      </c>
      <c r="L89" s="141">
        <f>courbes!J88</f>
        <v>7.166666666666667</v>
      </c>
      <c r="M89" s="139">
        <f t="shared" ca="1" si="6"/>
        <v>1.3144657393473351E+22</v>
      </c>
      <c r="N89" s="139">
        <f>courbes!U88</f>
        <v>7.166666666666667</v>
      </c>
      <c r="O89" s="139">
        <f t="shared" ca="1" si="7"/>
        <v>1.3144656688588916E+22</v>
      </c>
      <c r="Q89" s="139">
        <f t="shared" ca="1" si="8"/>
        <v>0</v>
      </c>
    </row>
    <row r="90" spans="10:19" ht="13.5" thickBot="1">
      <c r="J90" s="138">
        <f>courbes!A89</f>
        <v>7.25</v>
      </c>
      <c r="K90" s="139">
        <f t="shared" ca="1" si="5"/>
        <v>1.3102559982627234E+22</v>
      </c>
      <c r="L90" s="141">
        <f>courbes!J89</f>
        <v>7.25</v>
      </c>
      <c r="M90" s="139">
        <f t="shared" ca="1" si="6"/>
        <v>1.3107208957548407E+22</v>
      </c>
      <c r="N90" s="139">
        <f>courbes!U89</f>
        <v>7.25</v>
      </c>
      <c r="O90" s="139">
        <f t="shared" ca="1" si="7"/>
        <v>1.3107208244592506E+22</v>
      </c>
      <c r="Q90" s="139">
        <f t="shared" ca="1" si="8"/>
        <v>0</v>
      </c>
    </row>
    <row r="91" spans="10:19" ht="13.5" thickBot="1">
      <c r="J91" s="138">
        <f>courbes!A90</f>
        <v>7.333333333333333</v>
      </c>
      <c r="K91" s="139">
        <f t="shared" ca="1" si="5"/>
        <v>1.3065178205359127E+22</v>
      </c>
      <c r="L91" s="141">
        <f>courbes!J90</f>
        <v>7.333333333333333</v>
      </c>
      <c r="M91" s="139">
        <f t="shared" ca="1" si="6"/>
        <v>1.3069867210287228E+22</v>
      </c>
      <c r="N91" s="139">
        <f>courbes!U90</f>
        <v>7.333333333333333</v>
      </c>
      <c r="O91" s="139">
        <f t="shared" ca="1" si="7"/>
        <v>1.3069866489267473E+22</v>
      </c>
      <c r="Q91" s="139">
        <f t="shared" ca="1" si="8"/>
        <v>0</v>
      </c>
    </row>
    <row r="92" spans="10:19" ht="13.5" thickBot="1">
      <c r="J92" s="138">
        <f>courbes!A91</f>
        <v>7.416666666666667</v>
      </c>
      <c r="K92" s="139">
        <f t="shared" ca="1" si="5"/>
        <v>1.3027903078841172E+22</v>
      </c>
      <c r="L92" s="141">
        <f>courbes!J91</f>
        <v>7.416666666666667</v>
      </c>
      <c r="M92" s="139">
        <f t="shared" ca="1" si="6"/>
        <v>1.3032631847739212E+22</v>
      </c>
      <c r="N92" s="139">
        <f>courbes!U91</f>
        <v>7.416666666666667</v>
      </c>
      <c r="O92" s="139">
        <f t="shared" ca="1" si="7"/>
        <v>1.303263111866333E+22</v>
      </c>
      <c r="Q92" s="139">
        <f t="shared" ca="1" si="8"/>
        <v>0</v>
      </c>
    </row>
    <row r="93" spans="10:19" ht="13.5" thickBot="1">
      <c r="J93" s="138">
        <f>courbes!A92</f>
        <v>7.5</v>
      </c>
      <c r="K93" s="139">
        <f t="shared" ca="1" si="5"/>
        <v>1.2990734298797199E+22</v>
      </c>
      <c r="L93" s="141">
        <f>courbes!J92</f>
        <v>7.5</v>
      </c>
      <c r="M93" s="139">
        <f t="shared" ca="1" si="6"/>
        <v>1.2995502566819657E+22</v>
      </c>
      <c r="N93" s="139">
        <f>courbes!U92</f>
        <v>7.5</v>
      </c>
      <c r="O93" s="139">
        <f t="shared" ca="1" si="7"/>
        <v>1.2995501829695532E+22</v>
      </c>
      <c r="Q93" s="139">
        <f t="shared" ca="1" si="8"/>
        <v>0</v>
      </c>
    </row>
    <row r="94" spans="10:19" ht="13.5" thickBot="1">
      <c r="J94" s="138">
        <f>courbes!A93</f>
        <v>7.583333333333333</v>
      </c>
      <c r="K94" s="139">
        <f t="shared" ca="1" si="5"/>
        <v>1.2953671561819149E+22</v>
      </c>
      <c r="L94" s="141">
        <f>courbes!J93</f>
        <v>7.583333333333333</v>
      </c>
      <c r="M94" s="139">
        <f t="shared" ca="1" si="6"/>
        <v>1.2958479065307222E+22</v>
      </c>
      <c r="N94" s="139">
        <f>courbes!U93</f>
        <v>7.583333333333333</v>
      </c>
      <c r="O94" s="139">
        <f t="shared" ca="1" si="7"/>
        <v>1.2958478320143012E+22</v>
      </c>
      <c r="Q94" s="139">
        <f t="shared" ca="1" si="8"/>
        <v>0</v>
      </c>
    </row>
    <row r="95" spans="10:19" ht="13.5" thickBot="1">
      <c r="J95" s="138">
        <f>courbes!A94</f>
        <v>7.666666666666667</v>
      </c>
      <c r="K95" s="139">
        <f t="shared" ca="1" si="5"/>
        <v>1.2916714565364592E+22</v>
      </c>
      <c r="L95" s="141">
        <f>courbes!J94</f>
        <v>7.666666666666667</v>
      </c>
      <c r="M95" s="139">
        <f t="shared" ca="1" si="6"/>
        <v>1.292156104184146E+22</v>
      </c>
      <c r="N95" s="139">
        <f>courbes!U94</f>
        <v>7.666666666666667</v>
      </c>
      <c r="O95" s="139">
        <f t="shared" ca="1" si="7"/>
        <v>1.2921560288645712E+22</v>
      </c>
      <c r="Q95" s="139">
        <f t="shared" ca="1" si="8"/>
        <v>0</v>
      </c>
    </row>
    <row r="96" spans="10:19" ht="13.5" thickBot="1">
      <c r="J96" s="138">
        <f>courbes!A95</f>
        <v>7.75</v>
      </c>
      <c r="K96" s="139">
        <f t="shared" ca="1" si="5"/>
        <v>1.2879863007754255E+22</v>
      </c>
      <c r="L96" s="141">
        <f>courbes!J95</f>
        <v>7.75</v>
      </c>
      <c r="M96" s="139">
        <f t="shared" ca="1" si="6"/>
        <v>1.2884748195920311E+22</v>
      </c>
      <c r="N96" s="139">
        <f>courbes!U95</f>
        <v>7.75</v>
      </c>
      <c r="O96" s="139">
        <f t="shared" ca="1" si="7"/>
        <v>1.2884747434702129E+22</v>
      </c>
      <c r="Q96" s="139">
        <f t="shared" ca="1" si="8"/>
        <v>0</v>
      </c>
      <c r="R96" s="153"/>
      <c r="S96" s="153"/>
    </row>
    <row r="97" spans="10:19" ht="13.5" thickBot="1">
      <c r="J97" s="138">
        <f>courbes!A96</f>
        <v>7.833333333333333</v>
      </c>
      <c r="K97" s="139">
        <f t="shared" ca="1" si="5"/>
        <v>1.2843116588169559E+22</v>
      </c>
      <c r="L97" s="141">
        <f>courbes!J96</f>
        <v>7.833333333333333</v>
      </c>
      <c r="M97" s="139">
        <f t="shared" ca="1" si="6"/>
        <v>1.2848040227897604E+22</v>
      </c>
      <c r="N97" s="139">
        <f>courbes!U96</f>
        <v>7.833333333333333</v>
      </c>
      <c r="O97" s="139">
        <f t="shared" ca="1" si="7"/>
        <v>1.2848039458666883E+22</v>
      </c>
      <c r="Q97" s="139">
        <f t="shared" ca="1" si="8"/>
        <v>0</v>
      </c>
      <c r="R97" s="153"/>
      <c r="S97" s="153"/>
    </row>
    <row r="98" spans="10:19" ht="13.5" thickBot="1">
      <c r="J98" s="138">
        <f>courbes!A97</f>
        <v>7.916666666666667</v>
      </c>
      <c r="K98" s="139">
        <f t="shared" ca="1" si="5"/>
        <v>1.2806475006650169E+22</v>
      </c>
      <c r="L98" s="141">
        <f>courbes!J97</f>
        <v>7.916666666666667</v>
      </c>
      <c r="M98" s="139">
        <f t="shared" ca="1" si="6"/>
        <v>1.2811436838980552E+22</v>
      </c>
      <c r="N98" s="139">
        <f>courbes!U97</f>
        <v>7.916666666666667</v>
      </c>
      <c r="O98" s="139">
        <f t="shared" ca="1" si="7"/>
        <v>1.2811436061748252E+22</v>
      </c>
      <c r="Q98" s="139">
        <f t="shared" ca="1" si="8"/>
        <v>0</v>
      </c>
      <c r="R98" s="153"/>
      <c r="S98" s="153"/>
    </row>
    <row r="99" spans="10:19" ht="13.5" thickBot="1">
      <c r="J99" s="138">
        <f>courbes!A98</f>
        <v>8</v>
      </c>
      <c r="K99" s="139">
        <f t="shared" ca="1" si="5"/>
        <v>1.2769937964091541E+22</v>
      </c>
      <c r="L99" s="141">
        <f>courbes!J98</f>
        <v>8</v>
      </c>
      <c r="M99" s="139">
        <f t="shared" ca="1" si="6"/>
        <v>1.277493773122725E+22</v>
      </c>
      <c r="N99" s="139">
        <f>courbes!U98</f>
        <v>8</v>
      </c>
      <c r="O99" s="139">
        <f t="shared" ca="1" si="7"/>
        <v>1.2774936946005777E+22</v>
      </c>
      <c r="Q99" s="139">
        <f t="shared" ca="1" si="8"/>
        <v>0</v>
      </c>
      <c r="R99" s="153"/>
      <c r="S99" s="153"/>
    </row>
    <row r="100" spans="10:19" ht="13.5" thickBot="1">
      <c r="J100" s="138">
        <f>courbes!A99</f>
        <v>8.0833333333333339</v>
      </c>
      <c r="K100" s="139">
        <f t="shared" ca="1" si="5"/>
        <v>1.2733505162242477E+22</v>
      </c>
      <c r="L100" s="141">
        <f>courbes!J99</f>
        <v>8.0833333333333339</v>
      </c>
      <c r="M100" s="139">
        <f t="shared" ca="1" si="6"/>
        <v>1.2738542607562405E+22</v>
      </c>
      <c r="N100" s="139">
        <f>courbes!U99</f>
        <v>8.0833333333333339</v>
      </c>
      <c r="O100" s="139">
        <f t="shared" ca="1" si="7"/>
        <v>1.2738541814347798E+22</v>
      </c>
      <c r="Q100" s="139">
        <f t="shared" ca="1" si="8"/>
        <v>0</v>
      </c>
      <c r="R100" s="153"/>
      <c r="S100" s="153"/>
    </row>
    <row r="101" spans="10:19" ht="13.5" thickBot="1">
      <c r="J101" s="138">
        <f>courbes!A100</f>
        <v>8.1666666666666661</v>
      </c>
      <c r="K101" s="139">
        <f t="shared" ca="1" si="5"/>
        <v>1.2697176303702702E+22</v>
      </c>
      <c r="L101" s="141">
        <f>courbes!J100</f>
        <v>8.1666666666666661</v>
      </c>
      <c r="M101" s="139">
        <f t="shared" ca="1" si="6"/>
        <v>1.2702251171728662E+22</v>
      </c>
      <c r="N101" s="139">
        <f>courbes!U100</f>
        <v>8.1666666666666661</v>
      </c>
      <c r="O101" s="139">
        <f t="shared" ca="1" si="7"/>
        <v>1.2702250370529061E+22</v>
      </c>
      <c r="Q101" s="139">
        <f t="shared" ca="1" si="8"/>
        <v>0</v>
      </c>
      <c r="R101" s="153"/>
      <c r="S101" s="153"/>
    </row>
    <row r="102" spans="10:19" ht="13.5" thickBot="1">
      <c r="J102" s="138">
        <f>courbes!A101</f>
        <v>8.25</v>
      </c>
      <c r="K102" s="139">
        <f t="shared" ca="1" si="5"/>
        <v>1.2660951091920421E+22</v>
      </c>
      <c r="L102" s="141">
        <f>courbes!J101</f>
        <v>8.25</v>
      </c>
      <c r="M102" s="139">
        <f t="shared" ca="1" si="6"/>
        <v>1.2666063128324697E+22</v>
      </c>
      <c r="N102" s="139">
        <f>courbes!U101</f>
        <v>8.25</v>
      </c>
      <c r="O102" s="139">
        <f t="shared" ca="1" si="7"/>
        <v>1.2666062319148302E+22</v>
      </c>
      <c r="Q102" s="139">
        <f t="shared" ca="1" si="8"/>
        <v>0</v>
      </c>
      <c r="R102" s="153"/>
      <c r="S102" s="153"/>
    </row>
    <row r="103" spans="10:19" ht="13.5" thickBot="1">
      <c r="J103" s="138">
        <f>courbes!A102</f>
        <v>8.3333333333333339</v>
      </c>
      <c r="K103" s="139">
        <f t="shared" ca="1" si="5"/>
        <v>1.2624829231189912E+22</v>
      </c>
      <c r="L103" s="141">
        <f>courbes!J102</f>
        <v>8.3333333333333339</v>
      </c>
      <c r="M103" s="139">
        <f t="shared" ca="1" si="6"/>
        <v>1.2629978182790756E+22</v>
      </c>
      <c r="N103" s="139">
        <f>courbes!U102</f>
        <v>8.3333333333333339</v>
      </c>
      <c r="O103" s="139">
        <f t="shared" ca="1" si="7"/>
        <v>1.2629977365645835E+22</v>
      </c>
      <c r="P103" s="153"/>
      <c r="Q103" s="139">
        <f t="shared" ca="1" si="8"/>
        <v>0</v>
      </c>
      <c r="R103" s="153"/>
      <c r="S103" s="153"/>
    </row>
    <row r="104" spans="10:19" ht="13.5" thickBot="1">
      <c r="J104" s="138">
        <f>courbes!A103</f>
        <v>8.4166666666666661</v>
      </c>
      <c r="K104" s="139">
        <f t="shared" ca="1" si="5"/>
        <v>1.2588810426649101E+22</v>
      </c>
      <c r="L104" s="141">
        <f>courbes!J103</f>
        <v>8.4166666666666661</v>
      </c>
      <c r="M104" s="139">
        <f t="shared" ca="1" si="6"/>
        <v>1.2593996041406235E+22</v>
      </c>
      <c r="N104" s="139">
        <f>courbes!U103</f>
        <v>8.4166666666666661</v>
      </c>
      <c r="O104" s="139">
        <f t="shared" ca="1" si="7"/>
        <v>1.2593995216301161E+22</v>
      </c>
      <c r="P104" s="153"/>
      <c r="Q104" s="139">
        <f t="shared" ca="1" si="8"/>
        <v>0</v>
      </c>
      <c r="R104" s="153"/>
      <c r="S104" s="153"/>
    </row>
    <row r="105" spans="10:19" ht="13.5" thickBot="1">
      <c r="J105" s="138">
        <f>courbes!A104</f>
        <v>8.5</v>
      </c>
      <c r="K105" s="139">
        <f t="shared" ca="1" si="5"/>
        <v>1.2552894384277165E+22</v>
      </c>
      <c r="L105" s="141">
        <f>courbes!J104</f>
        <v>8.5</v>
      </c>
      <c r="M105" s="139">
        <f t="shared" ca="1" si="6"/>
        <v>1.2558116411287271E+22</v>
      </c>
      <c r="N105" s="139">
        <f>courbes!U104</f>
        <v>8.5</v>
      </c>
      <c r="O105" s="139">
        <f t="shared" ca="1" si="7"/>
        <v>1.2558115578230574E+22</v>
      </c>
      <c r="P105" s="153"/>
      <c r="Q105" s="139">
        <f t="shared" ca="1" si="8"/>
        <v>0</v>
      </c>
      <c r="R105" s="153"/>
      <c r="S105" s="153"/>
    </row>
    <row r="106" spans="10:19" ht="13.5" thickBot="1">
      <c r="J106" s="138">
        <f>courbes!A105</f>
        <v>8.5833333333333339</v>
      </c>
      <c r="K106" s="139">
        <f t="shared" ca="1" si="5"/>
        <v>1.2517080810892124E+22</v>
      </c>
      <c r="L106" s="141">
        <f>courbes!J105</f>
        <v>8.5833333333333339</v>
      </c>
      <c r="M106" s="139">
        <f t="shared" ca="1" si="6"/>
        <v>1.2522339000384326E+22</v>
      </c>
      <c r="N106" s="139">
        <f>courbes!U105</f>
        <v>8.5833333333333339</v>
      </c>
      <c r="O106" s="139">
        <f t="shared" ca="1" si="7"/>
        <v>1.2522338159384783E+22</v>
      </c>
      <c r="P106" s="153"/>
      <c r="Q106" s="139">
        <f t="shared" ca="1" si="8"/>
        <v>0</v>
      </c>
      <c r="R106" s="153"/>
      <c r="S106" s="153"/>
    </row>
    <row r="107" spans="10:19" ht="13.5" thickBot="1">
      <c r="J107" s="138">
        <f>courbes!A106</f>
        <v>8.6666666666666661</v>
      </c>
      <c r="K107" s="139">
        <f t="shared" ca="1" si="5"/>
        <v>1.248136941414845E+22</v>
      </c>
      <c r="L107" s="141">
        <f>courbes!J106</f>
        <v>8.6666666666666661</v>
      </c>
      <c r="M107" s="139">
        <f t="shared" ca="1" si="6"/>
        <v>1.2486663517479778E+22</v>
      </c>
      <c r="N107" s="139">
        <f>courbes!U106</f>
        <v>8.6666666666666661</v>
      </c>
      <c r="O107" s="139">
        <f t="shared" ca="1" si="7"/>
        <v>1.2486662668546524E+22</v>
      </c>
      <c r="P107" s="153"/>
      <c r="Q107" s="139">
        <f t="shared" ca="1" si="8"/>
        <v>0</v>
      </c>
      <c r="R107" s="153"/>
      <c r="S107" s="153"/>
    </row>
    <row r="108" spans="10:19" ht="13.5" thickBot="1">
      <c r="J108" s="138">
        <f>courbes!A107</f>
        <v>8.75</v>
      </c>
      <c r="K108" s="139">
        <f t="shared" ca="1" si="5"/>
        <v>1.244575990253468E+22</v>
      </c>
      <c r="L108" s="141">
        <f>courbes!J107</f>
        <v>8.75</v>
      </c>
      <c r="M108" s="139">
        <f t="shared" ca="1" si="6"/>
        <v>1.2451089672185485E+22</v>
      </c>
      <c r="N108" s="139">
        <f>courbes!U107</f>
        <v>8.75</v>
      </c>
      <c r="O108" s="139">
        <f t="shared" ca="1" si="7"/>
        <v>1.2451088815328204E+22</v>
      </c>
      <c r="P108" s="153"/>
      <c r="Q108" s="139">
        <f t="shared" ca="1" si="8"/>
        <v>0</v>
      </c>
      <c r="R108" s="153"/>
      <c r="S108" s="153"/>
    </row>
    <row r="109" spans="10:19" ht="13.5" thickBot="1">
      <c r="J109" s="138">
        <f>courbes!A108</f>
        <v>8.8333333333333339</v>
      </c>
      <c r="K109" s="139">
        <f t="shared" ca="1" si="5"/>
        <v>1.2410251985371043E+22</v>
      </c>
      <c r="L109" s="141">
        <f>courbes!J108</f>
        <v>8.8333333333333339</v>
      </c>
      <c r="M109" s="139">
        <f t="shared" ca="1" si="6"/>
        <v>1.2415617174940391E+22</v>
      </c>
      <c r="N109" s="139">
        <f>courbes!U108</f>
        <v>8.8333333333333339</v>
      </c>
      <c r="O109" s="139">
        <f t="shared" ca="1" si="7"/>
        <v>1.2415616310169521E+22</v>
      </c>
      <c r="P109" s="153"/>
      <c r="Q109" s="139">
        <f t="shared" ca="1" si="8"/>
        <v>0</v>
      </c>
      <c r="R109" s="153"/>
      <c r="S109" s="153"/>
    </row>
    <row r="110" spans="10:19" ht="13.5" thickBot="1">
      <c r="J110" s="138">
        <f>courbes!A109</f>
        <v>8.9166666666666661</v>
      </c>
      <c r="K110" s="139">
        <f t="shared" ca="1" si="5"/>
        <v>1.2374845372807076E+22</v>
      </c>
      <c r="L110" s="141">
        <f>courbes!J109</f>
        <v>8.9166666666666661</v>
      </c>
      <c r="M110" s="139">
        <f t="shared" ca="1" si="6"/>
        <v>1.238024573700811E+22</v>
      </c>
      <c r="N110" s="139">
        <f>courbes!U109</f>
        <v>8.9166666666666661</v>
      </c>
      <c r="O110" s="139">
        <f t="shared" ca="1" si="7"/>
        <v>1.2380244864335115E+22</v>
      </c>
      <c r="P110" s="153"/>
      <c r="Q110" s="139">
        <f t="shared" ca="1" si="8"/>
        <v>0</v>
      </c>
      <c r="R110" s="153"/>
      <c r="S110" s="153"/>
    </row>
    <row r="111" spans="10:19" ht="13.5" thickBot="1">
      <c r="J111" s="138">
        <f>courbes!A110</f>
        <v>9</v>
      </c>
      <c r="K111" s="139">
        <f t="shared" ca="1" si="5"/>
        <v>1.2339539775819264E+22</v>
      </c>
      <c r="L111" s="141">
        <f>courbes!J110</f>
        <v>9</v>
      </c>
      <c r="M111" s="139">
        <f t="shared" ca="1" si="6"/>
        <v>1.2344975070474501E+22</v>
      </c>
      <c r="N111" s="139">
        <f>courbes!U110</f>
        <v>9</v>
      </c>
      <c r="O111" s="139">
        <f t="shared" ca="1" si="7"/>
        <v>1.2344974189912226E+22</v>
      </c>
      <c r="P111" s="153"/>
      <c r="Q111" s="139">
        <f t="shared" ca="1" si="8"/>
        <v>0</v>
      </c>
      <c r="R111" s="153"/>
      <c r="S111" s="153"/>
    </row>
    <row r="112" spans="10:19" ht="13.5" thickBot="1">
      <c r="J112" s="138">
        <f>courbes!A111</f>
        <v>9.0833333333333339</v>
      </c>
      <c r="K112" s="139">
        <f t="shared" ca="1" si="5"/>
        <v>1.2304334906208685E+22</v>
      </c>
      <c r="L112" s="141">
        <f>courbes!J111</f>
        <v>9.0833333333333339</v>
      </c>
      <c r="M112" s="139">
        <f t="shared" ca="1" si="6"/>
        <v>1.2309804888262852E+22</v>
      </c>
      <c r="N112" s="139">
        <f>courbes!U111</f>
        <v>9.0833333333333339</v>
      </c>
      <c r="O112" s="139">
        <f t="shared" ca="1" si="7"/>
        <v>1.2309803999808339E+22</v>
      </c>
      <c r="P112" s="153"/>
      <c r="Q112" s="139">
        <f t="shared" ca="1" si="8"/>
        <v>0</v>
      </c>
      <c r="R112" s="153"/>
      <c r="S112" s="153"/>
    </row>
    <row r="113" spans="10:19" ht="13.5" thickBot="1">
      <c r="J113" s="138">
        <f>courbes!A112</f>
        <v>9.1666666666666661</v>
      </c>
      <c r="K113" s="139">
        <f t="shared" ca="1" si="5"/>
        <v>1.2269230476598647E+22</v>
      </c>
      <c r="L113" s="141">
        <f>courbes!J112</f>
        <v>9.1666666666666661</v>
      </c>
      <c r="M113" s="139">
        <f t="shared" ca="1" si="6"/>
        <v>1.2274734904086874E+22</v>
      </c>
      <c r="N113" s="139">
        <f>courbes!U112</f>
        <v>9.1666666666666661</v>
      </c>
      <c r="O113" s="139">
        <f t="shared" ca="1" si="7"/>
        <v>1.2274734007748846E+22</v>
      </c>
      <c r="P113" s="153"/>
      <c r="Q113" s="139">
        <f t="shared" ca="1" si="8"/>
        <v>0</v>
      </c>
      <c r="R113" s="153"/>
      <c r="S113" s="153"/>
    </row>
    <row r="114" spans="10:19" ht="13.5" thickBot="1">
      <c r="J114" s="138">
        <f>courbes!A113</f>
        <v>9.25</v>
      </c>
      <c r="K114" s="139">
        <f t="shared" ca="1" si="5"/>
        <v>1.2234226200432351E+22</v>
      </c>
      <c r="L114" s="141">
        <f>courbes!J113</f>
        <v>9.25</v>
      </c>
      <c r="M114" s="139">
        <f t="shared" ca="1" si="6"/>
        <v>1.2239764832487486E+22</v>
      </c>
      <c r="N114" s="139">
        <f>courbes!U113</f>
        <v>9.25</v>
      </c>
      <c r="O114" s="139">
        <f t="shared" ca="1" si="7"/>
        <v>1.2239763928274726E+22</v>
      </c>
      <c r="P114" s="153"/>
      <c r="Q114" s="139">
        <f t="shared" ca="1" si="8"/>
        <v>0</v>
      </c>
      <c r="R114" s="153"/>
      <c r="S114" s="153"/>
    </row>
    <row r="115" spans="10:19" ht="13.5" thickBot="1">
      <c r="J115" s="138">
        <f>courbes!A114</f>
        <v>9.3333333333333339</v>
      </c>
      <c r="K115" s="139">
        <f t="shared" ca="1" si="5"/>
        <v>1.2199321791970547E+22</v>
      </c>
      <c r="L115" s="141">
        <f>courbes!J114</f>
        <v>9.3333333333333339</v>
      </c>
      <c r="M115" s="139">
        <f t="shared" ca="1" si="6"/>
        <v>1.2204894388818859E+22</v>
      </c>
      <c r="N115" s="139">
        <f>courbes!U114</f>
        <v>9.3333333333333339</v>
      </c>
      <c r="O115" s="139">
        <f t="shared" ca="1" si="7"/>
        <v>1.2204893476740215E+22</v>
      </c>
      <c r="P115" s="153"/>
      <c r="Q115" s="139">
        <f t="shared" ca="1" si="8"/>
        <v>0</v>
      </c>
      <c r="R115" s="153"/>
      <c r="S115" s="153"/>
    </row>
    <row r="116" spans="10:19" ht="13.5" thickBot="1">
      <c r="J116" s="138">
        <f>courbes!A115</f>
        <v>9.4166666666666661</v>
      </c>
      <c r="K116" s="139">
        <f t="shared" ca="1" si="5"/>
        <v>1.2164516966289201E+22</v>
      </c>
      <c r="L116" s="141">
        <f>courbes!J115</f>
        <v>9.4166666666666661</v>
      </c>
      <c r="M116" s="139">
        <f t="shared" ca="1" si="6"/>
        <v>1.2170123289246074E+22</v>
      </c>
      <c r="N116" s="139">
        <f>courbes!U115</f>
        <v>9.4166666666666661</v>
      </c>
      <c r="O116" s="139">
        <f t="shared" ca="1" si="7"/>
        <v>1.2170122369310485E+22</v>
      </c>
      <c r="P116" s="153"/>
      <c r="Q116" s="139">
        <f t="shared" ca="1" si="8"/>
        <v>0</v>
      </c>
      <c r="R116" s="153"/>
      <c r="S116" s="153"/>
    </row>
    <row r="117" spans="10:19" ht="13.5" thickBot="1">
      <c r="J117" s="138">
        <f>courbes!A116</f>
        <v>9.5</v>
      </c>
      <c r="K117" s="139">
        <f t="shared" ca="1" si="5"/>
        <v>1.2129811439277176E+22</v>
      </c>
      <c r="L117" s="141">
        <f>courbes!J116</f>
        <v>9.5</v>
      </c>
      <c r="M117" s="139">
        <f t="shared" ca="1" si="6"/>
        <v>1.2135451250742786E+22</v>
      </c>
      <c r="N117" s="139">
        <f>courbes!U116</f>
        <v>9.5</v>
      </c>
      <c r="O117" s="139">
        <f t="shared" ca="1" si="7"/>
        <v>1.2135450322959348E+22</v>
      </c>
      <c r="P117" s="153"/>
      <c r="Q117" s="139">
        <f t="shared" ca="1" si="8"/>
        <v>0</v>
      </c>
      <c r="R117" s="153"/>
      <c r="S117" s="153"/>
    </row>
    <row r="118" spans="10:19" ht="13.5" thickBot="1">
      <c r="J118" s="138">
        <f>courbes!A117</f>
        <v>9.5833333333333339</v>
      </c>
      <c r="K118" s="139">
        <f t="shared" ca="1" si="5"/>
        <v>1.2095204927633904E+22</v>
      </c>
      <c r="L118" s="141">
        <f>courbes!J117</f>
        <v>9.5833333333333339</v>
      </c>
      <c r="M118" s="139">
        <f t="shared" ca="1" si="6"/>
        <v>1.2100877991088885E+22</v>
      </c>
      <c r="N118" s="139">
        <f>courbes!U117</f>
        <v>9.5833333333333339</v>
      </c>
      <c r="O118" s="139">
        <f t="shared" ca="1" si="7"/>
        <v>1.2100877055466934E+22</v>
      </c>
      <c r="P118" s="153"/>
      <c r="Q118" s="139">
        <f t="shared" ca="1" si="8"/>
        <v>0</v>
      </c>
      <c r="R118" s="153"/>
      <c r="S118" s="153"/>
    </row>
    <row r="119" spans="10:19" ht="13.5" thickBot="1">
      <c r="J119" s="138">
        <f>courbes!A118</f>
        <v>9.6666666666666661</v>
      </c>
      <c r="K119" s="139">
        <f t="shared" ca="1" si="5"/>
        <v>1.2060697148867081E+22</v>
      </c>
      <c r="L119" s="141">
        <f>courbes!J118</f>
        <v>9.6666666666666661</v>
      </c>
      <c r="M119" s="139">
        <f t="shared" ca="1" si="6"/>
        <v>1.2066403228868193E+22</v>
      </c>
      <c r="N119" s="139">
        <f>courbes!U118</f>
        <v>9.6666666666666661</v>
      </c>
      <c r="O119" s="139">
        <f t="shared" ca="1" si="7"/>
        <v>1.2066402285417409E+22</v>
      </c>
      <c r="P119" s="153"/>
      <c r="Q119" s="139">
        <f t="shared" ca="1" si="8"/>
        <v>0</v>
      </c>
      <c r="R119" s="153"/>
      <c r="S119" s="153"/>
    </row>
    <row r="120" spans="10:19" ht="13.5" thickBot="1">
      <c r="J120" s="138">
        <f>courbes!A119</f>
        <v>9.75</v>
      </c>
      <c r="K120" s="139">
        <f t="shared" ca="1" si="5"/>
        <v>1.2026287821290354E+22</v>
      </c>
      <c r="L120" s="141">
        <f>courbes!J119</f>
        <v>9.75</v>
      </c>
      <c r="M120" s="139">
        <f t="shared" ca="1" si="6"/>
        <v>1.2032026683466081E+22</v>
      </c>
      <c r="N120" s="139">
        <f>courbes!U119</f>
        <v>9.75</v>
      </c>
      <c r="O120" s="139">
        <f t="shared" ca="1" si="7"/>
        <v>1.2032025732196673E+22</v>
      </c>
      <c r="P120" s="153"/>
      <c r="Q120" s="139">
        <f t="shared" ca="1" si="8"/>
        <v>0</v>
      </c>
      <c r="R120" s="153"/>
      <c r="S120" s="153"/>
    </row>
    <row r="121" spans="10:19" ht="13.5" thickBot="1">
      <c r="J121" s="138">
        <f>courbes!A120</f>
        <v>9.8333333333333339</v>
      </c>
      <c r="K121" s="139">
        <f t="shared" ca="1" si="5"/>
        <v>1.1991976664021026E+22</v>
      </c>
      <c r="L121" s="141">
        <f>courbes!J120</f>
        <v>9.8333333333333339</v>
      </c>
      <c r="M121" s="139">
        <f t="shared" ca="1" si="6"/>
        <v>1.1997748075067183E+22</v>
      </c>
      <c r="N121" s="139">
        <f>courbes!U120</f>
        <v>9.8333333333333339</v>
      </c>
      <c r="O121" s="139">
        <f t="shared" ca="1" si="7"/>
        <v>1.1997747115990085E+22</v>
      </c>
      <c r="P121" s="153"/>
      <c r="Q121" s="139">
        <f t="shared" ca="1" si="8"/>
        <v>0</v>
      </c>
      <c r="R121" s="153"/>
      <c r="S121" s="153"/>
    </row>
    <row r="122" spans="10:19" ht="13.5" thickBot="1">
      <c r="J122" s="138">
        <f>courbes!A121</f>
        <v>9.9166666666666661</v>
      </c>
      <c r="K122" s="139">
        <f t="shared" ca="1" si="5"/>
        <v>1.1957763396977761E+22</v>
      </c>
      <c r="L122" s="141">
        <f>courbes!J121</f>
        <v>9.9166666666666661</v>
      </c>
      <c r="M122" s="139">
        <f t="shared" ca="1" si="6"/>
        <v>1.1963567124653028E+22</v>
      </c>
      <c r="N122" s="139">
        <f>courbes!U121</f>
        <v>9.9166666666666661</v>
      </c>
      <c r="O122" s="139">
        <f t="shared" ca="1" si="7"/>
        <v>1.196356615778018E+22</v>
      </c>
      <c r="P122" s="153"/>
      <c r="Q122" s="139">
        <f t="shared" ca="1" si="8"/>
        <v>0</v>
      </c>
      <c r="R122" s="153"/>
      <c r="S122" s="153"/>
    </row>
    <row r="123" spans="10:19" ht="13.5" thickBot="1">
      <c r="J123" s="138">
        <f>courbes!A122</f>
        <v>10</v>
      </c>
      <c r="K123" s="139">
        <f t="shared" ca="1" si="5"/>
        <v>1.19236477408783E+22</v>
      </c>
      <c r="L123" s="141">
        <f>courbes!J122</f>
        <v>10</v>
      </c>
      <c r="M123" s="139">
        <f t="shared" ca="1" si="6"/>
        <v>1.192948355399973E+22</v>
      </c>
      <c r="N123" s="139">
        <f>courbes!U122</f>
        <v>10</v>
      </c>
      <c r="O123" s="139">
        <f t="shared" ca="1" si="7"/>
        <v>1.1929482579344399E+22</v>
      </c>
      <c r="P123" s="153"/>
      <c r="Q123" s="139">
        <f t="shared" ca="1" si="8"/>
        <v>0</v>
      </c>
      <c r="R123" s="153"/>
      <c r="S123" s="153"/>
    </row>
    <row r="124" spans="10:19" ht="13.5" thickBot="1">
      <c r="J124" s="138">
        <f>courbes!A123</f>
        <v>10.083333333333334</v>
      </c>
      <c r="K124" s="139">
        <f t="shared" ca="1" si="5"/>
        <v>1.1889629417237178E+22</v>
      </c>
      <c r="L124" s="149"/>
      <c r="M124" s="150"/>
      <c r="N124" s="139">
        <f>courbes!U123</f>
        <v>10.083333333333334</v>
      </c>
      <c r="O124" s="139">
        <f t="shared" ca="1" si="7"/>
        <v>1.1895496103252822E+22</v>
      </c>
      <c r="P124" s="153"/>
      <c r="Q124" s="139">
        <f t="shared" ca="1" si="8"/>
        <v>0</v>
      </c>
      <c r="R124" s="153"/>
      <c r="S124" s="153"/>
    </row>
    <row r="125" spans="10:19" ht="13.5" thickBot="1">
      <c r="J125" s="138">
        <f>courbes!A124</f>
        <v>10.166666666666666</v>
      </c>
      <c r="K125" s="139">
        <f t="shared" ca="1" si="5"/>
        <v>1.1855708148363455E+22</v>
      </c>
      <c r="L125" s="149"/>
      <c r="M125" s="150"/>
      <c r="N125" s="139">
        <f>courbes!U124</f>
        <v>10.166666666666666</v>
      </c>
      <c r="O125" s="139">
        <f t="shared" ca="1" si="7"/>
        <v>1.186160645286592E+22</v>
      </c>
      <c r="P125" s="153"/>
      <c r="Q125" s="139">
        <f t="shared" ca="1" si="8"/>
        <v>0</v>
      </c>
      <c r="R125" s="153"/>
      <c r="S125" s="153"/>
    </row>
    <row r="126" spans="10:19" ht="13.5" thickBot="1">
      <c r="J126" s="138">
        <f>courbes!A125</f>
        <v>10.25</v>
      </c>
      <c r="K126" s="139">
        <f t="shared" ca="1" si="5"/>
        <v>1.1821883657358447E+22</v>
      </c>
      <c r="L126" s="149"/>
      <c r="M126" s="150"/>
      <c r="N126" s="139">
        <f>courbes!U125</f>
        <v>10.25</v>
      </c>
      <c r="O126" s="139">
        <f t="shared" ca="1" si="7"/>
        <v>1.1827813352332287E+22</v>
      </c>
      <c r="P126" s="153"/>
      <c r="Q126" s="139">
        <f t="shared" ca="1" si="8"/>
        <v>0</v>
      </c>
      <c r="R126" s="153"/>
      <c r="S126" s="153"/>
    </row>
    <row r="127" spans="10:19" ht="13.5" thickBot="1">
      <c r="J127" s="138">
        <f>courbes!A126</f>
        <v>10.333333333333334</v>
      </c>
      <c r="K127" s="139">
        <f t="shared" ca="1" si="5"/>
        <v>1.1788155668113463E+22</v>
      </c>
      <c r="L127" s="149"/>
      <c r="M127" s="150"/>
      <c r="N127" s="139">
        <f>courbes!U126</f>
        <v>10.333333333333334</v>
      </c>
      <c r="O127" s="139">
        <f t="shared" ca="1" si="7"/>
        <v>1.179411652658641E+22</v>
      </c>
      <c r="P127" s="153"/>
      <c r="Q127" s="139">
        <f t="shared" ca="1" si="8"/>
        <v>0</v>
      </c>
      <c r="R127" s="153"/>
      <c r="S127" s="153"/>
    </row>
    <row r="128" spans="10:19" ht="13.5" thickBot="1">
      <c r="J128" s="138">
        <f>courbes!A127</f>
        <v>10.416666666666666</v>
      </c>
      <c r="K128" s="139">
        <f t="shared" ca="1" si="5"/>
        <v>1.1754523905307554E+22</v>
      </c>
      <c r="L128" s="149"/>
      <c r="M128" s="150"/>
      <c r="N128" s="139">
        <f>courbes!U127</f>
        <v>10.416666666666666</v>
      </c>
      <c r="O128" s="139">
        <f t="shared" ca="1" si="7"/>
        <v>1.1760515701346417E+22</v>
      </c>
      <c r="P128" s="153"/>
      <c r="Q128" s="139">
        <f t="shared" ca="1" si="8"/>
        <v>0</v>
      </c>
      <c r="R128" s="153"/>
      <c r="S128" s="153"/>
    </row>
    <row r="129" spans="10:19" ht="13.5" thickBot="1">
      <c r="J129" s="138">
        <f>courbes!A128</f>
        <v>10.5</v>
      </c>
      <c r="K129" s="139">
        <f t="shared" ca="1" si="5"/>
        <v>1.1720988094405267E+22</v>
      </c>
      <c r="L129" s="149"/>
      <c r="M129" s="150"/>
      <c r="N129" s="139">
        <f>courbes!U128</f>
        <v>10.5</v>
      </c>
      <c r="O129" s="139">
        <f t="shared" ca="1" si="7"/>
        <v>1.1727010603111857E+22</v>
      </c>
      <c r="P129" s="153"/>
      <c r="Q129" s="139">
        <f t="shared" ca="1" si="8"/>
        <v>0</v>
      </c>
      <c r="R129" s="153"/>
      <c r="S129" s="153"/>
    </row>
    <row r="130" spans="10:19" ht="13.5" thickBot="1">
      <c r="J130" s="138">
        <f>courbes!A129</f>
        <v>10.583333333333334</v>
      </c>
      <c r="K130" s="139">
        <f t="shared" ca="1" si="5"/>
        <v>1.1687547961654402E+22</v>
      </c>
      <c r="L130" s="149"/>
      <c r="M130" s="150"/>
      <c r="N130" s="139">
        <f>courbes!U129</f>
        <v>10.583333333333334</v>
      </c>
      <c r="O130" s="139">
        <f t="shared" ca="1" si="7"/>
        <v>1.1693600959161463E+22</v>
      </c>
      <c r="P130" s="153"/>
      <c r="Q130" s="139">
        <f t="shared" ca="1" si="8"/>
        <v>0</v>
      </c>
      <c r="R130" s="153"/>
      <c r="S130" s="153"/>
    </row>
    <row r="131" spans="10:19" ht="13.5" thickBot="1">
      <c r="J131" s="138">
        <f>courbes!A130</f>
        <v>10.666666666666666</v>
      </c>
      <c r="K131" s="139">
        <f t="shared" ref="K131:K137" ca="1" si="9">INDIRECT("courbes!"&amp;INDEX($D$3:$H$10,MATCH($B$2,$C$3:$C$10,0),MATCH(K$1,$D$2:$H$2,0))&amp;ROW($J130))</f>
        <v>1.1654203234083775E+22</v>
      </c>
      <c r="L131" s="149"/>
      <c r="M131" s="150"/>
      <c r="N131" s="139">
        <f>courbes!U130</f>
        <v>10.666666666666666</v>
      </c>
      <c r="O131" s="139">
        <f t="shared" ref="O131:O137" ca="1" si="10">INDIRECT("courbes!"&amp;INDEX($D$3:$H$10,MATCH($B$2,$C$3:$C$10,0),MATCH(O$1,$D$2:$H$2,0))&amp;ROW($J130))</f>
        <v>1.1660286497550942E+22</v>
      </c>
      <c r="P131" s="153"/>
      <c r="Q131" s="139">
        <f t="shared" ref="Q131:Q137" ca="1" si="11">INDIRECT("courbes!"&amp;INDEX($D$3:$H$10,MATCH($B$2,$C$3:$C$10,0),MATCH(Q$1,$D$2:$H$2,0))&amp;ROW($J130))</f>
        <v>0</v>
      </c>
      <c r="R131" s="153"/>
      <c r="S131" s="153"/>
    </row>
    <row r="132" spans="10:19" ht="13.5" thickBot="1">
      <c r="J132" s="138">
        <f>courbes!A131</f>
        <v>10.75</v>
      </c>
      <c r="K132" s="139">
        <f t="shared" ca="1" si="9"/>
        <v>1.1620953639500995E+22</v>
      </c>
      <c r="L132" s="149"/>
      <c r="M132" s="150"/>
      <c r="N132" s="139">
        <f>courbes!U131</f>
        <v>10.75</v>
      </c>
      <c r="O132" s="139">
        <f t="shared" ca="1" si="10"/>
        <v>1.1627066947110749E+22</v>
      </c>
      <c r="P132" s="153"/>
      <c r="Q132" s="139">
        <f t="shared" ca="1" si="11"/>
        <v>0</v>
      </c>
      <c r="R132" s="153"/>
      <c r="S132" s="153"/>
    </row>
    <row r="133" spans="10:19" ht="13.5" thickBot="1">
      <c r="J133" s="138">
        <f>courbes!A132</f>
        <v>10.833333333333334</v>
      </c>
      <c r="K133" s="139">
        <f t="shared" ca="1" si="9"/>
        <v>1.1587798906490235E+22</v>
      </c>
      <c r="L133" s="149"/>
      <c r="M133" s="150"/>
      <c r="N133" s="139">
        <f>courbes!U132</f>
        <v>10.833333333333334</v>
      </c>
      <c r="O133" s="139">
        <f t="shared" ca="1" si="10"/>
        <v>1.1593942037443891E+22</v>
      </c>
      <c r="P133" s="153"/>
      <c r="Q133" s="139">
        <f t="shared" ca="1" si="11"/>
        <v>0</v>
      </c>
      <c r="R133" s="153"/>
      <c r="S133" s="153"/>
    </row>
    <row r="134" spans="10:19" ht="13.5" thickBot="1">
      <c r="J134" s="138">
        <f>courbes!A133</f>
        <v>10.916666666666666</v>
      </c>
      <c r="K134" s="139">
        <f t="shared" ca="1" si="9"/>
        <v>1.1554738764410027E+22</v>
      </c>
      <c r="L134" s="149"/>
      <c r="M134" s="150"/>
      <c r="N134" s="139">
        <f>courbes!U133</f>
        <v>10.916666666666666</v>
      </c>
      <c r="O134" s="139">
        <f t="shared" ca="1" si="10"/>
        <v>1.1560911498923727E+22</v>
      </c>
      <c r="Q134" s="139">
        <f t="shared" ca="1" si="11"/>
        <v>0</v>
      </c>
    </row>
    <row r="135" spans="10:19" ht="13.5" thickBot="1">
      <c r="J135" s="138">
        <f>courbes!A134</f>
        <v>11</v>
      </c>
      <c r="K135" s="139">
        <f t="shared" ca="1" si="9"/>
        <v>1.1521772943391039E+22</v>
      </c>
      <c r="L135" s="149"/>
      <c r="M135" s="150"/>
      <c r="N135" s="139">
        <f>courbes!U134</f>
        <v>11</v>
      </c>
      <c r="O135" s="139">
        <f t="shared" ca="1" si="10"/>
        <v>1.1527975062691755E+22</v>
      </c>
      <c r="Q135" s="139">
        <f t="shared" ca="1" si="11"/>
        <v>0</v>
      </c>
    </row>
    <row r="136" spans="10:19" ht="13.5" thickBot="1">
      <c r="J136" s="138">
        <f>courbes!A135</f>
        <v>11.083333333333334</v>
      </c>
      <c r="K136" s="139">
        <f t="shared" ca="1" si="9"/>
        <v>1.1488901174333886E+22</v>
      </c>
      <c r="L136" s="149"/>
      <c r="M136" s="150"/>
      <c r="N136" s="139">
        <f>courbes!U135</f>
        <v>11.083333333333334</v>
      </c>
      <c r="O136" s="139">
        <f t="shared" ca="1" si="10"/>
        <v>1.1495132460655447E+22</v>
      </c>
      <c r="Q136" s="139">
        <f t="shared" ca="1" si="11"/>
        <v>0</v>
      </c>
    </row>
    <row r="137" spans="10:19">
      <c r="J137" s="138">
        <f>courbes!A136</f>
        <v>11.166666666666666</v>
      </c>
      <c r="K137" s="139">
        <f t="shared" ca="1" si="9"/>
        <v>1.1456123188906924E+22</v>
      </c>
      <c r="L137" s="149"/>
      <c r="M137" s="150"/>
      <c r="N137" s="139">
        <f>courbes!U136</f>
        <v>11.166666666666666</v>
      </c>
      <c r="O137" s="139">
        <f t="shared" ca="1" si="10"/>
        <v>1.1462383425486059E+22</v>
      </c>
      <c r="Q137" s="139">
        <f t="shared" ca="1" si="11"/>
        <v>0</v>
      </c>
    </row>
    <row r="178" spans="10:19">
      <c r="J178" s="145"/>
      <c r="K178" s="145"/>
      <c r="L178" s="145"/>
      <c r="M178" s="145"/>
      <c r="N178" s="149"/>
      <c r="O178" s="145"/>
      <c r="P178" s="145"/>
      <c r="Q178" s="145"/>
      <c r="R178" s="145"/>
      <c r="S178" s="145"/>
    </row>
    <row r="179" spans="10:19">
      <c r="J179" s="145"/>
      <c r="K179" s="145"/>
      <c r="L179" s="145"/>
      <c r="M179" s="145"/>
      <c r="N179" s="149"/>
      <c r="O179" s="145"/>
      <c r="P179" s="145"/>
      <c r="Q179" s="145"/>
      <c r="R179" s="145"/>
      <c r="S179" s="145"/>
    </row>
    <row r="180" spans="10:19">
      <c r="J180" s="145"/>
      <c r="K180" s="145"/>
      <c r="L180" s="145"/>
      <c r="M180" s="145"/>
      <c r="N180" s="149"/>
      <c r="O180" s="145"/>
      <c r="P180" s="145"/>
      <c r="Q180" s="145"/>
      <c r="R180" s="145"/>
      <c r="S180" s="145"/>
    </row>
    <row r="181" spans="10:19">
      <c r="J181" s="145"/>
      <c r="K181" s="145"/>
      <c r="L181" s="145"/>
      <c r="M181" s="145"/>
      <c r="N181" s="149"/>
      <c r="O181" s="145"/>
      <c r="P181" s="145"/>
      <c r="Q181" s="145"/>
      <c r="R181" s="145"/>
      <c r="S181" s="145"/>
    </row>
    <row r="182" spans="10:19">
      <c r="J182" s="145"/>
      <c r="K182" s="145"/>
      <c r="L182" s="145"/>
      <c r="M182" s="145"/>
      <c r="N182" s="149"/>
      <c r="O182" s="145"/>
      <c r="P182" s="145"/>
      <c r="Q182" s="145"/>
      <c r="R182" s="145"/>
      <c r="S182" s="145"/>
    </row>
    <row r="183" spans="10:19">
      <c r="J183" s="145"/>
      <c r="K183" s="145"/>
      <c r="L183" s="145"/>
      <c r="M183" s="145"/>
      <c r="N183" s="149"/>
      <c r="O183" s="145"/>
      <c r="P183" s="145"/>
      <c r="Q183" s="145"/>
      <c r="R183" s="145"/>
      <c r="S183" s="145"/>
    </row>
    <row r="184" spans="10:19">
      <c r="J184" s="145"/>
      <c r="K184" s="145"/>
      <c r="L184" s="145"/>
      <c r="M184" s="145"/>
      <c r="N184" s="149"/>
      <c r="O184" s="145"/>
      <c r="P184" s="145"/>
      <c r="Q184" s="145"/>
      <c r="R184" s="145"/>
      <c r="S184" s="145"/>
    </row>
    <row r="185" spans="10:19">
      <c r="J185" s="145"/>
      <c r="K185" s="145"/>
      <c r="L185" s="145"/>
      <c r="M185" s="145"/>
      <c r="N185" s="149"/>
      <c r="O185" s="145"/>
      <c r="P185" s="145"/>
      <c r="Q185" s="145"/>
      <c r="R185" s="145"/>
      <c r="S185" s="14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Graphiques</vt:lpstr>
      </vt:variant>
      <vt:variant>
        <vt:i4>2</vt:i4>
      </vt:variant>
    </vt:vector>
  </HeadingPairs>
  <TitlesOfParts>
    <vt:vector size="19" baseType="lpstr">
      <vt:lpstr>Données</vt:lpstr>
      <vt:lpstr>mod.RK1</vt:lpstr>
      <vt:lpstr>mod.O5</vt:lpstr>
      <vt:lpstr>mod.math.</vt:lpstr>
      <vt:lpstr>vesta</vt:lpstr>
      <vt:lpstr>dragon</vt:lpstr>
      <vt:lpstr>courbes</vt:lpstr>
      <vt:lpstr>Dragon_vs_RK1</vt:lpstr>
      <vt:lpstr>allcourbes</vt:lpstr>
      <vt:lpstr>Pu238</vt:lpstr>
      <vt:lpstr>Pu239 </vt:lpstr>
      <vt:lpstr>Pu2340 </vt:lpstr>
      <vt:lpstr>Pu241</vt:lpstr>
      <vt:lpstr>Pu242</vt:lpstr>
      <vt:lpstr>Am241)</vt:lpstr>
      <vt:lpstr>U235</vt:lpstr>
      <vt:lpstr>U238</vt:lpstr>
      <vt:lpstr>M.Pu</vt:lpstr>
      <vt:lpstr>V.Pu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imed Limaiem</cp:lastModifiedBy>
  <cp:revision>1</cp:revision>
  <dcterms:created xsi:type="dcterms:W3CDTF">2014-07-10T09:50:10Z</dcterms:created>
  <dcterms:modified xsi:type="dcterms:W3CDTF">2014-09-01T09:45:18Z</dcterms:modified>
</cp:coreProperties>
</file>