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alfie.hyland\Downloads\OneDrive_1_05-02-2026\1.4 files\"/>
    </mc:Choice>
  </mc:AlternateContent>
  <xr:revisionPtr revIDLastSave="0" documentId="8_{5634A543-CAB7-4927-977D-A684ADC749AD}" xr6:coauthVersionLast="47" xr6:coauthVersionMax="47" xr10:uidLastSave="{00000000-0000-0000-0000-000000000000}"/>
  <bookViews>
    <workbookView xWindow="-110" yWindow="-110" windowWidth="19420" windowHeight="10300" firstSheet="3" activeTab="3" xr2:uid="{3D304F21-AA0A-4471-AA43-CA1AFA198CBD}"/>
  </bookViews>
  <sheets>
    <sheet name="User Guide" sheetId="1" r:id="rId1"/>
    <sheet name="PRF Structure" sheetId="2" r:id="rId2"/>
    <sheet name="Fee Summary" sheetId="3" r:id="rId3"/>
    <sheet name="Local FTE Model" sheetId="12" r:id="rId4"/>
    <sheet name="Local Commission Model" sheetId="5" r:id="rId5"/>
    <sheet name="Local PRF Calculator" sheetId="6" r:id="rId6"/>
    <sheet name="Digital Media Guidelines" sheetId="7" r:id="rId7"/>
    <sheet name="BusinessBrand KPIs" sheetId="8" r:id="rId8"/>
    <sheet name="BAH Perf Fee Reconciliations" sheetId="9" r:id="rId9"/>
    <sheet name="Drop Downs" sheetId="10" state="hidden" r:id="rId10"/>
    <sheet name="FX Rates" sheetId="11" r:id="rId11"/>
  </sheets>
  <externalReferences>
    <externalReference r:id="rId12"/>
    <externalReference r:id="rId13"/>
  </externalReferences>
  <definedNames>
    <definedName name="_xlnm._FilterDatabase" localSheetId="8" hidden="1">'BAH Perf Fee Reconciliations'!$B$22:$U$22</definedName>
    <definedName name="BrandLookup" localSheetId="3">INDEX('[1]Drop Downs'!$G$2:$G$12,MATCH('[1]Local PRF Calculator'!$E$6,'[1]Drop Downs'!$F$2:$F$12,0))</definedName>
    <definedName name="BrandLookup">INDEX('Drop Downs'!$G$2:$G$12,MATCH('Local PRF Calculator'!$E$6,'Drop Downs'!$F$2:$F$12,0))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2" l="1"/>
  <c r="M36" i="12"/>
  <c r="J36" i="12"/>
  <c r="P36" i="12" s="1"/>
  <c r="O35" i="12"/>
  <c r="M35" i="12"/>
  <c r="P35" i="12" s="1"/>
  <c r="J35" i="12"/>
  <c r="O34" i="12"/>
  <c r="M34" i="12"/>
  <c r="J34" i="12"/>
  <c r="P34" i="12" s="1"/>
  <c r="O33" i="12"/>
  <c r="M33" i="12"/>
  <c r="P33" i="12" s="1"/>
  <c r="J33" i="12"/>
  <c r="P32" i="12"/>
  <c r="O32" i="12"/>
  <c r="M32" i="12"/>
  <c r="J32" i="12"/>
  <c r="O31" i="12"/>
  <c r="M31" i="12"/>
  <c r="P31" i="12" s="1"/>
  <c r="J31" i="12"/>
  <c r="P30" i="12"/>
  <c r="O30" i="12"/>
  <c r="M30" i="12"/>
  <c r="J30" i="12"/>
  <c r="O29" i="12"/>
  <c r="M29" i="12"/>
  <c r="P29" i="12" s="1"/>
  <c r="J29" i="12"/>
  <c r="O28" i="12"/>
  <c r="M28" i="12"/>
  <c r="J28" i="12"/>
  <c r="P28" i="12" s="1"/>
  <c r="O27" i="12"/>
  <c r="M27" i="12"/>
  <c r="P27" i="12" s="1"/>
  <c r="J27" i="12"/>
  <c r="P26" i="12"/>
  <c r="O26" i="12"/>
  <c r="M26" i="12"/>
  <c r="J26" i="12"/>
  <c r="O25" i="12"/>
  <c r="M25" i="12"/>
  <c r="P25" i="12" s="1"/>
  <c r="J25" i="12"/>
  <c r="P24" i="12"/>
  <c r="O24" i="12"/>
  <c r="M24" i="12"/>
  <c r="J24" i="12"/>
  <c r="O23" i="12"/>
  <c r="M23" i="12"/>
  <c r="P23" i="12" s="1"/>
  <c r="J23" i="12"/>
  <c r="P22" i="12"/>
  <c r="O22" i="12"/>
  <c r="M22" i="12"/>
  <c r="J22" i="12"/>
  <c r="O21" i="12"/>
  <c r="M21" i="12"/>
  <c r="J21" i="12"/>
  <c r="L20" i="12"/>
  <c r="L18" i="12" s="1"/>
  <c r="O18" i="12" s="1"/>
  <c r="I20" i="12"/>
  <c r="I18" i="12" s="1"/>
  <c r="M16" i="12"/>
  <c r="M15" i="12"/>
  <c r="R122" i="9"/>
  <c r="P122" i="9"/>
  <c r="O122" i="9"/>
  <c r="Q122" i="9" s="1"/>
  <c r="G122" i="9"/>
  <c r="I122" i="9" s="1"/>
  <c r="F122" i="9"/>
  <c r="H122" i="9" s="1"/>
  <c r="J122" i="9" s="1"/>
  <c r="K122" i="9" s="1"/>
  <c r="Q121" i="9"/>
  <c r="R121" i="9" s="1"/>
  <c r="P121" i="9"/>
  <c r="O121" i="9"/>
  <c r="I121" i="9"/>
  <c r="H121" i="9"/>
  <c r="J121" i="9" s="1"/>
  <c r="K121" i="9" s="1"/>
  <c r="G121" i="9"/>
  <c r="F121" i="9"/>
  <c r="P120" i="9"/>
  <c r="O120" i="9"/>
  <c r="Q120" i="9" s="1"/>
  <c r="R120" i="9" s="1"/>
  <c r="J120" i="9"/>
  <c r="K120" i="9" s="1"/>
  <c r="I120" i="9"/>
  <c r="H120" i="9"/>
  <c r="G120" i="9"/>
  <c r="F120" i="9"/>
  <c r="Q119" i="9"/>
  <c r="R119" i="9" s="1"/>
  <c r="P119" i="9"/>
  <c r="O119" i="9"/>
  <c r="H119" i="9"/>
  <c r="J119" i="9" s="1"/>
  <c r="K119" i="9" s="1"/>
  <c r="G119" i="9"/>
  <c r="F119" i="9"/>
  <c r="R118" i="9"/>
  <c r="P118" i="9"/>
  <c r="O118" i="9"/>
  <c r="Q118" i="9" s="1"/>
  <c r="J118" i="9"/>
  <c r="K118" i="9" s="1"/>
  <c r="I118" i="9"/>
  <c r="H118" i="9"/>
  <c r="G118" i="9"/>
  <c r="F118" i="9"/>
  <c r="Q117" i="9"/>
  <c r="R117" i="9" s="1"/>
  <c r="P117" i="9"/>
  <c r="O117" i="9"/>
  <c r="G117" i="9"/>
  <c r="F117" i="9"/>
  <c r="H117" i="9" s="1"/>
  <c r="R116" i="9"/>
  <c r="P116" i="9"/>
  <c r="O116" i="9"/>
  <c r="Q116" i="9" s="1"/>
  <c r="J116" i="9"/>
  <c r="K116" i="9" s="1"/>
  <c r="H116" i="9"/>
  <c r="G116" i="9"/>
  <c r="I116" i="9" s="1"/>
  <c r="F116" i="9"/>
  <c r="Q115" i="9"/>
  <c r="R115" i="9" s="1"/>
  <c r="P115" i="9"/>
  <c r="O115" i="9"/>
  <c r="K115" i="9"/>
  <c r="I115" i="9"/>
  <c r="G115" i="9"/>
  <c r="F115" i="9"/>
  <c r="H115" i="9" s="1"/>
  <c r="J115" i="9" s="1"/>
  <c r="P114" i="9"/>
  <c r="O114" i="9"/>
  <c r="Q114" i="9" s="1"/>
  <c r="R114" i="9" s="1"/>
  <c r="J114" i="9"/>
  <c r="K114" i="9" s="1"/>
  <c r="H114" i="9"/>
  <c r="G114" i="9"/>
  <c r="I114" i="9" s="1"/>
  <c r="F114" i="9"/>
  <c r="Q113" i="9"/>
  <c r="R113" i="9" s="1"/>
  <c r="P113" i="9"/>
  <c r="O113" i="9"/>
  <c r="I113" i="9"/>
  <c r="G113" i="9"/>
  <c r="F113" i="9"/>
  <c r="H113" i="9" s="1"/>
  <c r="J113" i="9" s="1"/>
  <c r="K113" i="9" s="1"/>
  <c r="R112" i="9"/>
  <c r="P112" i="9"/>
  <c r="O112" i="9"/>
  <c r="Q112" i="9" s="1"/>
  <c r="J112" i="9"/>
  <c r="K112" i="9" s="1"/>
  <c r="H112" i="9"/>
  <c r="G112" i="9"/>
  <c r="I112" i="9" s="1"/>
  <c r="F112" i="9"/>
  <c r="Q111" i="9"/>
  <c r="R111" i="9" s="1"/>
  <c r="P111" i="9"/>
  <c r="O111" i="9"/>
  <c r="H111" i="9"/>
  <c r="G111" i="9"/>
  <c r="F111" i="9"/>
  <c r="R110" i="9"/>
  <c r="P110" i="9"/>
  <c r="O110" i="9"/>
  <c r="Q110" i="9" s="1"/>
  <c r="J110" i="9"/>
  <c r="K110" i="9" s="1"/>
  <c r="I110" i="9"/>
  <c r="H110" i="9"/>
  <c r="G110" i="9"/>
  <c r="F110" i="9"/>
  <c r="Q109" i="9"/>
  <c r="R109" i="9" s="1"/>
  <c r="P109" i="9"/>
  <c r="O109" i="9"/>
  <c r="K109" i="9"/>
  <c r="H109" i="9"/>
  <c r="J109" i="9" s="1"/>
  <c r="G109" i="9"/>
  <c r="F109" i="9"/>
  <c r="P108" i="9"/>
  <c r="O108" i="9"/>
  <c r="Q108" i="9" s="1"/>
  <c r="R108" i="9" s="1"/>
  <c r="J108" i="9"/>
  <c r="K108" i="9" s="1"/>
  <c r="I108" i="9"/>
  <c r="H108" i="9"/>
  <c r="G108" i="9"/>
  <c r="F108" i="9"/>
  <c r="Q107" i="9"/>
  <c r="R107" i="9" s="1"/>
  <c r="P107" i="9"/>
  <c r="O107" i="9"/>
  <c r="G107" i="9"/>
  <c r="F107" i="9"/>
  <c r="H107" i="9" s="1"/>
  <c r="P106" i="9"/>
  <c r="O106" i="9"/>
  <c r="Q106" i="9" s="1"/>
  <c r="R106" i="9" s="1"/>
  <c r="J106" i="9"/>
  <c r="K106" i="9" s="1"/>
  <c r="H106" i="9"/>
  <c r="G106" i="9"/>
  <c r="I106" i="9" s="1"/>
  <c r="F106" i="9"/>
  <c r="Q105" i="9"/>
  <c r="R105" i="9" s="1"/>
  <c r="P105" i="9"/>
  <c r="O105" i="9"/>
  <c r="K105" i="9"/>
  <c r="I105" i="9"/>
  <c r="H105" i="9"/>
  <c r="J105" i="9" s="1"/>
  <c r="G105" i="9"/>
  <c r="F105" i="9"/>
  <c r="P104" i="9"/>
  <c r="O104" i="9"/>
  <c r="Q104" i="9" s="1"/>
  <c r="R104" i="9" s="1"/>
  <c r="J104" i="9"/>
  <c r="K104" i="9" s="1"/>
  <c r="I104" i="9"/>
  <c r="H104" i="9"/>
  <c r="G104" i="9"/>
  <c r="F104" i="9"/>
  <c r="Q103" i="9"/>
  <c r="R103" i="9" s="1"/>
  <c r="P103" i="9"/>
  <c r="O103" i="9"/>
  <c r="H103" i="9"/>
  <c r="G103" i="9"/>
  <c r="F103" i="9"/>
  <c r="R102" i="9"/>
  <c r="P102" i="9"/>
  <c r="O102" i="9"/>
  <c r="Q102" i="9" s="1"/>
  <c r="J102" i="9"/>
  <c r="K102" i="9" s="1"/>
  <c r="I102" i="9"/>
  <c r="H102" i="9"/>
  <c r="G102" i="9"/>
  <c r="F102" i="9"/>
  <c r="Q101" i="9"/>
  <c r="R101" i="9" s="1"/>
  <c r="P101" i="9"/>
  <c r="O101" i="9"/>
  <c r="G101" i="9"/>
  <c r="F101" i="9"/>
  <c r="H101" i="9" s="1"/>
  <c r="R100" i="9"/>
  <c r="P100" i="9"/>
  <c r="O100" i="9"/>
  <c r="Q100" i="9" s="1"/>
  <c r="J100" i="9"/>
  <c r="K100" i="9" s="1"/>
  <c r="I100" i="9"/>
  <c r="H100" i="9"/>
  <c r="G100" i="9"/>
  <c r="F100" i="9"/>
  <c r="Q99" i="9"/>
  <c r="R99" i="9" s="1"/>
  <c r="P99" i="9"/>
  <c r="O99" i="9"/>
  <c r="G99" i="9"/>
  <c r="F99" i="9"/>
  <c r="H99" i="9" s="1"/>
  <c r="J99" i="9" s="1"/>
  <c r="K99" i="9" s="1"/>
  <c r="P98" i="9"/>
  <c r="O98" i="9"/>
  <c r="Q98" i="9" s="1"/>
  <c r="R98" i="9" s="1"/>
  <c r="J98" i="9"/>
  <c r="K98" i="9" s="1"/>
  <c r="H98" i="9"/>
  <c r="G98" i="9"/>
  <c r="I98" i="9" s="1"/>
  <c r="F98" i="9"/>
  <c r="Q97" i="9"/>
  <c r="R97" i="9" s="1"/>
  <c r="P97" i="9"/>
  <c r="O97" i="9"/>
  <c r="G97" i="9"/>
  <c r="F97" i="9"/>
  <c r="H97" i="9" s="1"/>
  <c r="J97" i="9" s="1"/>
  <c r="K97" i="9" s="1"/>
  <c r="R96" i="9"/>
  <c r="P96" i="9"/>
  <c r="O96" i="9"/>
  <c r="Q96" i="9" s="1"/>
  <c r="J96" i="9"/>
  <c r="K96" i="9" s="1"/>
  <c r="H96" i="9"/>
  <c r="G96" i="9"/>
  <c r="I96" i="9" s="1"/>
  <c r="F96" i="9"/>
  <c r="Q95" i="9"/>
  <c r="R95" i="9" s="1"/>
  <c r="P95" i="9"/>
  <c r="O95" i="9"/>
  <c r="I95" i="9"/>
  <c r="H95" i="9"/>
  <c r="J95" i="9" s="1"/>
  <c r="K95" i="9" s="1"/>
  <c r="G95" i="9"/>
  <c r="F95" i="9"/>
  <c r="R94" i="9"/>
  <c r="P94" i="9"/>
  <c r="O94" i="9"/>
  <c r="Q94" i="9" s="1"/>
  <c r="J94" i="9"/>
  <c r="K94" i="9" s="1"/>
  <c r="I94" i="9"/>
  <c r="H94" i="9"/>
  <c r="G94" i="9"/>
  <c r="F94" i="9"/>
  <c r="Q93" i="9"/>
  <c r="R93" i="9" s="1"/>
  <c r="P93" i="9"/>
  <c r="O93" i="9"/>
  <c r="K93" i="9"/>
  <c r="H93" i="9"/>
  <c r="J93" i="9" s="1"/>
  <c r="G93" i="9"/>
  <c r="F93" i="9"/>
  <c r="P92" i="9"/>
  <c r="O92" i="9"/>
  <c r="Q92" i="9" s="1"/>
  <c r="R92" i="9" s="1"/>
  <c r="J92" i="9"/>
  <c r="K92" i="9" s="1"/>
  <c r="I92" i="9"/>
  <c r="H92" i="9"/>
  <c r="G92" i="9"/>
  <c r="F92" i="9"/>
  <c r="Q91" i="9"/>
  <c r="R91" i="9" s="1"/>
  <c r="P91" i="9"/>
  <c r="O91" i="9"/>
  <c r="G91" i="9"/>
  <c r="F91" i="9"/>
  <c r="H91" i="9" s="1"/>
  <c r="R90" i="9"/>
  <c r="P90" i="9"/>
  <c r="O90" i="9"/>
  <c r="Q90" i="9" s="1"/>
  <c r="I90" i="9"/>
  <c r="H90" i="9"/>
  <c r="J90" i="9" s="1"/>
  <c r="K90" i="9" s="1"/>
  <c r="G90" i="9"/>
  <c r="F90" i="9"/>
  <c r="P89" i="9"/>
  <c r="O89" i="9"/>
  <c r="Q89" i="9" s="1"/>
  <c r="R89" i="9" s="1"/>
  <c r="I89" i="9"/>
  <c r="G89" i="9"/>
  <c r="F89" i="9"/>
  <c r="H89" i="9" s="1"/>
  <c r="J89" i="9" s="1"/>
  <c r="K89" i="9" s="1"/>
  <c r="R88" i="9"/>
  <c r="P88" i="9"/>
  <c r="O88" i="9"/>
  <c r="Q88" i="9" s="1"/>
  <c r="H88" i="9"/>
  <c r="G88" i="9"/>
  <c r="F88" i="9"/>
  <c r="Q87" i="9"/>
  <c r="R87" i="9" s="1"/>
  <c r="P87" i="9"/>
  <c r="O87" i="9"/>
  <c r="G87" i="9"/>
  <c r="F87" i="9"/>
  <c r="H87" i="9" s="1"/>
  <c r="R86" i="9"/>
  <c r="P86" i="9"/>
  <c r="O86" i="9"/>
  <c r="Q86" i="9" s="1"/>
  <c r="H86" i="9"/>
  <c r="J86" i="9" s="1"/>
  <c r="K86" i="9" s="1"/>
  <c r="G86" i="9"/>
  <c r="F86" i="9"/>
  <c r="S85" i="9"/>
  <c r="T85" i="9" s="1"/>
  <c r="P85" i="9"/>
  <c r="O85" i="9"/>
  <c r="Q85" i="9" s="1"/>
  <c r="R85" i="9" s="1"/>
  <c r="K85" i="9"/>
  <c r="I85" i="9"/>
  <c r="G85" i="9"/>
  <c r="F85" i="9"/>
  <c r="H85" i="9" s="1"/>
  <c r="J85" i="9" s="1"/>
  <c r="R84" i="9"/>
  <c r="P84" i="9"/>
  <c r="O84" i="9"/>
  <c r="Q84" i="9" s="1"/>
  <c r="H84" i="9"/>
  <c r="G84" i="9"/>
  <c r="F84" i="9"/>
  <c r="Q83" i="9"/>
  <c r="R83" i="9" s="1"/>
  <c r="P83" i="9"/>
  <c r="O83" i="9"/>
  <c r="G83" i="9"/>
  <c r="F83" i="9"/>
  <c r="H83" i="9" s="1"/>
  <c r="R82" i="9"/>
  <c r="P82" i="9"/>
  <c r="O82" i="9"/>
  <c r="Q82" i="9" s="1"/>
  <c r="H82" i="9"/>
  <c r="J82" i="9" s="1"/>
  <c r="K82" i="9" s="1"/>
  <c r="G82" i="9"/>
  <c r="I82" i="9" s="1"/>
  <c r="F82" i="9"/>
  <c r="P81" i="9"/>
  <c r="O81" i="9"/>
  <c r="Q81" i="9" s="1"/>
  <c r="R81" i="9" s="1"/>
  <c r="K81" i="9"/>
  <c r="G81" i="9"/>
  <c r="F81" i="9"/>
  <c r="H81" i="9" s="1"/>
  <c r="J81" i="9" s="1"/>
  <c r="R80" i="9"/>
  <c r="P80" i="9"/>
  <c r="O80" i="9"/>
  <c r="Q80" i="9" s="1"/>
  <c r="H80" i="9"/>
  <c r="G80" i="9"/>
  <c r="F80" i="9"/>
  <c r="Q79" i="9"/>
  <c r="R79" i="9" s="1"/>
  <c r="P79" i="9"/>
  <c r="O79" i="9"/>
  <c r="G79" i="9"/>
  <c r="F79" i="9"/>
  <c r="H79" i="9" s="1"/>
  <c r="R78" i="9"/>
  <c r="P78" i="9"/>
  <c r="O78" i="9"/>
  <c r="Q78" i="9" s="1"/>
  <c r="H78" i="9"/>
  <c r="J78" i="9" s="1"/>
  <c r="K78" i="9" s="1"/>
  <c r="G78" i="9"/>
  <c r="I78" i="9" s="1"/>
  <c r="F78" i="9"/>
  <c r="P77" i="9"/>
  <c r="O77" i="9"/>
  <c r="Q77" i="9" s="1"/>
  <c r="R77" i="9" s="1"/>
  <c r="K77" i="9"/>
  <c r="G77" i="9"/>
  <c r="F77" i="9"/>
  <c r="H77" i="9" s="1"/>
  <c r="J77" i="9" s="1"/>
  <c r="P76" i="9"/>
  <c r="O76" i="9"/>
  <c r="Q76" i="9" s="1"/>
  <c r="R76" i="9" s="1"/>
  <c r="H76" i="9"/>
  <c r="G76" i="9"/>
  <c r="F76" i="9"/>
  <c r="Q75" i="9"/>
  <c r="R75" i="9" s="1"/>
  <c r="P75" i="9"/>
  <c r="O75" i="9"/>
  <c r="G75" i="9"/>
  <c r="F75" i="9"/>
  <c r="H75" i="9" s="1"/>
  <c r="R74" i="9"/>
  <c r="P74" i="9"/>
  <c r="O74" i="9"/>
  <c r="Q74" i="9" s="1"/>
  <c r="H74" i="9"/>
  <c r="J74" i="9" s="1"/>
  <c r="K74" i="9" s="1"/>
  <c r="G74" i="9"/>
  <c r="I74" i="9" s="1"/>
  <c r="F74" i="9"/>
  <c r="P73" i="9"/>
  <c r="O73" i="9"/>
  <c r="Q73" i="9" s="1"/>
  <c r="R73" i="9" s="1"/>
  <c r="K73" i="9"/>
  <c r="G73" i="9"/>
  <c r="F73" i="9"/>
  <c r="H73" i="9" s="1"/>
  <c r="J73" i="9" s="1"/>
  <c r="P72" i="9"/>
  <c r="O72" i="9"/>
  <c r="Q72" i="9" s="1"/>
  <c r="R72" i="9" s="1"/>
  <c r="H72" i="9"/>
  <c r="G72" i="9"/>
  <c r="F72" i="9"/>
  <c r="Q71" i="9"/>
  <c r="R71" i="9" s="1"/>
  <c r="P71" i="9"/>
  <c r="O71" i="9"/>
  <c r="G71" i="9"/>
  <c r="F71" i="9"/>
  <c r="H71" i="9" s="1"/>
  <c r="R70" i="9"/>
  <c r="P70" i="9"/>
  <c r="O70" i="9"/>
  <c r="Q70" i="9" s="1"/>
  <c r="H70" i="9"/>
  <c r="J70" i="9" s="1"/>
  <c r="K70" i="9" s="1"/>
  <c r="G70" i="9"/>
  <c r="I70" i="9" s="1"/>
  <c r="F70" i="9"/>
  <c r="P69" i="9"/>
  <c r="O69" i="9"/>
  <c r="Q69" i="9" s="1"/>
  <c r="R69" i="9" s="1"/>
  <c r="G69" i="9"/>
  <c r="F69" i="9"/>
  <c r="H69" i="9" s="1"/>
  <c r="J69" i="9" s="1"/>
  <c r="K69" i="9" s="1"/>
  <c r="P68" i="9"/>
  <c r="O68" i="9"/>
  <c r="Q68" i="9" s="1"/>
  <c r="R68" i="9" s="1"/>
  <c r="H68" i="9"/>
  <c r="G68" i="9"/>
  <c r="F68" i="9"/>
  <c r="Q67" i="9"/>
  <c r="R67" i="9" s="1"/>
  <c r="P67" i="9"/>
  <c r="O67" i="9"/>
  <c r="G67" i="9"/>
  <c r="F67" i="9"/>
  <c r="H67" i="9" s="1"/>
  <c r="R66" i="9"/>
  <c r="P66" i="9"/>
  <c r="O66" i="9"/>
  <c r="Q66" i="9" s="1"/>
  <c r="I66" i="9"/>
  <c r="H66" i="9"/>
  <c r="J66" i="9" s="1"/>
  <c r="K66" i="9" s="1"/>
  <c r="G66" i="9"/>
  <c r="F66" i="9"/>
  <c r="P65" i="9"/>
  <c r="O65" i="9"/>
  <c r="Q65" i="9" s="1"/>
  <c r="R65" i="9" s="1"/>
  <c r="I65" i="9"/>
  <c r="G65" i="9"/>
  <c r="F65" i="9"/>
  <c r="H65" i="9" s="1"/>
  <c r="J65" i="9" s="1"/>
  <c r="K65" i="9" s="1"/>
  <c r="P64" i="9"/>
  <c r="O64" i="9"/>
  <c r="Q64" i="9" s="1"/>
  <c r="R64" i="9" s="1"/>
  <c r="H64" i="9"/>
  <c r="G64" i="9"/>
  <c r="F64" i="9"/>
  <c r="Q63" i="9"/>
  <c r="R63" i="9" s="1"/>
  <c r="P63" i="9"/>
  <c r="O63" i="9"/>
  <c r="G63" i="9"/>
  <c r="F63" i="9"/>
  <c r="H63" i="9" s="1"/>
  <c r="R62" i="9"/>
  <c r="P62" i="9"/>
  <c r="O62" i="9"/>
  <c r="Q62" i="9" s="1"/>
  <c r="I62" i="9"/>
  <c r="H62" i="9"/>
  <c r="J62" i="9" s="1"/>
  <c r="K62" i="9" s="1"/>
  <c r="G62" i="9"/>
  <c r="F62" i="9"/>
  <c r="P61" i="9"/>
  <c r="O61" i="9"/>
  <c r="Q61" i="9" s="1"/>
  <c r="R61" i="9" s="1"/>
  <c r="I61" i="9"/>
  <c r="G61" i="9"/>
  <c r="F61" i="9"/>
  <c r="H61" i="9" s="1"/>
  <c r="J61" i="9" s="1"/>
  <c r="K61" i="9" s="1"/>
  <c r="R60" i="9"/>
  <c r="P60" i="9"/>
  <c r="O60" i="9"/>
  <c r="Q60" i="9" s="1"/>
  <c r="H60" i="9"/>
  <c r="G60" i="9"/>
  <c r="F60" i="9"/>
  <c r="Q59" i="9"/>
  <c r="R59" i="9" s="1"/>
  <c r="P59" i="9"/>
  <c r="O59" i="9"/>
  <c r="G59" i="9"/>
  <c r="F59" i="9"/>
  <c r="H59" i="9" s="1"/>
  <c r="R58" i="9"/>
  <c r="P58" i="9"/>
  <c r="O58" i="9"/>
  <c r="Q58" i="9" s="1"/>
  <c r="H58" i="9"/>
  <c r="J58" i="9" s="1"/>
  <c r="K58" i="9" s="1"/>
  <c r="G58" i="9"/>
  <c r="F58" i="9"/>
  <c r="P57" i="9"/>
  <c r="O57" i="9"/>
  <c r="Q57" i="9" s="1"/>
  <c r="R57" i="9" s="1"/>
  <c r="I57" i="9"/>
  <c r="G57" i="9"/>
  <c r="F57" i="9"/>
  <c r="H57" i="9" s="1"/>
  <c r="J57" i="9" s="1"/>
  <c r="K57" i="9" s="1"/>
  <c r="R56" i="9"/>
  <c r="P56" i="9"/>
  <c r="O56" i="9"/>
  <c r="Q56" i="9" s="1"/>
  <c r="H56" i="9"/>
  <c r="G56" i="9"/>
  <c r="F56" i="9"/>
  <c r="Q55" i="9"/>
  <c r="R55" i="9" s="1"/>
  <c r="P55" i="9"/>
  <c r="O55" i="9"/>
  <c r="G55" i="9"/>
  <c r="F55" i="9"/>
  <c r="H55" i="9" s="1"/>
  <c r="R54" i="9"/>
  <c r="P54" i="9"/>
  <c r="O54" i="9"/>
  <c r="Q54" i="9" s="1"/>
  <c r="H54" i="9"/>
  <c r="J54" i="9" s="1"/>
  <c r="K54" i="9" s="1"/>
  <c r="G54" i="9"/>
  <c r="F54" i="9"/>
  <c r="S53" i="9"/>
  <c r="T53" i="9" s="1"/>
  <c r="P53" i="9"/>
  <c r="O53" i="9"/>
  <c r="Q53" i="9" s="1"/>
  <c r="R53" i="9" s="1"/>
  <c r="K53" i="9"/>
  <c r="I53" i="9"/>
  <c r="G53" i="9"/>
  <c r="F53" i="9"/>
  <c r="H53" i="9" s="1"/>
  <c r="J53" i="9" s="1"/>
  <c r="R52" i="9"/>
  <c r="P52" i="9"/>
  <c r="O52" i="9"/>
  <c r="Q52" i="9" s="1"/>
  <c r="H52" i="9"/>
  <c r="G52" i="9"/>
  <c r="F52" i="9"/>
  <c r="Q51" i="9"/>
  <c r="R51" i="9" s="1"/>
  <c r="P51" i="9"/>
  <c r="O51" i="9"/>
  <c r="G51" i="9"/>
  <c r="F51" i="9"/>
  <c r="H51" i="9" s="1"/>
  <c r="R50" i="9"/>
  <c r="P50" i="9"/>
  <c r="O50" i="9"/>
  <c r="Q50" i="9" s="1"/>
  <c r="H50" i="9"/>
  <c r="J50" i="9" s="1"/>
  <c r="K50" i="9" s="1"/>
  <c r="G50" i="9"/>
  <c r="I50" i="9" s="1"/>
  <c r="F50" i="9"/>
  <c r="P49" i="9"/>
  <c r="O49" i="9"/>
  <c r="Q49" i="9" s="1"/>
  <c r="R49" i="9" s="1"/>
  <c r="K49" i="9"/>
  <c r="G49" i="9"/>
  <c r="F49" i="9"/>
  <c r="H49" i="9" s="1"/>
  <c r="J49" i="9" s="1"/>
  <c r="R48" i="9"/>
  <c r="P48" i="9"/>
  <c r="O48" i="9"/>
  <c r="Q48" i="9" s="1"/>
  <c r="H48" i="9"/>
  <c r="G48" i="9"/>
  <c r="F48" i="9"/>
  <c r="Q47" i="9"/>
  <c r="R47" i="9" s="1"/>
  <c r="P47" i="9"/>
  <c r="O47" i="9"/>
  <c r="G47" i="9"/>
  <c r="F47" i="9"/>
  <c r="H47" i="9" s="1"/>
  <c r="Q46" i="9"/>
  <c r="R46" i="9" s="1"/>
  <c r="P46" i="9"/>
  <c r="O46" i="9"/>
  <c r="H46" i="9"/>
  <c r="J46" i="9" s="1"/>
  <c r="K46" i="9" s="1"/>
  <c r="G46" i="9"/>
  <c r="F46" i="9"/>
  <c r="Q45" i="9"/>
  <c r="R45" i="9" s="1"/>
  <c r="P45" i="9"/>
  <c r="O45" i="9"/>
  <c r="I45" i="9"/>
  <c r="G45" i="9"/>
  <c r="F45" i="9"/>
  <c r="H45" i="9" s="1"/>
  <c r="J45" i="9" s="1"/>
  <c r="K45" i="9" s="1"/>
  <c r="Q44" i="9"/>
  <c r="R44" i="9" s="1"/>
  <c r="P44" i="9"/>
  <c r="O44" i="9"/>
  <c r="J44" i="9"/>
  <c r="K44" i="9" s="1"/>
  <c r="I44" i="9"/>
  <c r="H44" i="9"/>
  <c r="G44" i="9"/>
  <c r="F44" i="9"/>
  <c r="Q43" i="9"/>
  <c r="R43" i="9" s="1"/>
  <c r="P43" i="9"/>
  <c r="O43" i="9"/>
  <c r="G43" i="9"/>
  <c r="F43" i="9"/>
  <c r="H43" i="9" s="1"/>
  <c r="J43" i="9" s="1"/>
  <c r="K43" i="9" s="1"/>
  <c r="Q42" i="9"/>
  <c r="R42" i="9" s="1"/>
  <c r="P42" i="9"/>
  <c r="O42" i="9"/>
  <c r="H42" i="9"/>
  <c r="J42" i="9" s="1"/>
  <c r="K42" i="9" s="1"/>
  <c r="G42" i="9"/>
  <c r="F42" i="9"/>
  <c r="P41" i="9"/>
  <c r="O41" i="9"/>
  <c r="Q41" i="9" s="1"/>
  <c r="R41" i="9" s="1"/>
  <c r="G41" i="9"/>
  <c r="F41" i="9"/>
  <c r="H41" i="9" s="1"/>
  <c r="J41" i="9" s="1"/>
  <c r="K41" i="9" s="1"/>
  <c r="Q40" i="9"/>
  <c r="R40" i="9" s="1"/>
  <c r="P40" i="9"/>
  <c r="O40" i="9"/>
  <c r="I40" i="9"/>
  <c r="S40" i="9" s="1"/>
  <c r="H40" i="9"/>
  <c r="J40" i="9" s="1"/>
  <c r="K40" i="9" s="1"/>
  <c r="G40" i="9"/>
  <c r="F40" i="9"/>
  <c r="Q39" i="9"/>
  <c r="R39" i="9" s="1"/>
  <c r="P39" i="9"/>
  <c r="O39" i="9"/>
  <c r="I39" i="9"/>
  <c r="G39" i="9"/>
  <c r="F39" i="9"/>
  <c r="H39" i="9" s="1"/>
  <c r="J39" i="9" s="1"/>
  <c r="K39" i="9" s="1"/>
  <c r="Q38" i="9"/>
  <c r="R38" i="9" s="1"/>
  <c r="P38" i="9"/>
  <c r="O38" i="9"/>
  <c r="J38" i="9"/>
  <c r="K38" i="9" s="1"/>
  <c r="I38" i="9"/>
  <c r="H38" i="9"/>
  <c r="G38" i="9"/>
  <c r="F38" i="9"/>
  <c r="P37" i="9"/>
  <c r="O37" i="9"/>
  <c r="Q37" i="9" s="1"/>
  <c r="R37" i="9" s="1"/>
  <c r="G37" i="9"/>
  <c r="F37" i="9"/>
  <c r="H37" i="9" s="1"/>
  <c r="J37" i="9" s="1"/>
  <c r="K37" i="9" s="1"/>
  <c r="Q36" i="9"/>
  <c r="R36" i="9" s="1"/>
  <c r="P36" i="9"/>
  <c r="O36" i="9"/>
  <c r="H36" i="9"/>
  <c r="J36" i="9" s="1"/>
  <c r="K36" i="9" s="1"/>
  <c r="G36" i="9"/>
  <c r="F36" i="9"/>
  <c r="P35" i="9"/>
  <c r="O35" i="9"/>
  <c r="Q35" i="9" s="1"/>
  <c r="R35" i="9" s="1"/>
  <c r="I35" i="9"/>
  <c r="G35" i="9"/>
  <c r="F35" i="9"/>
  <c r="H35" i="9" s="1"/>
  <c r="J35" i="9" s="1"/>
  <c r="K35" i="9" s="1"/>
  <c r="S34" i="9"/>
  <c r="T34" i="9" s="1"/>
  <c r="Q34" i="9"/>
  <c r="R34" i="9" s="1"/>
  <c r="P34" i="9"/>
  <c r="O34" i="9"/>
  <c r="J34" i="9"/>
  <c r="K34" i="9" s="1"/>
  <c r="I34" i="9"/>
  <c r="H34" i="9"/>
  <c r="G34" i="9"/>
  <c r="F34" i="9"/>
  <c r="Q33" i="9"/>
  <c r="R33" i="9" s="1"/>
  <c r="P33" i="9"/>
  <c r="O33" i="9"/>
  <c r="I33" i="9"/>
  <c r="G33" i="9"/>
  <c r="F33" i="9"/>
  <c r="H33" i="9" s="1"/>
  <c r="J33" i="9" s="1"/>
  <c r="K33" i="9" s="1"/>
  <c r="Q32" i="9"/>
  <c r="R32" i="9" s="1"/>
  <c r="P32" i="9"/>
  <c r="O32" i="9"/>
  <c r="J32" i="9"/>
  <c r="K32" i="9" s="1"/>
  <c r="H32" i="9"/>
  <c r="I32" i="9" s="1"/>
  <c r="G32" i="9"/>
  <c r="F32" i="9"/>
  <c r="P31" i="9"/>
  <c r="O31" i="9"/>
  <c r="Q31" i="9" s="1"/>
  <c r="R31" i="9" s="1"/>
  <c r="G31" i="9"/>
  <c r="F31" i="9"/>
  <c r="H31" i="9" s="1"/>
  <c r="J31" i="9" s="1"/>
  <c r="K31" i="9" s="1"/>
  <c r="Q30" i="9"/>
  <c r="R30" i="9" s="1"/>
  <c r="P30" i="9"/>
  <c r="O30" i="9"/>
  <c r="H30" i="9"/>
  <c r="J30" i="9" s="1"/>
  <c r="K30" i="9" s="1"/>
  <c r="G30" i="9"/>
  <c r="F30" i="9"/>
  <c r="Q29" i="9"/>
  <c r="R29" i="9" s="1"/>
  <c r="P29" i="9"/>
  <c r="O29" i="9"/>
  <c r="I29" i="9"/>
  <c r="G29" i="9"/>
  <c r="F29" i="9"/>
  <c r="H29" i="9" s="1"/>
  <c r="J29" i="9" s="1"/>
  <c r="K29" i="9" s="1"/>
  <c r="Q28" i="9"/>
  <c r="R28" i="9" s="1"/>
  <c r="P28" i="9"/>
  <c r="O28" i="9"/>
  <c r="J28" i="9"/>
  <c r="K28" i="9" s="1"/>
  <c r="I28" i="9"/>
  <c r="H28" i="9"/>
  <c r="G28" i="9"/>
  <c r="F28" i="9"/>
  <c r="Q27" i="9"/>
  <c r="R27" i="9" s="1"/>
  <c r="P27" i="9"/>
  <c r="O27" i="9"/>
  <c r="G27" i="9"/>
  <c r="F27" i="9"/>
  <c r="H27" i="9" s="1"/>
  <c r="J27" i="9" s="1"/>
  <c r="K27" i="9" s="1"/>
  <c r="O26" i="9"/>
  <c r="Q26" i="9" s="1"/>
  <c r="G26" i="9"/>
  <c r="O25" i="9"/>
  <c r="Q25" i="9" s="1"/>
  <c r="G25" i="9"/>
  <c r="Q24" i="9"/>
  <c r="O24" i="9"/>
  <c r="G24" i="9"/>
  <c r="O23" i="9"/>
  <c r="G23" i="9"/>
  <c r="D10" i="9"/>
  <c r="F26" i="9" s="1"/>
  <c r="H26" i="9" s="1"/>
  <c r="J26" i="9" s="1"/>
  <c r="K26" i="9" s="1"/>
  <c r="D8" i="9"/>
  <c r="D7" i="9"/>
  <c r="D6" i="9"/>
  <c r="D5" i="9"/>
  <c r="B5" i="9"/>
  <c r="F18" i="8"/>
  <c r="G18" i="8" s="1"/>
  <c r="K17" i="8"/>
  <c r="K16" i="8"/>
  <c r="K15" i="8"/>
  <c r="K14" i="8"/>
  <c r="K13" i="8"/>
  <c r="E8" i="8"/>
  <c r="E7" i="8"/>
  <c r="E6" i="8"/>
  <c r="E5" i="8"/>
  <c r="C25" i="7"/>
  <c r="C24" i="7"/>
  <c r="F18" i="7"/>
  <c r="F17" i="7"/>
  <c r="C3" i="7"/>
  <c r="C2" i="7"/>
  <c r="C23" i="6"/>
  <c r="E21" i="6"/>
  <c r="E20" i="6"/>
  <c r="E15" i="6"/>
  <c r="E14" i="6"/>
  <c r="J9" i="6"/>
  <c r="E9" i="6"/>
  <c r="E8" i="6"/>
  <c r="E7" i="6"/>
  <c r="E6" i="6"/>
  <c r="E5" i="6"/>
  <c r="C5" i="6"/>
  <c r="G35" i="5"/>
  <c r="H30" i="5"/>
  <c r="G30" i="5"/>
  <c r="F30" i="5"/>
  <c r="H29" i="5"/>
  <c r="E29" i="5"/>
  <c r="G28" i="5"/>
  <c r="F28" i="5"/>
  <c r="E28" i="5"/>
  <c r="H28" i="5" s="1"/>
  <c r="G25" i="5"/>
  <c r="F25" i="5"/>
  <c r="E25" i="5"/>
  <c r="H25" i="5" s="1"/>
  <c r="H23" i="5"/>
  <c r="D18" i="5"/>
  <c r="G15" i="5"/>
  <c r="F15" i="5"/>
  <c r="E15" i="5"/>
  <c r="D15" i="5"/>
  <c r="C15" i="5"/>
  <c r="H13" i="5"/>
  <c r="C7" i="5"/>
  <c r="C6" i="5"/>
  <c r="C5" i="5"/>
  <c r="C32" i="3"/>
  <c r="E31" i="3"/>
  <c r="D31" i="3"/>
  <c r="C31" i="3"/>
  <c r="C30" i="3"/>
  <c r="D29" i="3"/>
  <c r="C29" i="3"/>
  <c r="E28" i="3"/>
  <c r="D28" i="3"/>
  <c r="C28" i="3"/>
  <c r="E23" i="3"/>
  <c r="D23" i="3"/>
  <c r="C23" i="3"/>
  <c r="E22" i="3"/>
  <c r="D22" i="3"/>
  <c r="C22" i="3"/>
  <c r="C21" i="3"/>
  <c r="E16" i="3"/>
  <c r="D16" i="3"/>
  <c r="C16" i="3"/>
  <c r="E15" i="3"/>
  <c r="D15" i="3"/>
  <c r="E9" i="3"/>
  <c r="C8" i="5" s="1"/>
  <c r="J101" i="9" l="1"/>
  <c r="K101" i="9" s="1"/>
  <c r="I101" i="9"/>
  <c r="T40" i="9"/>
  <c r="I26" i="9"/>
  <c r="S26" i="9" s="1"/>
  <c r="T26" i="9" s="1"/>
  <c r="R26" i="9"/>
  <c r="J63" i="9"/>
  <c r="K63" i="9" s="1"/>
  <c r="I63" i="9"/>
  <c r="S63" i="9" s="1"/>
  <c r="T63" i="9" s="1"/>
  <c r="I6" i="6"/>
  <c r="E22" i="6" a="1"/>
  <c r="E22" i="6" s="1"/>
  <c r="I8" i="6"/>
  <c r="D12" i="9"/>
  <c r="F25" i="9" s="1"/>
  <c r="H25" i="9" s="1"/>
  <c r="J25" i="9" s="1"/>
  <c r="K25" i="9" s="1"/>
  <c r="D11" i="9"/>
  <c r="I36" i="9"/>
  <c r="S36" i="9" s="1"/>
  <c r="T36" i="9" s="1"/>
  <c r="S42" i="9"/>
  <c r="T42" i="9" s="1"/>
  <c r="J51" i="9"/>
  <c r="K51" i="9" s="1"/>
  <c r="I51" i="9"/>
  <c r="I54" i="9"/>
  <c r="J76" i="9"/>
  <c r="K76" i="9" s="1"/>
  <c r="I76" i="9"/>
  <c r="J83" i="9"/>
  <c r="K83" i="9" s="1"/>
  <c r="I83" i="9"/>
  <c r="I86" i="9"/>
  <c r="S86" i="9" s="1"/>
  <c r="T86" i="9" s="1"/>
  <c r="O20" i="12"/>
  <c r="I25" i="9"/>
  <c r="S25" i="9" s="1"/>
  <c r="T25" i="9" s="1"/>
  <c r="J88" i="9"/>
  <c r="K88" i="9" s="1"/>
  <c r="I88" i="9"/>
  <c r="B5" i="8"/>
  <c r="C5" i="3"/>
  <c r="K18" i="8"/>
  <c r="S122" i="9"/>
  <c r="T122" i="9" s="1"/>
  <c r="S120" i="9"/>
  <c r="T120" i="9" s="1"/>
  <c r="S118" i="9"/>
  <c r="T118" i="9" s="1"/>
  <c r="S116" i="9"/>
  <c r="T116" i="9" s="1"/>
  <c r="S114" i="9"/>
  <c r="T114" i="9" s="1"/>
  <c r="S112" i="9"/>
  <c r="T112" i="9" s="1"/>
  <c r="S110" i="9"/>
  <c r="T110" i="9" s="1"/>
  <c r="S108" i="9"/>
  <c r="T108" i="9" s="1"/>
  <c r="S106" i="9"/>
  <c r="T106" i="9" s="1"/>
  <c r="S104" i="9"/>
  <c r="T104" i="9" s="1"/>
  <c r="S102" i="9"/>
  <c r="T102" i="9" s="1"/>
  <c r="S100" i="9"/>
  <c r="T100" i="9" s="1"/>
  <c r="S98" i="9"/>
  <c r="T98" i="9" s="1"/>
  <c r="S96" i="9"/>
  <c r="T96" i="9" s="1"/>
  <c r="S94" i="9"/>
  <c r="T94" i="9" s="1"/>
  <c r="S92" i="9"/>
  <c r="T92" i="9" s="1"/>
  <c r="S88" i="9"/>
  <c r="T88" i="9" s="1"/>
  <c r="S76" i="9"/>
  <c r="T76" i="9" s="1"/>
  <c r="S56" i="9"/>
  <c r="T56" i="9" s="1"/>
  <c r="E16" i="9"/>
  <c r="S95" i="9"/>
  <c r="T95" i="9" s="1"/>
  <c r="S90" i="9"/>
  <c r="T90" i="9" s="1"/>
  <c r="S82" i="9"/>
  <c r="T82" i="9" s="1"/>
  <c r="S78" i="9"/>
  <c r="T78" i="9" s="1"/>
  <c r="S74" i="9"/>
  <c r="T74" i="9" s="1"/>
  <c r="S70" i="9"/>
  <c r="T70" i="9" s="1"/>
  <c r="S66" i="9"/>
  <c r="T66" i="9" s="1"/>
  <c r="S62" i="9"/>
  <c r="T62" i="9" s="1"/>
  <c r="S54" i="9"/>
  <c r="T54" i="9" s="1"/>
  <c r="S50" i="9"/>
  <c r="T50" i="9" s="1"/>
  <c r="S121" i="9"/>
  <c r="T121" i="9" s="1"/>
  <c r="S105" i="9"/>
  <c r="T105" i="9" s="1"/>
  <c r="S45" i="9"/>
  <c r="T45" i="9" s="1"/>
  <c r="S43" i="9"/>
  <c r="T43" i="9" s="1"/>
  <c r="S39" i="9"/>
  <c r="T39" i="9" s="1"/>
  <c r="S37" i="9"/>
  <c r="T37" i="9" s="1"/>
  <c r="S35" i="9"/>
  <c r="T35" i="9" s="1"/>
  <c r="S33" i="9"/>
  <c r="T33" i="9" s="1"/>
  <c r="S29" i="9"/>
  <c r="T29" i="9" s="1"/>
  <c r="S27" i="9"/>
  <c r="T27" i="9" s="1"/>
  <c r="S113" i="9"/>
  <c r="T113" i="9" s="1"/>
  <c r="S28" i="9"/>
  <c r="T28" i="9" s="1"/>
  <c r="I37" i="9"/>
  <c r="S44" i="9"/>
  <c r="T44" i="9" s="1"/>
  <c r="S57" i="9"/>
  <c r="T57" i="9" s="1"/>
  <c r="J64" i="9"/>
  <c r="K64" i="9" s="1"/>
  <c r="I64" i="9"/>
  <c r="S64" i="9" s="1"/>
  <c r="T64" i="9" s="1"/>
  <c r="J71" i="9"/>
  <c r="K71" i="9" s="1"/>
  <c r="I71" i="9"/>
  <c r="S71" i="9" s="1"/>
  <c r="T71" i="9" s="1"/>
  <c r="I73" i="9"/>
  <c r="S73" i="9" s="1"/>
  <c r="T73" i="9" s="1"/>
  <c r="S79" i="9"/>
  <c r="T79" i="9" s="1"/>
  <c r="S89" i="9"/>
  <c r="T89" i="9" s="1"/>
  <c r="I99" i="9"/>
  <c r="R25" i="9"/>
  <c r="J52" i="9"/>
  <c r="K52" i="9" s="1"/>
  <c r="I52" i="9"/>
  <c r="S52" i="9" s="1"/>
  <c r="T52" i="9" s="1"/>
  <c r="J84" i="9"/>
  <c r="K84" i="9" s="1"/>
  <c r="I84" i="9"/>
  <c r="S84" i="9" s="1"/>
  <c r="T84" i="9" s="1"/>
  <c r="J103" i="9"/>
  <c r="K103" i="9" s="1"/>
  <c r="I103" i="9"/>
  <c r="S103" i="9" s="1"/>
  <c r="T103" i="9" s="1"/>
  <c r="J59" i="9"/>
  <c r="K59" i="9" s="1"/>
  <c r="I59" i="9"/>
  <c r="S59" i="9" s="1"/>
  <c r="T59" i="9" s="1"/>
  <c r="J91" i="9"/>
  <c r="K91" i="9" s="1"/>
  <c r="I91" i="9"/>
  <c r="S91" i="9" s="1"/>
  <c r="T91" i="9" s="1"/>
  <c r="H15" i="5"/>
  <c r="I7" i="6"/>
  <c r="S32" i="9"/>
  <c r="T32" i="9" s="1"/>
  <c r="I41" i="9"/>
  <c r="S41" i="9" s="1"/>
  <c r="T41" i="9" s="1"/>
  <c r="I42" i="9"/>
  <c r="J47" i="9"/>
  <c r="K47" i="9" s="1"/>
  <c r="I47" i="9"/>
  <c r="S47" i="9" s="1"/>
  <c r="T47" i="9" s="1"/>
  <c r="I49" i="9"/>
  <c r="S49" i="9" s="1"/>
  <c r="T49" i="9" s="1"/>
  <c r="S55" i="9"/>
  <c r="S65" i="9"/>
  <c r="T65" i="9" s="1"/>
  <c r="J72" i="9"/>
  <c r="K72" i="9" s="1"/>
  <c r="I72" i="9"/>
  <c r="S72" i="9" s="1"/>
  <c r="T72" i="9" s="1"/>
  <c r="J79" i="9"/>
  <c r="K79" i="9" s="1"/>
  <c r="I79" i="9"/>
  <c r="I81" i="9"/>
  <c r="S81" i="9" s="1"/>
  <c r="T81" i="9" s="1"/>
  <c r="I43" i="9"/>
  <c r="J60" i="9"/>
  <c r="K60" i="9" s="1"/>
  <c r="I60" i="9"/>
  <c r="S60" i="9" s="1"/>
  <c r="T60" i="9" s="1"/>
  <c r="J67" i="9"/>
  <c r="K67" i="9" s="1"/>
  <c r="I67" i="9"/>
  <c r="S67" i="9" s="1"/>
  <c r="T67" i="9" s="1"/>
  <c r="I69" i="9"/>
  <c r="S69" i="9" s="1"/>
  <c r="T69" i="9" s="1"/>
  <c r="I97" i="9"/>
  <c r="S97" i="9" s="1"/>
  <c r="T97" i="9" s="1"/>
  <c r="I30" i="9"/>
  <c r="S30" i="9" s="1"/>
  <c r="T30" i="9" s="1"/>
  <c r="J48" i="9"/>
  <c r="K48" i="9" s="1"/>
  <c r="I48" i="9"/>
  <c r="S48" i="9" s="1"/>
  <c r="T48" i="9" s="1"/>
  <c r="J55" i="9"/>
  <c r="K55" i="9" s="1"/>
  <c r="I55" i="9"/>
  <c r="J87" i="9"/>
  <c r="K87" i="9" s="1"/>
  <c r="I87" i="9"/>
  <c r="S87" i="9" s="1"/>
  <c r="T87" i="9" s="1"/>
  <c r="S101" i="9"/>
  <c r="J107" i="9"/>
  <c r="K107" i="9" s="1"/>
  <c r="I107" i="9"/>
  <c r="S107" i="9" s="1"/>
  <c r="T107" i="9" s="1"/>
  <c r="S115" i="9"/>
  <c r="T115" i="9" s="1"/>
  <c r="J117" i="9"/>
  <c r="K117" i="9" s="1"/>
  <c r="I117" i="9"/>
  <c r="S117" i="9" s="1"/>
  <c r="T117" i="9" s="1"/>
  <c r="I27" i="9"/>
  <c r="H35" i="5"/>
  <c r="I46" i="9"/>
  <c r="S46" i="9" s="1"/>
  <c r="T46" i="9" s="1"/>
  <c r="I58" i="9"/>
  <c r="S58" i="9" s="1"/>
  <c r="T58" i="9" s="1"/>
  <c r="J80" i="9"/>
  <c r="K80" i="9" s="1"/>
  <c r="I80" i="9"/>
  <c r="S80" i="9" s="1"/>
  <c r="T80" i="9" s="1"/>
  <c r="J111" i="9"/>
  <c r="K111" i="9" s="1"/>
  <c r="I111" i="9"/>
  <c r="S111" i="9" s="1"/>
  <c r="T111" i="9" s="1"/>
  <c r="I9" i="6"/>
  <c r="E25" i="6"/>
  <c r="E15" i="9"/>
  <c r="Q23" i="9"/>
  <c r="I31" i="9"/>
  <c r="S31" i="9" s="1"/>
  <c r="T31" i="9" s="1"/>
  <c r="S38" i="9"/>
  <c r="T38" i="9" s="1"/>
  <c r="S51" i="9"/>
  <c r="T51" i="9" s="1"/>
  <c r="S61" i="9"/>
  <c r="T61" i="9" s="1"/>
  <c r="J68" i="9"/>
  <c r="K68" i="9" s="1"/>
  <c r="I68" i="9"/>
  <c r="S68" i="9" s="1"/>
  <c r="T68" i="9" s="1"/>
  <c r="J75" i="9"/>
  <c r="K75" i="9" s="1"/>
  <c r="I75" i="9"/>
  <c r="S75" i="9" s="1"/>
  <c r="T75" i="9" s="1"/>
  <c r="I77" i="9"/>
  <c r="S77" i="9" s="1"/>
  <c r="T77" i="9" s="1"/>
  <c r="S83" i="9"/>
  <c r="S99" i="9"/>
  <c r="T99" i="9" s="1"/>
  <c r="J56" i="9"/>
  <c r="K56" i="9" s="1"/>
  <c r="I56" i="9"/>
  <c r="M13" i="12"/>
  <c r="P13" i="12" s="1"/>
  <c r="I119" i="9"/>
  <c r="S119" i="9" s="1"/>
  <c r="T119" i="9" s="1"/>
  <c r="M20" i="12"/>
  <c r="M18" i="12" s="1"/>
  <c r="P18" i="12" s="1"/>
  <c r="P21" i="12"/>
  <c r="P20" i="12" s="1"/>
  <c r="I93" i="9"/>
  <c r="S93" i="9" s="1"/>
  <c r="T93" i="9" s="1"/>
  <c r="I109" i="9"/>
  <c r="S109" i="9" s="1"/>
  <c r="T109" i="9" s="1"/>
  <c r="J20" i="12"/>
  <c r="J18" i="12" s="1"/>
  <c r="J13" i="12" s="1"/>
  <c r="E30" i="6" l="1"/>
  <c r="E31" i="6"/>
  <c r="F23" i="9"/>
  <c r="H23" i="9" s="1"/>
  <c r="F24" i="9"/>
  <c r="H24" i="9" s="1"/>
  <c r="T83" i="9"/>
  <c r="R23" i="9"/>
  <c r="T55" i="9"/>
  <c r="T101" i="9"/>
  <c r="J24" i="9" l="1"/>
  <c r="K24" i="9" s="1"/>
  <c r="R24" i="9"/>
  <c r="I24" i="9"/>
  <c r="D15" i="9"/>
  <c r="D19" i="3" s="1"/>
  <c r="J23" i="9"/>
  <c r="K23" i="9" s="1"/>
  <c r="I23" i="9"/>
  <c r="D16" i="9" l="1"/>
  <c r="S23" i="9"/>
  <c r="E19" i="3"/>
  <c r="E30" i="3" s="1"/>
  <c r="D30" i="3"/>
  <c r="S24" i="9"/>
  <c r="T24" i="9" s="1"/>
  <c r="D32" i="3" l="1"/>
  <c r="E32" i="3" s="1"/>
  <c r="D17" i="9"/>
  <c r="D18" i="9" s="1"/>
  <c r="T23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cellMetadata count="1">
    <bk>
      <rc t="1" v="0"/>
    </bk>
  </cellMetadata>
  <valueMetadata count="1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</valueMetadata>
</metadata>
</file>

<file path=xl/sharedStrings.xml><?xml version="1.0" encoding="utf-8"?>
<sst xmlns="http://schemas.openxmlformats.org/spreadsheetml/2006/main" count="543" uniqueCount="355">
  <si>
    <t>V1.4</t>
  </si>
  <si>
    <t>General Instructions</t>
  </si>
  <si>
    <r>
      <t xml:space="preserve">All </t>
    </r>
    <r>
      <rPr>
        <b/>
        <sz val="11"/>
        <color rgb="FF0070C0"/>
        <rFont val="Aptos Narrow"/>
        <family val="2"/>
        <scheme val="minor"/>
      </rPr>
      <t>blue</t>
    </r>
    <r>
      <rPr>
        <b/>
        <sz val="11"/>
        <color rgb="FF000000"/>
        <rFont val="Aptos Narrow"/>
        <family val="2"/>
        <scheme val="minor"/>
      </rPr>
      <t xml:space="preserve"> </t>
    </r>
    <r>
      <rPr>
        <sz val="11"/>
        <color rgb="FF000000"/>
        <rFont val="Aptos Narrow"/>
        <family val="2"/>
        <scheme val="minor"/>
      </rPr>
      <t xml:space="preserve">cells should be completed in the </t>
    </r>
    <r>
      <rPr>
        <b/>
        <sz val="11"/>
        <color rgb="FF0070C0"/>
        <rFont val="Aptos Narrow"/>
        <family val="2"/>
        <scheme val="minor"/>
      </rPr>
      <t>Fee Summary</t>
    </r>
    <r>
      <rPr>
        <sz val="11"/>
        <color rgb="FF000000"/>
        <rFont val="Aptos Narrow"/>
        <family val="2"/>
        <scheme val="minor"/>
      </rPr>
      <t>,</t>
    </r>
    <r>
      <rPr>
        <b/>
        <sz val="11"/>
        <color rgb="FF0070C0"/>
        <rFont val="Aptos Narrow"/>
        <family val="2"/>
        <scheme val="minor"/>
      </rPr>
      <t xml:space="preserve"> Local PRF Calculator</t>
    </r>
    <r>
      <rPr>
        <sz val="11"/>
        <color rgb="FF000000"/>
        <rFont val="Aptos Narrow"/>
        <family val="2"/>
        <scheme val="minor"/>
      </rPr>
      <t xml:space="preserve"> and </t>
    </r>
    <r>
      <rPr>
        <b/>
        <sz val="11"/>
        <color rgb="FF0070C0"/>
        <rFont val="Aptos Narrow"/>
        <family val="2"/>
        <scheme val="minor"/>
      </rPr>
      <t>BAH Perf Fee Reconciliations tabs</t>
    </r>
    <r>
      <rPr>
        <sz val="11"/>
        <color rgb="FF000000"/>
        <rFont val="Aptos Narrow"/>
        <family val="2"/>
        <scheme val="minor"/>
      </rPr>
      <t>.</t>
    </r>
  </si>
  <si>
    <r>
      <t xml:space="preserve">Responsibility for completion of each entry is defined below by </t>
    </r>
    <r>
      <rPr>
        <b/>
        <sz val="11"/>
        <color rgb="FF7030A0"/>
        <rFont val="Aptos Narrow"/>
        <family val="2"/>
        <scheme val="minor"/>
      </rPr>
      <t>[Team]</t>
    </r>
    <r>
      <rPr>
        <sz val="11"/>
        <color rgb="FF000000"/>
        <rFont val="Aptos Narrow"/>
        <family val="2"/>
        <scheme val="minor"/>
      </rPr>
      <t xml:space="preserve"> as relevant</t>
    </r>
  </si>
  <si>
    <r>
      <t xml:space="preserve">Local Fee Calculator inputs should be copied into the </t>
    </r>
    <r>
      <rPr>
        <b/>
        <sz val="11"/>
        <color rgb="FF4EA72E"/>
        <rFont val="Aptos Narrow"/>
        <family val="2"/>
      </rPr>
      <t xml:space="preserve">Local FTE Model </t>
    </r>
    <r>
      <rPr>
        <sz val="11"/>
        <color rgb="FF000000"/>
        <rFont val="Aptos Narrow"/>
        <family val="2"/>
      </rPr>
      <t xml:space="preserve">/ </t>
    </r>
    <r>
      <rPr>
        <b/>
        <sz val="11"/>
        <color rgb="FF4EA72E"/>
        <rFont val="Aptos Narrow"/>
        <family val="2"/>
      </rPr>
      <t xml:space="preserve">Local Commission Model tab </t>
    </r>
    <r>
      <rPr>
        <sz val="11"/>
        <color rgb="FF000000"/>
        <rFont val="Aptos Narrow"/>
        <family val="2"/>
      </rPr>
      <t xml:space="preserve">as appropriate (based on local market fee structure) </t>
    </r>
    <r>
      <rPr>
        <b/>
        <sz val="11"/>
        <color rgb="FF7030A0"/>
        <rFont val="Aptos Narrow"/>
        <family val="2"/>
      </rPr>
      <t>[Local Finance Team]</t>
    </r>
  </si>
  <si>
    <r>
      <rPr>
        <b/>
        <sz val="11"/>
        <color rgb="FF000000"/>
        <rFont val="Aptos Narrow"/>
        <family val="2"/>
      </rPr>
      <t>FX Rates tab</t>
    </r>
    <r>
      <rPr>
        <sz val="11"/>
        <color rgb="FF000000"/>
        <rFont val="Aptos Narrow"/>
        <family val="2"/>
      </rPr>
      <t xml:space="preserve"> to be updated at start of year to reflect latest VWG FX rates</t>
    </r>
  </si>
  <si>
    <t>Fee Summary</t>
  </si>
  <si>
    <r>
      <rPr>
        <b/>
        <sz val="11"/>
        <color rgb="FF0070C0"/>
        <rFont val="Aptos Narrow"/>
        <family val="2"/>
        <scheme val="minor"/>
      </rPr>
      <t>Year, Brand, Market &amp; Date updated [E5-E8]</t>
    </r>
    <r>
      <rPr>
        <sz val="11"/>
        <color rgb="FF0070C0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should be checked to ensure accuracy if revising a previously completed template.</t>
    </r>
    <r>
      <rPr>
        <sz val="11"/>
        <color rgb="FF0070C0"/>
        <rFont val="Aptos Narrow"/>
        <family val="2"/>
        <scheme val="minor"/>
      </rPr>
      <t xml:space="preserve"> </t>
    </r>
    <r>
      <rPr>
        <b/>
        <sz val="11"/>
        <color rgb="FF7030A0"/>
        <rFont val="Aptos Narrow"/>
        <family val="2"/>
        <scheme val="minor"/>
      </rPr>
      <t>[All Users]</t>
    </r>
  </si>
  <si>
    <r>
      <rPr>
        <b/>
        <sz val="11"/>
        <color rgb="FF0070C0"/>
        <rFont val="Aptos Narrow"/>
        <family val="2"/>
        <scheme val="minor"/>
      </rPr>
      <t>Market Fee Type [E10]</t>
    </r>
    <r>
      <rPr>
        <sz val="11"/>
        <color rgb="FF0070C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to be defined based on locally agreed terms.</t>
    </r>
    <r>
      <rPr>
        <sz val="11"/>
        <color rgb="FF0070C0"/>
        <rFont val="Aptos Narrow"/>
        <family val="2"/>
        <scheme val="minor"/>
      </rPr>
      <t xml:space="preserve"> </t>
    </r>
    <r>
      <rPr>
        <b/>
        <sz val="11"/>
        <color rgb="FF7030A0"/>
        <rFont val="Aptos Narrow"/>
        <family val="2"/>
        <scheme val="minor"/>
      </rPr>
      <t>[Local Account Team / Finance]</t>
    </r>
  </si>
  <si>
    <t>Local PRF Calculator</t>
  </si>
  <si>
    <r>
      <rPr>
        <b/>
        <sz val="11"/>
        <color rgb="FF0070C0"/>
        <rFont val="Aptos Narrow"/>
        <family val="2"/>
        <scheme val="minor"/>
      </rPr>
      <t>Service Scores [J6-J8]</t>
    </r>
    <r>
      <rPr>
        <sz val="11"/>
        <color rgb="FF00B0F0"/>
        <rFont val="Aptos Narrow"/>
        <family val="2"/>
        <scheme val="minor"/>
      </rPr>
      <t xml:space="preserve"> </t>
    </r>
    <r>
      <rPr>
        <sz val="11"/>
        <color rgb="FF000000"/>
        <rFont val="Aptos Narrow"/>
        <family val="2"/>
        <scheme val="minor"/>
      </rPr>
      <t>- to be completed based on outcomes of biannual service surveys. Both scores are required for Service related components of the fee to calculate through.</t>
    </r>
    <r>
      <rPr>
        <sz val="11"/>
        <color rgb="FF0070C0"/>
        <rFont val="Aptos Narrow"/>
        <family val="2"/>
        <scheme val="minor"/>
      </rPr>
      <t xml:space="preserve"> </t>
    </r>
    <r>
      <rPr>
        <b/>
        <sz val="11"/>
        <color rgb="FF7030A0"/>
        <rFont val="Aptos Narrow"/>
        <family val="2"/>
        <scheme val="minor"/>
      </rPr>
      <t>[Global Account Team]</t>
    </r>
  </si>
  <si>
    <r>
      <rPr>
        <b/>
        <sz val="11"/>
        <color rgb="FF0070C0"/>
        <rFont val="Aptos Narrow"/>
        <family val="2"/>
        <scheme val="minor"/>
      </rPr>
      <t>Media Pricing Delivery [I13-J14]</t>
    </r>
    <r>
      <rPr>
        <sz val="11"/>
        <color rgb="FF00B0F0"/>
        <rFont val="Aptos Narrow"/>
        <family val="2"/>
        <scheme val="minor"/>
      </rPr>
      <t xml:space="preserve"> </t>
    </r>
    <r>
      <rPr>
        <sz val="11"/>
        <color rgb="FF000000"/>
        <rFont val="Aptos Narrow"/>
        <family val="2"/>
        <scheme val="minor"/>
      </rPr>
      <t>- select Actual or Forecast to indicate whether result reflects final audited position and input % delivery. Prior to audit, OMG Global Investment can provide YTD / Forecast positions to allow a forecast bonus position to be calculated. Post-Audit, the EBQ aligned position can be input to finalise bonus position.</t>
    </r>
    <r>
      <rPr>
        <sz val="11"/>
        <color rgb="FF0070C0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Confirmation of Addressibility required to access Pricing related components.</t>
    </r>
    <r>
      <rPr>
        <sz val="11"/>
        <color rgb="FF0070C0"/>
        <rFont val="Aptos Narrow"/>
        <family val="2"/>
        <scheme val="minor"/>
      </rPr>
      <t xml:space="preserve"> </t>
    </r>
    <r>
      <rPr>
        <b/>
        <sz val="11"/>
        <color rgb="FF7030A0"/>
        <rFont val="Aptos Narrow"/>
        <family val="2"/>
        <scheme val="minor"/>
      </rPr>
      <t>[Global Investment Team]</t>
    </r>
  </si>
  <si>
    <r>
      <rPr>
        <b/>
        <sz val="11"/>
        <color rgb="FF0070C0"/>
        <rFont val="Aptos Narrow"/>
        <family val="2"/>
        <scheme val="minor"/>
      </rPr>
      <t>Digital Guidelines Gate [E21]</t>
    </r>
    <r>
      <rPr>
        <sz val="11"/>
        <color rgb="FF00B0F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will autopopulate based on whether Digital Guidelines have been met</t>
    </r>
    <r>
      <rPr>
        <sz val="11"/>
        <color rgb="FF0070C0"/>
        <rFont val="Aptos Narrow"/>
        <family val="2"/>
        <scheme val="minor"/>
      </rPr>
      <t xml:space="preserve"> </t>
    </r>
    <r>
      <rPr>
        <b/>
        <sz val="11"/>
        <color rgb="FF7030A0"/>
        <rFont val="Aptos Narrow"/>
        <family val="2"/>
        <scheme val="minor"/>
      </rPr>
      <t>[BAH Compliance Team]</t>
    </r>
  </si>
  <si>
    <r>
      <rPr>
        <b/>
        <sz val="11"/>
        <color rgb="FF0070C0"/>
        <rFont val="Aptos Narrow"/>
        <family val="2"/>
        <scheme val="minor"/>
      </rPr>
      <t>Digital Activation Hub Gate [E22]</t>
    </r>
    <r>
      <rPr>
        <sz val="11"/>
        <rFont val="Aptos Narrow"/>
        <family val="2"/>
        <scheme val="minor"/>
      </rPr>
      <t xml:space="preserve"> will autopopulate based on inputs in "Biddable reconciliations (LC) tab.</t>
    </r>
  </si>
  <si>
    <r>
      <rPr>
        <b/>
        <sz val="11"/>
        <color rgb="FF0070C0"/>
        <rFont val="Aptos Narrow"/>
        <family val="2"/>
        <scheme val="minor"/>
      </rPr>
      <t>Brand Affordability Gate [E23]</t>
    </r>
    <r>
      <rPr>
        <sz val="11"/>
        <color rgb="FF0070C0"/>
        <rFont val="Aptos Narrow"/>
        <family val="2"/>
        <scheme val="minor"/>
      </rPr>
      <t xml:space="preserve"> </t>
    </r>
    <r>
      <rPr>
        <sz val="11"/>
        <color rgb="FF000000"/>
        <rFont val="Aptos Narrow"/>
        <family val="2"/>
        <scheme val="minor"/>
      </rPr>
      <t>- to be completed by global account team based on &lt;Brand&gt; achievement of profit goals.</t>
    </r>
    <r>
      <rPr>
        <sz val="11"/>
        <color rgb="FF0070C0"/>
        <rFont val="Aptos Narrow"/>
        <family val="2"/>
        <scheme val="minor"/>
      </rPr>
      <t xml:space="preserve"> </t>
    </r>
    <r>
      <rPr>
        <b/>
        <sz val="11"/>
        <color rgb="FF7030A0"/>
        <rFont val="Aptos Narrow"/>
        <family val="2"/>
        <scheme val="minor"/>
      </rPr>
      <t>[Global Account Team]</t>
    </r>
  </si>
  <si>
    <r>
      <rPr>
        <b/>
        <sz val="11"/>
        <color rgb="FF0070C0"/>
        <rFont val="Aptos Narrow"/>
        <family val="2"/>
        <scheme val="minor"/>
      </rPr>
      <t>Media Price Savings Gate [E24]</t>
    </r>
    <r>
      <rPr>
        <sz val="11"/>
        <color rgb="FF0070C0"/>
        <rFont val="Aptos Narrow"/>
        <family val="2"/>
        <scheme val="minor"/>
      </rPr>
      <t xml:space="preserve"> </t>
    </r>
    <r>
      <rPr>
        <sz val="11"/>
        <color rgb="FF000000"/>
        <rFont val="Aptos Narrow"/>
        <family val="2"/>
        <scheme val="minor"/>
      </rPr>
      <t>- only applicable in 2025. To be confirmed by OMG Global Investment / Auditor following audit alignment.</t>
    </r>
    <r>
      <rPr>
        <sz val="11"/>
        <color rgb="FF0070C0"/>
        <rFont val="Aptos Narrow"/>
        <family val="2"/>
        <scheme val="minor"/>
      </rPr>
      <t xml:space="preserve"> </t>
    </r>
    <r>
      <rPr>
        <b/>
        <sz val="11"/>
        <color rgb="FF7030A0"/>
        <rFont val="Aptos Narrow"/>
        <family val="2"/>
        <scheme val="minor"/>
      </rPr>
      <t>[Global Investment Team]</t>
    </r>
  </si>
  <si>
    <t>"Yes" required against all Bonus Gates to unlock Bonus Components.</t>
  </si>
  <si>
    <t>Digital Media Guidelines</t>
  </si>
  <si>
    <t>[All entries: BAH Compliance team to complete]</t>
  </si>
  <si>
    <t>Copy all information from DMG Compliance Report into tab</t>
  </si>
  <si>
    <t>BusinessBrand KPIs</t>
  </si>
  <si>
    <t>[All entries: Local Account Team]</t>
  </si>
  <si>
    <r>
      <t xml:space="preserve">Aligned brand </t>
    </r>
    <r>
      <rPr>
        <b/>
        <sz val="11"/>
        <color rgb="FF0070C0"/>
        <rFont val="Aptos Narrow"/>
        <family val="2"/>
        <scheme val="minor"/>
      </rPr>
      <t>KPI Name and KPI Definitions [Columns C &amp;D]</t>
    </r>
    <r>
      <rPr>
        <sz val="11"/>
        <color theme="1"/>
        <rFont val="Aptos Narrow"/>
        <family val="2"/>
        <scheme val="minor"/>
      </rPr>
      <t xml:space="preserve"> to be completed, along with </t>
    </r>
    <r>
      <rPr>
        <b/>
        <sz val="11"/>
        <color rgb="FF0070C0"/>
        <rFont val="Aptos Narrow"/>
        <family val="2"/>
        <scheme val="minor"/>
      </rPr>
      <t>Source of Truth [Column E]</t>
    </r>
    <r>
      <rPr>
        <sz val="11"/>
        <color theme="1"/>
        <rFont val="Aptos Narrow"/>
        <family val="2"/>
        <scheme val="minor"/>
      </rPr>
      <t xml:space="preserve"> defined based on overall measurement platform/source for delivery</t>
    </r>
  </si>
  <si>
    <r>
      <rPr>
        <b/>
        <sz val="11"/>
        <color rgb="FF0070C0"/>
        <rFont val="Aptos Narrow"/>
        <family val="2"/>
        <scheme val="minor"/>
      </rPr>
      <t>Weight [Column F]</t>
    </r>
    <r>
      <rPr>
        <sz val="11"/>
        <color theme="1"/>
        <rFont val="Aptos Narrow"/>
        <family val="2"/>
        <scheme val="minor"/>
      </rPr>
      <t xml:space="preserve"> must add up to 12.5%</t>
    </r>
  </si>
  <si>
    <r>
      <rPr>
        <b/>
        <sz val="11"/>
        <color rgb="FF0070C0"/>
        <rFont val="Aptos Narrow"/>
        <family val="2"/>
        <scheme val="minor"/>
      </rPr>
      <t>Previous year / previous period achievement of benchmark, Expected over achievement % &amp; This year's target [Columns G-I]</t>
    </r>
    <r>
      <rPr>
        <sz val="11"/>
        <color theme="1"/>
        <rFont val="Aptos Narrow"/>
        <family val="2"/>
        <scheme val="minor"/>
      </rPr>
      <t xml:space="preserve"> to be completed when KPIs aligned</t>
    </r>
  </si>
  <si>
    <r>
      <rPr>
        <b/>
        <sz val="11"/>
        <color rgb="FF0070C0"/>
        <rFont val="Aptos Narrow"/>
        <family val="2"/>
        <scheme val="minor"/>
      </rPr>
      <t>Delivery [Column J]</t>
    </r>
    <r>
      <rPr>
        <sz val="11"/>
        <color theme="1"/>
        <rFont val="Aptos Narrow"/>
        <family val="2"/>
        <scheme val="minor"/>
      </rPr>
      <t xml:space="preserve"> to be completed with forecasts as required and actual results at year end</t>
    </r>
  </si>
  <si>
    <r>
      <rPr>
        <b/>
        <sz val="11"/>
        <color rgb="FF0070C0"/>
        <rFont val="Aptos Narrow"/>
        <family val="2"/>
        <scheme val="minor"/>
      </rPr>
      <t>Bonus Earned [Column K]</t>
    </r>
    <r>
      <rPr>
        <sz val="11"/>
        <color theme="1"/>
        <rFont val="Aptos Narrow"/>
        <family val="2"/>
        <scheme val="minor"/>
      </rPr>
      <t xml:space="preserve"> will autocomplete on the basis of Delivery being greater than target. Formulas should only be updated in cases where KPI is expected to come UNDER target (e.g. cost per KPIs)</t>
    </r>
  </si>
  <si>
    <t>BAH perf Fee Reconciliations</t>
  </si>
  <si>
    <r>
      <t xml:space="preserve">Each campaign should be completed in a new row - ensure all "EXAMPLE" campaigns are overwritten or removed. </t>
    </r>
    <r>
      <rPr>
        <b/>
        <sz val="11"/>
        <color rgb="FF7030A0"/>
        <rFont val="Aptos Narrow"/>
        <family val="2"/>
        <scheme val="minor"/>
      </rPr>
      <t>[All entries: Local PHD Team] (info via DTO/BAH teams)</t>
    </r>
  </si>
  <si>
    <r>
      <rPr>
        <b/>
        <sz val="11"/>
        <color rgb="FF0070C0"/>
        <rFont val="Aptos Narrow"/>
        <family val="2"/>
        <scheme val="minor"/>
      </rPr>
      <t>Campaign Details [Columns B-E]</t>
    </r>
    <r>
      <rPr>
        <sz val="11"/>
        <color theme="1"/>
        <rFont val="Aptos Narrow"/>
        <family val="2"/>
        <scheme val="minor"/>
      </rPr>
      <t xml:space="preserve"> name, Campaign Type, Channel &amp; budget to be completed</t>
    </r>
  </si>
  <si>
    <r>
      <t xml:space="preserve">Commission levels will reflect the year selected in the </t>
    </r>
    <r>
      <rPr>
        <b/>
        <sz val="11"/>
        <color rgb="FF0070C0"/>
        <rFont val="Aptos Narrow"/>
        <family val="2"/>
        <scheme val="minor"/>
      </rPr>
      <t>Fee Summary</t>
    </r>
    <r>
      <rPr>
        <sz val="11"/>
        <color theme="1"/>
        <rFont val="Aptos Narrow"/>
        <family val="2"/>
        <scheme val="minor"/>
      </rPr>
      <t xml:space="preserve"> tab</t>
    </r>
  </si>
  <si>
    <r>
      <rPr>
        <b/>
        <sz val="11"/>
        <color rgb="FF0070C0"/>
        <rFont val="Aptos Narrow"/>
        <family val="2"/>
        <scheme val="minor"/>
      </rPr>
      <t>Metric Measure and Target [Columns L-M]</t>
    </r>
    <r>
      <rPr>
        <sz val="11"/>
        <color theme="1"/>
        <rFont val="Aptos Narrow"/>
        <family val="2"/>
        <scheme val="minor"/>
      </rPr>
      <t xml:space="preserve"> should reflect those agreed at time of planning/briefing</t>
    </r>
  </si>
  <si>
    <r>
      <rPr>
        <b/>
        <sz val="11"/>
        <color rgb="FF0070C0"/>
        <rFont val="Aptos Narrow"/>
        <family val="2"/>
        <scheme val="minor"/>
      </rPr>
      <t>Result [Column N]</t>
    </r>
    <r>
      <rPr>
        <sz val="11"/>
        <color theme="1"/>
        <rFont val="Aptos Narrow"/>
        <family val="2"/>
        <scheme val="minor"/>
      </rPr>
      <t xml:space="preserve"> to reflect the final post-campaign outcomes</t>
    </r>
  </si>
  <si>
    <r>
      <rPr>
        <b/>
        <sz val="11"/>
        <color rgb="FF0070C0"/>
        <rFont val="Aptos Narrow"/>
        <family val="2"/>
        <scheme val="minor"/>
      </rPr>
      <t>Campaign included in Measurement? [Column P]</t>
    </r>
    <r>
      <rPr>
        <sz val="11"/>
        <color theme="1"/>
        <rFont val="Aptos Narrow"/>
        <family val="2"/>
        <scheme val="minor"/>
      </rPr>
      <t xml:space="preserve"> will automatically read "No" for campaigns under €30k, otherwise please only mark as "No" in event campaign is agreed to be excluded.</t>
    </r>
  </si>
  <si>
    <r>
      <rPr>
        <b/>
        <sz val="11"/>
        <color theme="1"/>
        <rFont val="Aptos Narrow"/>
        <family val="2"/>
        <scheme val="minor"/>
      </rPr>
      <t>FOR 2025 ONLY</t>
    </r>
    <r>
      <rPr>
        <sz val="11"/>
        <color theme="1"/>
        <rFont val="Aptos Narrow"/>
        <family val="2"/>
        <scheme val="minor"/>
      </rPr>
      <t xml:space="preserve"> - please also mark this as "No" for any campaigns active on or after 1st July 2025.</t>
    </r>
  </si>
  <si>
    <r>
      <rPr>
        <b/>
        <sz val="11"/>
        <color rgb="FF0070C0"/>
        <rFont val="Aptos Narrow"/>
        <family val="2"/>
        <scheme val="minor"/>
      </rPr>
      <t>Campaign Reconciled? [Column U]</t>
    </r>
    <r>
      <rPr>
        <sz val="11"/>
        <color theme="1"/>
        <rFont val="Aptos Narrow"/>
        <family val="2"/>
        <scheme val="minor"/>
      </rPr>
      <t xml:space="preserve"> to be used to track where any relevant </t>
    </r>
    <r>
      <rPr>
        <b/>
        <sz val="11"/>
        <color rgb="FF0070C0"/>
        <rFont val="Aptos Narrow"/>
        <family val="2"/>
        <scheme val="minor"/>
      </rPr>
      <t>Reconciled Campaign Payment [Column AA]</t>
    </r>
    <r>
      <rPr>
        <sz val="11"/>
        <color theme="1"/>
        <rFont val="Aptos Narrow"/>
        <family val="2"/>
        <scheme val="minor"/>
      </rPr>
      <t xml:space="preserve"> has been billed to client</t>
    </r>
  </si>
  <si>
    <t>Please complete all highlighted cells</t>
  </si>
  <si>
    <t>Year</t>
  </si>
  <si>
    <t>Brand</t>
  </si>
  <si>
    <t>Porsche</t>
  </si>
  <si>
    <t>Market</t>
  </si>
  <si>
    <t>Australia</t>
  </si>
  <si>
    <t>Date Updated</t>
  </si>
  <si>
    <t>FX Rate (LC to EUR)</t>
  </si>
  <si>
    <t>Market Fee Type</t>
  </si>
  <si>
    <t>FTE/Commission?</t>
  </si>
  <si>
    <t>Local Fee</t>
  </si>
  <si>
    <t>Local Currency</t>
  </si>
  <si>
    <t>EUR</t>
  </si>
  <si>
    <t>Local Nominal Fee (Total Committed fee)</t>
  </si>
  <si>
    <t>Biddable Activation Hub (BAH) Fee</t>
  </si>
  <si>
    <t>BAH Nominal Fee (Total Commission exc Ad Ops Levy)</t>
  </si>
  <si>
    <t xml:space="preserve">VWG Transformation 2025: FTE Calculator </t>
  </si>
  <si>
    <t>FX Rate</t>
  </si>
  <si>
    <t>Scope</t>
  </si>
  <si>
    <t>Department/Specialism</t>
  </si>
  <si>
    <t>Staff Level</t>
  </si>
  <si>
    <t>Title</t>
  </si>
  <si>
    <t>Total 2025 Rate Card
(LC)</t>
  </si>
  <si>
    <t>2025 Agreed FTE %</t>
  </si>
  <si>
    <t>2025 Agreed Fee</t>
  </si>
  <si>
    <t>2026 Agreed FTE %</t>
  </si>
  <si>
    <t>2026 Agreed Fee</t>
  </si>
  <si>
    <t>Variance FTE%</t>
  </si>
  <si>
    <t>Variance Fee (LC)</t>
  </si>
  <si>
    <t>Total Fees</t>
  </si>
  <si>
    <t>In-Scope Biddable (via %Commissions)</t>
  </si>
  <si>
    <t>linked to external file. But will be re-populated by finance team anyway</t>
  </si>
  <si>
    <t xml:space="preserve">In-Scope Central Data AdOps (via %Levy) </t>
  </si>
  <si>
    <t>Local fees with 2026 Discount on Base Remuneration</t>
  </si>
  <si>
    <t>Local Fees</t>
  </si>
  <si>
    <t>In-Scope FTE Local</t>
  </si>
  <si>
    <t>Media Leadership, Process Management &amp; Coordination</t>
  </si>
  <si>
    <t>Director</t>
  </si>
  <si>
    <t>Group Client Director</t>
  </si>
  <si>
    <t>Media Planning</t>
  </si>
  <si>
    <t>Senior</t>
  </si>
  <si>
    <t>Senior Planning / Strategy /Operations Manager</t>
  </si>
  <si>
    <t>Manager</t>
  </si>
  <si>
    <t>Planning / Strategy / Operations Manager</t>
  </si>
  <si>
    <t>Junior</t>
  </si>
  <si>
    <t>Planning / Strategy / Operations Executive/ Analyst</t>
  </si>
  <si>
    <t xml:space="preserve">Media Buying 
Above The Line 
(ATL) </t>
  </si>
  <si>
    <t>Planning / Strategy / Operations Director</t>
  </si>
  <si>
    <t>KPI Audit</t>
  </si>
  <si>
    <t>Account Manager</t>
  </si>
  <si>
    <t>Account Exec</t>
  </si>
  <si>
    <t xml:space="preserve">VWG Transformation 2025: Commission Calculator </t>
  </si>
  <si>
    <t>Local - Biddable for non-Hubbed Markets</t>
  </si>
  <si>
    <t>Offline</t>
  </si>
  <si>
    <t>Online-Display</t>
  </si>
  <si>
    <t>Search</t>
  </si>
  <si>
    <t>Social</t>
  </si>
  <si>
    <t>Programmatic</t>
  </si>
  <si>
    <t>Total Local (LC)</t>
  </si>
  <si>
    <t>Spend (LC)</t>
  </si>
  <si>
    <t>Commission Rate %</t>
  </si>
  <si>
    <t>Commission Fees (LC)</t>
  </si>
  <si>
    <t>3rd Party Tech Data Fees (pass through)</t>
  </si>
  <si>
    <t>Biddable Activation Hub (BAH)</t>
  </si>
  <si>
    <t>Central Biddable (LC)</t>
  </si>
  <si>
    <t>3rd Party Tech Data Fees (pass through examples- Campaign Manager, GOA, SA360, Smartly)</t>
  </si>
  <si>
    <t>Digital Tax (Google&amp;Amazon)</t>
  </si>
  <si>
    <t>Governance Costs (Example - IAS, Sccope3)</t>
  </si>
  <si>
    <t>AdOps Fees (LC)</t>
  </si>
  <si>
    <t>Biddable Revenue (LC)</t>
  </si>
  <si>
    <t>Service Scores</t>
  </si>
  <si>
    <t>Total Fee Earned (% of Nominal Fee)</t>
  </si>
  <si>
    <t>Nominal Fee Component</t>
  </si>
  <si>
    <t>% Fee Available</t>
  </si>
  <si>
    <t>% Fee Achieved</t>
  </si>
  <si>
    <t>Media Pricing Delivery</t>
  </si>
  <si>
    <t>On Target Service Delivery</t>
  </si>
  <si>
    <t>Actual Delivery (%)</t>
  </si>
  <si>
    <t>On Target Pricing</t>
  </si>
  <si>
    <t>Addressability % achieved?</t>
  </si>
  <si>
    <t>Yes/No?</t>
  </si>
  <si>
    <t>Bonus Gates</t>
  </si>
  <si>
    <t>Gate Achieved?</t>
  </si>
  <si>
    <t>Nominal Value Gate (Full nominal fee achieved)</t>
  </si>
  <si>
    <t>Digital Guidelines Gate(Compliance with Digital Guidelines)</t>
  </si>
  <si>
    <t>Digital Activation Hub Gate (Annual Biddable Media Performance)</t>
  </si>
  <si>
    <t>Media Price Savings Gate (2025 Only - global over-delivery achieved)</t>
  </si>
  <si>
    <t>Bonus Payable?</t>
  </si>
  <si>
    <t>Bonus Component</t>
  </si>
  <si>
    <t>% Bonus Allocation</t>
  </si>
  <si>
    <t>% Bonus Achieved</t>
  </si>
  <si>
    <t>Brand/Business KPI over-delivery</t>
  </si>
  <si>
    <t>Exceptional Service</t>
  </si>
  <si>
    <t>Markets</t>
  </si>
  <si>
    <t>Platforms / Source of Truth</t>
  </si>
  <si>
    <t>Biddable Platforms</t>
  </si>
  <si>
    <t>Reporting Period</t>
  </si>
  <si>
    <t>Q2 2025</t>
  </si>
  <si>
    <t>Date of report</t>
  </si>
  <si>
    <t>Principle</t>
  </si>
  <si>
    <t>Measurement Type</t>
  </si>
  <si>
    <t>Minimum Threshold</t>
  </si>
  <si>
    <t>Result</t>
  </si>
  <si>
    <t>Result vs Goal</t>
  </si>
  <si>
    <t>Hit / Miss</t>
  </si>
  <si>
    <t>Channel(s) Spend</t>
  </si>
  <si>
    <t>Non-Compliant Spend</t>
  </si>
  <si>
    <t>Campaign Naming Taxonomy</t>
  </si>
  <si>
    <t>&gt; 98% Spend to be compliant</t>
  </si>
  <si>
    <t>Ad Verification</t>
  </si>
  <si>
    <t>&gt; 90% Spend to be compliant</t>
  </si>
  <si>
    <t>Viewability</t>
  </si>
  <si>
    <t>&lt; 12% share of programmatic spend below WFA benchmarks for viewability in the market</t>
  </si>
  <si>
    <t>Brand Unsafe Delivery</t>
  </si>
  <si>
    <t>&lt; 3% share of programmatic spend on reported brand unsafe</t>
  </si>
  <si>
    <t>Working Media Rate</t>
  </si>
  <si>
    <t>Min of 83% working media rate</t>
  </si>
  <si>
    <t>Market Variable Rate (WFA Viewability Target)</t>
  </si>
  <si>
    <t>Viewability Result</t>
  </si>
  <si>
    <t>Result vs WFA Viewability Target</t>
  </si>
  <si>
    <t>Weighted Average</t>
  </si>
  <si>
    <t>Viewability - Display</t>
  </si>
  <si>
    <t>WFA Target</t>
  </si>
  <si>
    <t>Viewability - Video</t>
  </si>
  <si>
    <t>Compliance Outcome</t>
  </si>
  <si>
    <t>Spend (EUR)</t>
  </si>
  <si>
    <t>Target Compliance Spend %</t>
  </si>
  <si>
    <t>Total Biddable Spend (E2E)</t>
  </si>
  <si>
    <t>Programmatic Spend (DSP's)</t>
  </si>
  <si>
    <t>Programmatic Spend % Below Thresholds</t>
  </si>
  <si>
    <t>Total Biddable Spend Below Threshold</t>
  </si>
  <si>
    <t>Total Biddable Spend Above Threshold</t>
  </si>
  <si>
    <t>Final Compliance Result</t>
  </si>
  <si>
    <t>Aligned KPIs</t>
  </si>
  <si>
    <t>KPI Name</t>
  </si>
  <si>
    <t>KPI Definition</t>
  </si>
  <si>
    <t>Source of Truth</t>
  </si>
  <si>
    <t>Weight</t>
  </si>
  <si>
    <t>Previous year / previous period achievement or benchmark</t>
  </si>
  <si>
    <t>Expected over achievement %</t>
  </si>
  <si>
    <t>This year's target</t>
  </si>
  <si>
    <t>Delivery</t>
  </si>
  <si>
    <t>Bonus Earned</t>
  </si>
  <si>
    <t>#1</t>
  </si>
  <si>
    <t>#2</t>
  </si>
  <si>
    <t>#3</t>
  </si>
  <si>
    <t>#4</t>
  </si>
  <si>
    <t>#5</t>
  </si>
  <si>
    <t>Overall</t>
  </si>
  <si>
    <t>Social Base Commission %</t>
  </si>
  <si>
    <t>Search Base Commission %</t>
  </si>
  <si>
    <t>Programmatic Base Commission %</t>
  </si>
  <si>
    <t>100% Fee</t>
  </si>
  <si>
    <t>80% Billed</t>
  </si>
  <si>
    <t>Total Nominal Fees - BAH Exc AdOps Levy (LC)</t>
  </si>
  <si>
    <t>Total Nominal Fees - BAH Inc AdOps Levy (LC)</t>
  </si>
  <si>
    <t>Total Reconciled Fees Inc Performance  &amp; AdOps Levy (LC)</t>
  </si>
  <si>
    <t>Reconciled Performance Fees (LC)</t>
  </si>
  <si>
    <t>Campaign Details</t>
  </si>
  <si>
    <t>Total Nominal Fees (@ 100%)</t>
  </si>
  <si>
    <t>Total Billed Fees (@ 80%)</t>
  </si>
  <si>
    <t>Campaign Metrics</t>
  </si>
  <si>
    <t>Campaign Reconciliation</t>
  </si>
  <si>
    <t>Campaign Name</t>
  </si>
  <si>
    <t>Campaign Type</t>
  </si>
  <si>
    <t>Media Channel</t>
  </si>
  <si>
    <t>Budget
(LC)</t>
  </si>
  <si>
    <t>Base Commission
(%)</t>
  </si>
  <si>
    <t>AdOps Levy (LC)
(0.25% on all Digital Investments)</t>
  </si>
  <si>
    <t>Total Nominal Fee (100%)
BAH Exc AdOps Levy (LC)</t>
  </si>
  <si>
    <t>Total Base Fee (100%)
BAH Inc AdOps Levy (LC)</t>
  </si>
  <si>
    <t>Total Billed Base Fee (80%)
BAH Exc AdOps Levy (LC)</t>
  </si>
  <si>
    <t>Total Billed Base Fee (80%)
BAH Inc AdOps Levy (LC)</t>
  </si>
  <si>
    <t>Metric Measured</t>
  </si>
  <si>
    <t>Target
(LC)</t>
  </si>
  <si>
    <t>Result
(LC)</t>
  </si>
  <si>
    <t>Result
(% vs Target)</t>
  </si>
  <si>
    <t>Campaign included in Measurement?</t>
  </si>
  <si>
    <t>Campaign Performance Fee
(%)</t>
  </si>
  <si>
    <t>Campaign Performance Fee
(LC)</t>
  </si>
  <si>
    <t>Campaign Total Billings
(inc. Fees, Performance Fee &amp; Ad Ops Levy)
(LC)</t>
  </si>
  <si>
    <t>Reconciled Campaign Payment
(LC)</t>
  </si>
  <si>
    <t>Campaign Reconciled?</t>
  </si>
  <si>
    <t>EXAMPLE (Please overwrite!)</t>
  </si>
  <si>
    <t>Used Cars</t>
  </si>
  <si>
    <t>Paid Search</t>
  </si>
  <si>
    <t>Cost per Lead</t>
  </si>
  <si>
    <t>No</t>
  </si>
  <si>
    <t>Yes</t>
  </si>
  <si>
    <t>Aftersales</t>
  </si>
  <si>
    <t>Cost per reach</t>
  </si>
  <si>
    <t>New Cars</t>
  </si>
  <si>
    <t>Display</t>
  </si>
  <si>
    <t>Cost per test Drive</t>
  </si>
  <si>
    <t>Paid Social</t>
  </si>
  <si>
    <t>Select Market</t>
  </si>
  <si>
    <t>Select Year</t>
  </si>
  <si>
    <t>Actual/Forecast?</t>
  </si>
  <si>
    <t>Please Complete Summary Tab</t>
  </si>
  <si>
    <t>Affiliates</t>
  </si>
  <si>
    <t>Please Select</t>
  </si>
  <si>
    <t>Business - Sales</t>
  </si>
  <si>
    <t>APAC</t>
  </si>
  <si>
    <t>Select Brand</t>
  </si>
  <si>
    <t>FTE</t>
  </si>
  <si>
    <t>Audio (Inc. Radio)</t>
  </si>
  <si>
    <t>Business - Order Intakes</t>
  </si>
  <si>
    <t>Argentina</t>
  </si>
  <si>
    <t>Forecast Delivery (%)</t>
  </si>
  <si>
    <t>Audi</t>
  </si>
  <si>
    <t>Commission</t>
  </si>
  <si>
    <t>Brand Sponsorship &amp; Partnership</t>
  </si>
  <si>
    <t>Business - Verified Importer Leads/Sales Opportunity</t>
  </si>
  <si>
    <t>N/A</t>
  </si>
  <si>
    <t>Bentley</t>
  </si>
  <si>
    <t>Hybrid</t>
  </si>
  <si>
    <t>Cinema</t>
  </si>
  <si>
    <t>Business - Market share</t>
  </si>
  <si>
    <t>Austria</t>
  </si>
  <si>
    <t>LCV</t>
  </si>
  <si>
    <t>Connected TV (CTV)</t>
  </si>
  <si>
    <t>Brand - Aided Brand Awareness</t>
  </si>
  <si>
    <t>Canada</t>
  </si>
  <si>
    <t>MAN Energy Solutions</t>
  </si>
  <si>
    <t>Corporate Sponsorship &amp; Partnership</t>
  </si>
  <si>
    <t>Brand - Unaided Brand Awareness</t>
  </si>
  <si>
    <t>CEE</t>
  </si>
  <si>
    <t>MAN Truck &amp; Bus</t>
  </si>
  <si>
    <t>Brand - Familiarity</t>
  </si>
  <si>
    <t>Central</t>
  </si>
  <si>
    <t>Event</t>
  </si>
  <si>
    <t>Brand - Likability</t>
  </si>
  <si>
    <t>China</t>
  </si>
  <si>
    <t>Seat/Cupra</t>
  </si>
  <si>
    <t>Influencer</t>
  </si>
  <si>
    <t>Brand - Unaided Brand Consideration</t>
  </si>
  <si>
    <t>Czechia</t>
  </si>
  <si>
    <t>Skoda</t>
  </si>
  <si>
    <t>iVideo</t>
  </si>
  <si>
    <t>Brand - Web Visits</t>
  </si>
  <si>
    <t>France</t>
  </si>
  <si>
    <t>VW Brand</t>
  </si>
  <si>
    <t>Other</t>
  </si>
  <si>
    <t>Germany</t>
  </si>
  <si>
    <t>Out of Home (OOH)</t>
  </si>
  <si>
    <t>India</t>
  </si>
  <si>
    <t>Ireland</t>
  </si>
  <si>
    <t>Italy</t>
  </si>
  <si>
    <t>Print</t>
  </si>
  <si>
    <t>LATAM</t>
  </si>
  <si>
    <t>TV</t>
  </si>
  <si>
    <t>Mexico</t>
  </si>
  <si>
    <t>Middle East</t>
  </si>
  <si>
    <t>Poland</t>
  </si>
  <si>
    <t>Portugal</t>
  </si>
  <si>
    <t>Singapore</t>
  </si>
  <si>
    <t>Slovakia</t>
  </si>
  <si>
    <t>South Africa</t>
  </si>
  <si>
    <t>South Korea</t>
  </si>
  <si>
    <t>Spain</t>
  </si>
  <si>
    <t>Sweden</t>
  </si>
  <si>
    <t>Switzerland</t>
  </si>
  <si>
    <t>Taiwan</t>
  </si>
  <si>
    <t>UK</t>
  </si>
  <si>
    <t>USA</t>
  </si>
  <si>
    <t>2025 FX Rates as provided by VWG</t>
  </si>
  <si>
    <t>Country Name</t>
  </si>
  <si>
    <t>Currency Name</t>
  </si>
  <si>
    <t>Country Code</t>
  </si>
  <si>
    <t>VWG FX
(LC to EUR)</t>
  </si>
  <si>
    <t>Dollar</t>
  </si>
  <si>
    <t>SGD</t>
  </si>
  <si>
    <t>Peso</t>
  </si>
  <si>
    <t>ARS</t>
  </si>
  <si>
    <t>AUD</t>
  </si>
  <si>
    <t>Schilling</t>
  </si>
  <si>
    <t>CAD</t>
  </si>
  <si>
    <t>Euro</t>
  </si>
  <si>
    <t>Yuan (Renminbi)</t>
  </si>
  <si>
    <t>CNY</t>
  </si>
  <si>
    <t>Koruna</t>
  </si>
  <si>
    <t>CZK</t>
  </si>
  <si>
    <t>Hong Kong</t>
  </si>
  <si>
    <t>HKD</t>
  </si>
  <si>
    <t>Rupee</t>
  </si>
  <si>
    <t>INR</t>
  </si>
  <si>
    <t>Kazakhstan</t>
  </si>
  <si>
    <t>Ruble</t>
  </si>
  <si>
    <t>RUB</t>
  </si>
  <si>
    <t>USD</t>
  </si>
  <si>
    <t>Malaysia</t>
  </si>
  <si>
    <t>Ringgit</t>
  </si>
  <si>
    <t>MYR</t>
  </si>
  <si>
    <t>MXN</t>
  </si>
  <si>
    <t>Dirham</t>
  </si>
  <si>
    <t>Zloty</t>
  </si>
  <si>
    <t>PLN</t>
  </si>
  <si>
    <t>Porsche Central</t>
  </si>
  <si>
    <t>Russia</t>
  </si>
  <si>
    <t>Rand</t>
  </si>
  <si>
    <t>ZAR</t>
  </si>
  <si>
    <t>Won</t>
  </si>
  <si>
    <t>KRW</t>
  </si>
  <si>
    <t>Krona</t>
  </si>
  <si>
    <t>SEK</t>
  </si>
  <si>
    <t>Franc</t>
  </si>
  <si>
    <t>CHF</t>
  </si>
  <si>
    <t>New Dollar</t>
  </si>
  <si>
    <t>TWD</t>
  </si>
  <si>
    <t>Pound</t>
  </si>
  <si>
    <t>GBP</t>
  </si>
  <si>
    <t>Bentley Central</t>
  </si>
  <si>
    <t>SEAT/CUPRA Central</t>
  </si>
  <si>
    <t>Skoda Central</t>
  </si>
  <si>
    <t>Audi Central</t>
  </si>
  <si>
    <t>LCV Central</t>
  </si>
  <si>
    <t>MAN Energy Solutions Central</t>
  </si>
  <si>
    <t>MAN Truck &amp; Bus Central</t>
  </si>
  <si>
    <t>VW Brand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</si>
</sst>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F800]dddd\,\ mmmm\ dd\,\ yyyy"/>
    <numFmt numFmtId="165" formatCode="_(* #,##0_);_(* \(#,##0\);_(* &quot;-&quot;??_);_(@_)"/>
    <numFmt numFmtId="166" formatCode="_-[$€-2]\ * #,##0_-;\-[$€-2]\ * #,##0_-;_-[$€-2]\ * &quot;-&quot;??_-;_-@_-"/>
    <numFmt numFmtId="167" formatCode="_-* #,##0_-;\-* #,##0_-;_-* &quot;-&quot;??_-;_-@_-"/>
    <numFmt numFmtId="168" formatCode="#,##0.0"/>
    <numFmt numFmtId="169" formatCode="0.0%"/>
    <numFmt numFmtId="170" formatCode="_-[$€-2]\ * #,##0.00_-;\-[$€-2]\ * #,##0.00_-;_-[$€-2]\ * &quot;-&quot;??_-;_-@_-"/>
  </numFmts>
  <fonts count="3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4EA72E"/>
      <name val="Aptos Narrow"/>
      <family val="2"/>
    </font>
    <font>
      <b/>
      <sz val="11"/>
      <color rgb="FF7030A0"/>
      <name val="Aptos Narrow"/>
      <family val="2"/>
    </font>
    <font>
      <b/>
      <sz val="11"/>
      <color rgb="FF000000"/>
      <name val="Aptos Narrow"/>
      <family val="2"/>
    </font>
    <font>
      <sz val="28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</font>
    <font>
      <b/>
      <i/>
      <sz val="10"/>
      <color rgb="FF000000"/>
      <name val="Calibri"/>
      <family val="2"/>
    </font>
    <font>
      <i/>
      <sz val="10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name val="Aptos Narrow"/>
      <family val="2"/>
    </font>
    <font>
      <sz val="11"/>
      <color theme="9"/>
      <name val="Aptos Narrow"/>
      <family val="2"/>
    </font>
    <font>
      <sz val="11"/>
      <color rgb="FF00B050"/>
      <name val="Aptos Narrow"/>
      <family val="2"/>
    </font>
    <font>
      <sz val="11"/>
      <color rgb="FFFF0000"/>
      <name val="Aptos Narrow"/>
      <family val="2"/>
    </font>
    <font>
      <b/>
      <sz val="11"/>
      <color rgb="FF00B050"/>
      <name val="Aptos Narrow"/>
      <family val="2"/>
    </font>
    <font>
      <sz val="12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29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6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/>
    </xf>
    <xf numFmtId="9" fontId="14" fillId="0" borderId="0" xfId="2" applyFont="1" applyAlignment="1">
      <alignment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/>
    </xf>
    <xf numFmtId="0" fontId="18" fillId="0" borderId="0" xfId="0" applyFont="1" applyAlignment="1">
      <alignment vertical="center"/>
    </xf>
    <xf numFmtId="9" fontId="14" fillId="0" borderId="0" xfId="2" applyFont="1" applyAlignment="1">
      <alignment wrapText="1"/>
    </xf>
    <xf numFmtId="0" fontId="0" fillId="2" borderId="9" xfId="0" applyFill="1" applyBorder="1" applyAlignment="1">
      <alignment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3" fontId="0" fillId="2" borderId="0" xfId="0" applyNumberFormat="1" applyFill="1" applyAlignment="1" applyProtection="1">
      <alignment horizontal="center" vertical="center"/>
      <protection locked="0"/>
    </xf>
    <xf numFmtId="164" fontId="0" fillId="2" borderId="0" xfId="0" applyNumberFormat="1" applyFill="1" applyAlignment="1" applyProtection="1">
      <alignment horizontal="center" vertical="center"/>
      <protection locked="0"/>
    </xf>
    <xf numFmtId="4" fontId="0" fillId="0" borderId="0" xfId="0" applyNumberFormat="1" applyAlignment="1" applyProtection="1">
      <alignment horizontal="center" vertical="center"/>
      <protection locked="0"/>
    </xf>
    <xf numFmtId="4" fontId="0" fillId="2" borderId="0" xfId="0" applyNumberFormat="1" applyFill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3" fontId="19" fillId="3" borderId="11" xfId="0" applyNumberFormat="1" applyFont="1" applyFill="1" applyBorder="1" applyAlignment="1">
      <alignment horizontal="center" vertical="center"/>
    </xf>
    <xf numFmtId="3" fontId="19" fillId="3" borderId="12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vertical="center" wrapText="1"/>
    </xf>
    <xf numFmtId="3" fontId="19" fillId="3" borderId="14" xfId="0" applyNumberFormat="1" applyFont="1" applyFill="1" applyBorder="1" applyAlignment="1">
      <alignment horizontal="center" vertical="center"/>
    </xf>
    <xf numFmtId="3" fontId="19" fillId="3" borderId="1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3" fontId="19" fillId="0" borderId="0" xfId="0" applyNumberFormat="1" applyFont="1" applyAlignment="1">
      <alignment horizontal="center" vertical="center"/>
    </xf>
    <xf numFmtId="0" fontId="20" fillId="0" borderId="0" xfId="0" applyFont="1"/>
    <xf numFmtId="0" fontId="2" fillId="4" borderId="9" xfId="0" applyFont="1" applyFill="1" applyBorder="1" applyAlignment="1">
      <alignment horizontal="center" vertical="center" wrapText="1"/>
    </xf>
    <xf numFmtId="3" fontId="21" fillId="5" borderId="9" xfId="0" applyNumberFormat="1" applyFont="1" applyFill="1" applyBorder="1" applyAlignment="1">
      <alignment horizontal="left"/>
    </xf>
    <xf numFmtId="0" fontId="21" fillId="5" borderId="9" xfId="0" applyFont="1" applyFill="1" applyBorder="1" applyAlignment="1">
      <alignment horizontal="left"/>
    </xf>
    <xf numFmtId="4" fontId="21" fillId="5" borderId="9" xfId="0" applyNumberFormat="1" applyFont="1" applyFill="1" applyBorder="1" applyAlignment="1">
      <alignment horizontal="left"/>
    </xf>
    <xf numFmtId="0" fontId="0" fillId="0" borderId="16" xfId="0" applyBorder="1"/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/>
    <xf numFmtId="165" fontId="0" fillId="0" borderId="0" xfId="0" applyNumberFormat="1"/>
    <xf numFmtId="0" fontId="3" fillId="0" borderId="0" xfId="0" applyFont="1"/>
    <xf numFmtId="0" fontId="0" fillId="0" borderId="17" xfId="0" applyBorder="1" applyAlignment="1">
      <alignment horizontal="center" vertical="center" wrapText="1"/>
    </xf>
    <xf numFmtId="0" fontId="18" fillId="0" borderId="0" xfId="0" applyFont="1"/>
    <xf numFmtId="0" fontId="25" fillId="4" borderId="26" xfId="0" applyFont="1" applyFill="1" applyBorder="1" applyAlignment="1">
      <alignment horizontal="center" vertical="center" wrapText="1"/>
    </xf>
    <xf numFmtId="0" fontId="25" fillId="8" borderId="26" xfId="0" applyFont="1" applyFill="1" applyBorder="1" applyAlignment="1">
      <alignment horizontal="center" vertical="center" wrapText="1"/>
    </xf>
    <xf numFmtId="0" fontId="25" fillId="4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165" fontId="18" fillId="6" borderId="9" xfId="0" applyNumberFormat="1" applyFont="1" applyFill="1" applyBorder="1" applyAlignment="1" applyProtection="1">
      <alignment horizontal="right" vertical="center"/>
      <protection locked="0"/>
    </xf>
    <xf numFmtId="165" fontId="26" fillId="5" borderId="9" xfId="1" applyNumberFormat="1" applyFont="1" applyFill="1" applyBorder="1" applyAlignment="1">
      <alignment horizontal="right" vertical="center"/>
    </xf>
    <xf numFmtId="10" fontId="18" fillId="0" borderId="9" xfId="2" applyNumberFormat="1" applyFont="1" applyBorder="1" applyAlignment="1">
      <alignment horizontal="right" vertical="center"/>
    </xf>
    <xf numFmtId="166" fontId="26" fillId="5" borderId="26" xfId="1" applyNumberFormat="1" applyFont="1" applyFill="1" applyBorder="1" applyAlignment="1">
      <alignment horizontal="right" vertical="center"/>
    </xf>
    <xf numFmtId="165" fontId="27" fillId="5" borderId="9" xfId="0" applyNumberFormat="1" applyFont="1" applyFill="1" applyBorder="1" applyAlignment="1">
      <alignment horizontal="right" vertical="center" wrapText="1"/>
    </xf>
    <xf numFmtId="165" fontId="27" fillId="5" borderId="18" xfId="0" applyNumberFormat="1" applyFont="1" applyFill="1" applyBorder="1" applyAlignment="1">
      <alignment horizontal="right" vertical="center" wrapText="1"/>
    </xf>
    <xf numFmtId="165" fontId="26" fillId="7" borderId="27" xfId="1" applyNumberFormat="1" applyFont="1" applyFill="1" applyBorder="1" applyAlignment="1">
      <alignment horizontal="right" vertical="center"/>
    </xf>
    <xf numFmtId="0" fontId="25" fillId="4" borderId="0" xfId="0" applyFont="1" applyFill="1" applyAlignment="1">
      <alignment horizontal="center" vertical="center" wrapText="1"/>
    </xf>
    <xf numFmtId="166" fontId="0" fillId="0" borderId="0" xfId="0" applyNumberFormat="1"/>
    <xf numFmtId="10" fontId="0" fillId="0" borderId="0" xfId="2" applyNumberFormat="1" applyFont="1"/>
    <xf numFmtId="10" fontId="18" fillId="5" borderId="9" xfId="2" applyNumberFormat="1" applyFont="1" applyFill="1" applyBorder="1" applyAlignment="1">
      <alignment horizontal="right" vertical="center"/>
    </xf>
    <xf numFmtId="167" fontId="27" fillId="5" borderId="9" xfId="1" applyNumberFormat="1" applyFont="1" applyFill="1" applyBorder="1" applyAlignment="1">
      <alignment horizontal="left" vertical="center" wrapText="1"/>
    </xf>
    <xf numFmtId="167" fontId="26" fillId="5" borderId="9" xfId="1" applyNumberFormat="1" applyFont="1" applyFill="1" applyBorder="1" applyAlignment="1">
      <alignment horizontal="right" vertical="center"/>
    </xf>
    <xf numFmtId="3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3" fontId="14" fillId="0" borderId="0" xfId="2" applyNumberFormat="1" applyFont="1" applyAlignment="1">
      <alignment vertical="center" wrapText="1"/>
    </xf>
    <xf numFmtId="168" fontId="0" fillId="2" borderId="0" xfId="0" applyNumberFormat="1" applyFill="1" applyAlignment="1" applyProtection="1">
      <alignment horizontal="center" vertical="center"/>
      <protection locked="0"/>
    </xf>
    <xf numFmtId="164" fontId="0" fillId="0" borderId="0" xfId="0" applyNumberFormat="1" applyAlignment="1">
      <alignment horizontal="center" vertical="center"/>
    </xf>
    <xf numFmtId="0" fontId="19" fillId="0" borderId="0" xfId="0" applyFont="1" applyAlignment="1">
      <alignment vertical="center"/>
    </xf>
    <xf numFmtId="9" fontId="19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0" fontId="0" fillId="2" borderId="0" xfId="0" applyFill="1" applyAlignment="1" applyProtection="1">
      <alignment vertical="center"/>
      <protection locked="0"/>
    </xf>
    <xf numFmtId="9" fontId="0" fillId="2" borderId="0" xfId="0" applyNumberFormat="1" applyFill="1" applyAlignment="1" applyProtection="1">
      <alignment horizontal="center" vertical="center"/>
      <protection locked="0"/>
    </xf>
    <xf numFmtId="9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9" fontId="0" fillId="0" borderId="0" xfId="0" quotePrefix="1" applyNumberFormat="1" applyAlignment="1">
      <alignment horizontal="center" vertical="center"/>
    </xf>
    <xf numFmtId="169" fontId="0" fillId="0" borderId="0" xfId="0" applyNumberFormat="1" applyAlignment="1">
      <alignment vertical="center"/>
    </xf>
    <xf numFmtId="0" fontId="29" fillId="0" borderId="9" xfId="3" applyFont="1" applyBorder="1" applyAlignment="1">
      <alignment vertical="center"/>
    </xf>
    <xf numFmtId="0" fontId="29" fillId="9" borderId="0" xfId="3" applyFont="1" applyFill="1" applyAlignment="1">
      <alignment horizontal="center" vertical="center"/>
    </xf>
    <xf numFmtId="0" fontId="28" fillId="0" borderId="0" xfId="3" applyAlignment="1">
      <alignment vertical="center"/>
    </xf>
    <xf numFmtId="15" fontId="30" fillId="0" borderId="0" xfId="3" applyNumberFormat="1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1" fillId="10" borderId="9" xfId="3" applyFont="1" applyFill="1" applyBorder="1" applyAlignment="1">
      <alignment horizontal="center" vertical="center" wrapText="1"/>
    </xf>
    <xf numFmtId="0" fontId="31" fillId="10" borderId="28" xfId="3" applyFont="1" applyFill="1" applyBorder="1" applyAlignment="1">
      <alignment horizontal="center" vertical="center" wrapText="1"/>
    </xf>
    <xf numFmtId="0" fontId="28" fillId="0" borderId="9" xfId="3" applyBorder="1" applyAlignment="1">
      <alignment vertical="center"/>
    </xf>
    <xf numFmtId="0" fontId="30" fillId="0" borderId="9" xfId="3" applyFont="1" applyBorder="1" applyAlignment="1">
      <alignment horizontal="left" vertical="center" wrapText="1"/>
    </xf>
    <xf numFmtId="9" fontId="28" fillId="0" borderId="9" xfId="3" applyNumberFormat="1" applyBorder="1" applyAlignment="1">
      <alignment vertical="center"/>
    </xf>
    <xf numFmtId="9" fontId="32" fillId="11" borderId="9" xfId="3" applyNumberFormat="1" applyFont="1" applyFill="1" applyBorder="1" applyAlignment="1">
      <alignment vertical="center"/>
    </xf>
    <xf numFmtId="9" fontId="33" fillId="0" borderId="9" xfId="3" applyNumberFormat="1" applyFont="1" applyBorder="1" applyAlignment="1">
      <alignment vertical="center"/>
    </xf>
    <xf numFmtId="0" fontId="34" fillId="0" borderId="9" xfId="3" applyFont="1" applyBorder="1" applyAlignment="1">
      <alignment vertical="center"/>
    </xf>
    <xf numFmtId="170" fontId="28" fillId="0" borderId="9" xfId="3" applyNumberFormat="1" applyBorder="1" applyAlignment="1">
      <alignment vertical="center"/>
    </xf>
    <xf numFmtId="9" fontId="35" fillId="0" borderId="9" xfId="3" applyNumberFormat="1" applyFont="1" applyBorder="1" applyAlignment="1">
      <alignment vertical="center"/>
    </xf>
    <xf numFmtId="0" fontId="35" fillId="0" borderId="9" xfId="3" applyFont="1" applyBorder="1" applyAlignment="1">
      <alignment vertical="center"/>
    </xf>
    <xf numFmtId="0" fontId="28" fillId="9" borderId="9" xfId="3" applyFill="1" applyBorder="1" applyAlignment="1">
      <alignment vertical="center"/>
    </xf>
    <xf numFmtId="9" fontId="28" fillId="9" borderId="9" xfId="3" applyNumberFormat="1" applyFill="1" applyBorder="1" applyAlignment="1">
      <alignment vertical="center"/>
    </xf>
    <xf numFmtId="10" fontId="32" fillId="11" borderId="9" xfId="3" applyNumberFormat="1" applyFont="1" applyFill="1" applyBorder="1" applyAlignment="1">
      <alignment vertical="center"/>
    </xf>
    <xf numFmtId="169" fontId="34" fillId="9" borderId="9" xfId="3" applyNumberFormat="1" applyFont="1" applyFill="1" applyBorder="1" applyAlignment="1">
      <alignment vertical="center"/>
    </xf>
    <xf numFmtId="0" fontId="34" fillId="9" borderId="9" xfId="3" applyFont="1" applyFill="1" applyBorder="1" applyAlignment="1">
      <alignment vertical="center"/>
    </xf>
    <xf numFmtId="170" fontId="28" fillId="9" borderId="9" xfId="3" applyNumberFormat="1" applyFill="1" applyBorder="1" applyAlignment="1">
      <alignment vertical="center"/>
    </xf>
    <xf numFmtId="0" fontId="28" fillId="9" borderId="0" xfId="3" applyFill="1" applyAlignment="1">
      <alignment vertical="center"/>
    </xf>
    <xf numFmtId="15" fontId="30" fillId="0" borderId="9" xfId="3" applyNumberFormat="1" applyFont="1" applyBorder="1" applyAlignment="1">
      <alignment horizontal="left" vertical="center" wrapText="1"/>
    </xf>
    <xf numFmtId="9" fontId="34" fillId="0" borderId="9" xfId="3" applyNumberFormat="1" applyFont="1" applyBorder="1" applyAlignment="1">
      <alignment vertical="center"/>
    </xf>
    <xf numFmtId="0" fontId="31" fillId="10" borderId="26" xfId="3" applyFont="1" applyFill="1" applyBorder="1" applyAlignment="1">
      <alignment horizontal="center" vertical="center" wrapText="1"/>
    </xf>
    <xf numFmtId="0" fontId="31" fillId="10" borderId="29" xfId="3" applyFont="1" applyFill="1" applyBorder="1" applyAlignment="1">
      <alignment horizontal="center" vertical="center" wrapText="1"/>
    </xf>
    <xf numFmtId="10" fontId="32" fillId="11" borderId="9" xfId="3" applyNumberFormat="1" applyFont="1" applyFill="1" applyBorder="1" applyAlignment="1">
      <alignment horizontal="right" vertical="center"/>
    </xf>
    <xf numFmtId="10" fontId="28" fillId="0" borderId="9" xfId="3" applyNumberFormat="1" applyBorder="1" applyAlignment="1">
      <alignment vertical="center"/>
    </xf>
    <xf numFmtId="170" fontId="28" fillId="12" borderId="9" xfId="3" applyNumberFormat="1" applyFill="1" applyBorder="1" applyAlignment="1">
      <alignment vertical="center"/>
    </xf>
    <xf numFmtId="170" fontId="28" fillId="0" borderId="0" xfId="3" applyNumberFormat="1" applyAlignment="1">
      <alignment vertical="center"/>
    </xf>
    <xf numFmtId="9" fontId="28" fillId="0" borderId="0" xfId="3" applyNumberFormat="1" applyAlignment="1">
      <alignment vertical="center"/>
    </xf>
    <xf numFmtId="167" fontId="28" fillId="12" borderId="9" xfId="4" applyNumberFormat="1" applyFont="1" applyFill="1" applyBorder="1" applyAlignment="1">
      <alignment vertical="center"/>
    </xf>
    <xf numFmtId="167" fontId="28" fillId="0" borderId="0" xfId="4" applyNumberFormat="1" applyFont="1" applyAlignment="1">
      <alignment vertical="center"/>
    </xf>
    <xf numFmtId="167" fontId="0" fillId="0" borderId="0" xfId="4" applyNumberFormat="1" applyFont="1" applyAlignment="1">
      <alignment vertical="center"/>
    </xf>
    <xf numFmtId="10" fontId="0" fillId="0" borderId="9" xfId="5" applyNumberFormat="1" applyFont="1" applyBorder="1" applyAlignment="1">
      <alignment vertical="center"/>
    </xf>
    <xf numFmtId="9" fontId="28" fillId="0" borderId="9" xfId="5" applyFont="1" applyBorder="1" applyAlignment="1">
      <alignment vertical="center"/>
    </xf>
    <xf numFmtId="0" fontId="36" fillId="0" borderId="9" xfId="3" applyFont="1" applyBorder="1" applyAlignment="1">
      <alignment horizontal="right" vertical="center"/>
    </xf>
    <xf numFmtId="167" fontId="28" fillId="0" borderId="0" xfId="3" applyNumberFormat="1" applyAlignment="1">
      <alignment vertical="center"/>
    </xf>
    <xf numFmtId="0" fontId="4" fillId="0" borderId="9" xfId="0" applyFont="1" applyBorder="1" applyAlignment="1">
      <alignment vertical="center"/>
    </xf>
    <xf numFmtId="3" fontId="4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0" fillId="0" borderId="28" xfId="0" applyBorder="1" applyAlignment="1">
      <alignment vertical="center"/>
    </xf>
    <xf numFmtId="3" fontId="16" fillId="2" borderId="26" xfId="0" applyNumberFormat="1" applyFont="1" applyFill="1" applyBorder="1" applyAlignment="1" applyProtection="1">
      <alignment horizontal="center" vertical="center"/>
      <protection locked="0"/>
    </xf>
    <xf numFmtId="0" fontId="16" fillId="2" borderId="26" xfId="0" applyFont="1" applyFill="1" applyBorder="1" applyAlignment="1" applyProtection="1">
      <alignment horizontal="center" vertical="center"/>
      <protection locked="0"/>
    </xf>
    <xf numFmtId="0" fontId="16" fillId="2" borderId="10" xfId="0" applyFont="1" applyFill="1" applyBorder="1" applyAlignment="1" applyProtection="1">
      <alignment horizontal="center" vertical="center"/>
      <protection locked="0"/>
    </xf>
    <xf numFmtId="169" fontId="16" fillId="2" borderId="28" xfId="0" applyNumberFormat="1" applyFont="1" applyFill="1" applyBorder="1" applyAlignment="1" applyProtection="1">
      <alignment horizontal="center" vertical="center"/>
      <protection locked="0"/>
    </xf>
    <xf numFmtId="3" fontId="16" fillId="2" borderId="12" xfId="0" applyNumberFormat="1" applyFont="1" applyFill="1" applyBorder="1" applyAlignment="1" applyProtection="1">
      <alignment horizontal="center" vertical="center"/>
      <protection locked="0"/>
    </xf>
    <xf numFmtId="9" fontId="16" fillId="2" borderId="26" xfId="0" applyNumberFormat="1" applyFont="1" applyFill="1" applyBorder="1" applyAlignment="1" applyProtection="1">
      <alignment horizontal="center" vertical="center"/>
      <protection locked="0"/>
    </xf>
    <xf numFmtId="169" fontId="16" fillId="0" borderId="28" xfId="0" applyNumberFormat="1" applyFont="1" applyBorder="1" applyAlignment="1" applyProtection="1">
      <alignment horizontal="center" vertical="center"/>
      <protection locked="0"/>
    </xf>
    <xf numFmtId="3" fontId="16" fillId="2" borderId="28" xfId="0" applyNumberFormat="1" applyFont="1" applyFill="1" applyBorder="1" applyAlignment="1" applyProtection="1">
      <alignment horizontal="center" vertical="center" wrapText="1"/>
      <protection locked="0"/>
    </xf>
    <xf numFmtId="0" fontId="16" fillId="2" borderId="28" xfId="0" applyFont="1" applyFill="1" applyBorder="1" applyAlignment="1" applyProtection="1">
      <alignment horizontal="center" vertical="center"/>
      <protection locked="0"/>
    </xf>
    <xf numFmtId="3" fontId="16" fillId="2" borderId="28" xfId="0" applyNumberFormat="1" applyFont="1" applyFill="1" applyBorder="1" applyAlignment="1" applyProtection="1">
      <alignment horizontal="center" vertical="center"/>
      <protection locked="0"/>
    </xf>
    <xf numFmtId="9" fontId="16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quotePrefix="1" applyBorder="1" applyAlignment="1">
      <alignment vertical="center"/>
    </xf>
    <xf numFmtId="0" fontId="0" fillId="0" borderId="25" xfId="0" applyBorder="1" applyAlignment="1">
      <alignment vertical="center"/>
    </xf>
    <xf numFmtId="3" fontId="16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25" xfId="0" applyFont="1" applyFill="1" applyBorder="1" applyAlignment="1" applyProtection="1">
      <alignment horizontal="center" vertical="center"/>
      <protection locked="0"/>
    </xf>
    <xf numFmtId="169" fontId="16" fillId="2" borderId="25" xfId="0" applyNumberFormat="1" applyFont="1" applyFill="1" applyBorder="1" applyAlignment="1" applyProtection="1">
      <alignment horizontal="center" vertical="center"/>
      <protection locked="0"/>
    </xf>
    <xf numFmtId="9" fontId="16" fillId="2" borderId="25" xfId="0" applyNumberFormat="1" applyFont="1" applyFill="1" applyBorder="1" applyAlignment="1" applyProtection="1">
      <alignment horizontal="center" vertical="center"/>
      <protection locked="0"/>
    </xf>
    <xf numFmtId="169" fontId="16" fillId="0" borderId="25" xfId="0" applyNumberFormat="1" applyFont="1" applyBorder="1" applyAlignment="1" applyProtection="1">
      <alignment horizontal="center" vertical="center"/>
      <protection locked="0"/>
    </xf>
    <xf numFmtId="169" fontId="4" fillId="0" borderId="25" xfId="0" applyNumberFormat="1" applyFont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9" fontId="0" fillId="0" borderId="0" xfId="2" applyFont="1" applyAlignment="1" applyProtection="1">
      <alignment vertical="center"/>
    </xf>
    <xf numFmtId="9" fontId="14" fillId="0" borderId="0" xfId="2" applyFont="1" applyAlignment="1" applyProtection="1">
      <alignment vertical="center" wrapText="1"/>
    </xf>
    <xf numFmtId="0" fontId="4" fillId="0" borderId="4" xfId="0" applyFont="1" applyBorder="1" applyAlignment="1">
      <alignment vertical="center"/>
    </xf>
    <xf numFmtId="0" fontId="0" fillId="0" borderId="4" xfId="0" applyBorder="1" applyAlignment="1">
      <alignment horizontal="left" vertical="center"/>
    </xf>
    <xf numFmtId="169" fontId="0" fillId="0" borderId="0" xfId="0" applyNumberFormat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3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9" fontId="4" fillId="0" borderId="13" xfId="2" applyFont="1" applyBorder="1" applyAlignment="1" applyProtection="1">
      <alignment horizontal="center" vertical="center" wrapText="1"/>
    </xf>
    <xf numFmtId="9" fontId="4" fillId="0" borderId="15" xfId="2" applyFont="1" applyBorder="1" applyAlignment="1" applyProtection="1">
      <alignment horizontal="center" vertical="center" wrapText="1"/>
    </xf>
    <xf numFmtId="9" fontId="4" fillId="0" borderId="13" xfId="2" applyFont="1" applyFill="1" applyBorder="1" applyAlignment="1" applyProtection="1">
      <alignment horizontal="center" vertical="center" wrapText="1"/>
    </xf>
    <xf numFmtId="9" fontId="4" fillId="0" borderId="15" xfId="2" applyFont="1" applyFill="1" applyBorder="1" applyAlignment="1" applyProtection="1">
      <alignment horizontal="center" vertical="center" wrapText="1"/>
    </xf>
    <xf numFmtId="9" fontId="4" fillId="0" borderId="14" xfId="2" applyFont="1" applyFill="1" applyBorder="1" applyAlignment="1" applyProtection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center" vertical="center"/>
      <protection locked="0"/>
    </xf>
    <xf numFmtId="3" fontId="0" fillId="2" borderId="11" xfId="0" applyNumberFormat="1" applyFill="1" applyBorder="1" applyAlignment="1" applyProtection="1">
      <alignment horizontal="center" vertical="center"/>
      <protection locked="0"/>
    </xf>
    <xf numFmtId="169" fontId="0" fillId="0" borderId="10" xfId="2" applyNumberFormat="1" applyFont="1" applyBorder="1" applyAlignment="1" applyProtection="1">
      <alignment horizontal="center" vertical="center" wrapText="1"/>
    </xf>
    <xf numFmtId="3" fontId="0" fillId="0" borderId="12" xfId="2" applyNumberFormat="1" applyFont="1" applyBorder="1" applyAlignment="1" applyProtection="1">
      <alignment horizontal="center" vertical="center" wrapText="1"/>
    </xf>
    <xf numFmtId="3" fontId="0" fillId="0" borderId="30" xfId="2" applyNumberFormat="1" applyFont="1" applyBorder="1" applyAlignment="1" applyProtection="1">
      <alignment horizontal="center" vertical="center" wrapText="1"/>
    </xf>
    <xf numFmtId="3" fontId="0" fillId="0" borderId="29" xfId="2" applyNumberFormat="1" applyFont="1" applyBorder="1" applyAlignment="1" applyProtection="1">
      <alignment horizontal="center" vertical="center" wrapText="1"/>
    </xf>
    <xf numFmtId="3" fontId="0" fillId="0" borderId="0" xfId="2" applyNumberFormat="1" applyFont="1" applyBorder="1" applyAlignment="1" applyProtection="1">
      <alignment horizontal="center" vertical="center" wrapText="1"/>
    </xf>
    <xf numFmtId="0" fontId="0" fillId="2" borderId="30" xfId="0" applyFill="1" applyBorder="1" applyAlignment="1" applyProtection="1">
      <alignment horizontal="center" vertical="center" wrapText="1"/>
      <protection locked="0"/>
    </xf>
    <xf numFmtId="4" fontId="0" fillId="2" borderId="0" xfId="0" applyNumberFormat="1" applyFill="1" applyAlignment="1" applyProtection="1">
      <alignment horizontal="center" vertical="center" wrapText="1"/>
      <protection locked="0"/>
    </xf>
    <xf numFmtId="9" fontId="0" fillId="0" borderId="10" xfId="0" applyNumberFormat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0" fontId="0" fillId="2" borderId="12" xfId="0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169" fontId="0" fillId="0" borderId="30" xfId="2" applyNumberFormat="1" applyFont="1" applyBorder="1" applyAlignment="1" applyProtection="1">
      <alignment horizontal="center" vertical="center" wrapText="1"/>
    </xf>
    <xf numFmtId="9" fontId="0" fillId="0" borderId="30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2" borderId="29" xfId="0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14" xfId="0" applyFill="1" applyBorder="1" applyAlignment="1" applyProtection="1">
      <alignment horizontal="center" vertical="center"/>
      <protection locked="0"/>
    </xf>
    <xf numFmtId="3" fontId="0" fillId="2" borderId="14" xfId="0" applyNumberFormat="1" applyFill="1" applyBorder="1" applyAlignment="1" applyProtection="1">
      <alignment horizontal="center" vertical="center"/>
      <protection locked="0"/>
    </xf>
    <xf numFmtId="169" fontId="0" fillId="0" borderId="13" xfId="2" applyNumberFormat="1" applyFont="1" applyBorder="1" applyAlignment="1" applyProtection="1">
      <alignment horizontal="center" vertical="center" wrapText="1"/>
    </xf>
    <xf numFmtId="3" fontId="0" fillId="0" borderId="15" xfId="2" applyNumberFormat="1" applyFont="1" applyBorder="1" applyAlignment="1" applyProtection="1">
      <alignment horizontal="center" vertical="center" wrapText="1"/>
    </xf>
    <xf numFmtId="3" fontId="0" fillId="0" borderId="13" xfId="2" applyNumberFormat="1" applyFont="1" applyBorder="1" applyAlignment="1" applyProtection="1">
      <alignment horizontal="center" vertical="center" wrapText="1"/>
    </xf>
    <xf numFmtId="3" fontId="0" fillId="0" borderId="14" xfId="2" applyNumberFormat="1" applyFont="1" applyBorder="1" applyAlignment="1" applyProtection="1">
      <alignment horizontal="center" vertical="center" wrapText="1"/>
    </xf>
    <xf numFmtId="0" fontId="0" fillId="2" borderId="13" xfId="0" applyFill="1" applyBorder="1" applyAlignment="1" applyProtection="1">
      <alignment horizontal="center" vertical="center" wrapText="1"/>
      <protection locked="0"/>
    </xf>
    <xf numFmtId="4" fontId="0" fillId="2" borderId="14" xfId="0" applyNumberFormat="1" applyFill="1" applyBorder="1" applyAlignment="1" applyProtection="1">
      <alignment horizontal="center" vertical="center" wrapText="1"/>
      <protection locked="0"/>
    </xf>
    <xf numFmtId="9" fontId="0" fillId="0" borderId="14" xfId="0" applyNumberFormat="1" applyBorder="1" applyAlignment="1">
      <alignment horizontal="center" vertical="center"/>
    </xf>
    <xf numFmtId="0" fontId="0" fillId="2" borderId="15" xfId="0" applyFill="1" applyBorder="1" applyAlignment="1" applyProtection="1">
      <alignment horizontal="center" vertical="center"/>
      <protection locked="0"/>
    </xf>
    <xf numFmtId="9" fontId="0" fillId="0" borderId="13" xfId="0" applyNumberFormat="1" applyBorder="1" applyAlignment="1">
      <alignment horizontal="center" vertical="center" wrapText="1"/>
    </xf>
    <xf numFmtId="3" fontId="0" fillId="0" borderId="14" xfId="0" applyNumberFormat="1" applyBorder="1" applyAlignment="1">
      <alignment horizontal="center" vertical="center" wrapText="1"/>
    </xf>
    <xf numFmtId="9" fontId="0" fillId="0" borderId="0" xfId="2" applyFont="1" applyAlignment="1" applyProtection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/>
    <xf numFmtId="43" fontId="4" fillId="0" borderId="9" xfId="1" applyFont="1" applyFill="1" applyBorder="1" applyAlignment="1">
      <alignment horizontal="center" vertical="center" wrapText="1"/>
    </xf>
    <xf numFmtId="43" fontId="0" fillId="0" borderId="9" xfId="1" applyFont="1" applyFill="1" applyBorder="1" applyAlignment="1">
      <alignment horizontal="center" vertical="center"/>
    </xf>
    <xf numFmtId="4" fontId="0" fillId="9" borderId="9" xfId="1" applyNumberFormat="1" applyFont="1" applyFill="1" applyBorder="1" applyAlignment="1">
      <alignment horizontal="center" vertical="center"/>
    </xf>
    <xf numFmtId="0" fontId="21" fillId="5" borderId="9" xfId="0" applyFont="1" applyFill="1" applyBorder="1"/>
    <xf numFmtId="0" fontId="0" fillId="7" borderId="0" xfId="0" applyFill="1"/>
    <xf numFmtId="0" fontId="3" fillId="0" borderId="1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2" fillId="4" borderId="9" xfId="0" applyFont="1" applyFill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9" fontId="24" fillId="5" borderId="9" xfId="2" applyFont="1" applyFill="1" applyBorder="1" applyAlignment="1">
      <alignment horizontal="center" vertical="center"/>
    </xf>
    <xf numFmtId="165" fontId="24" fillId="7" borderId="9" xfId="0" applyNumberFormat="1" applyFont="1" applyFill="1" applyBorder="1" applyAlignment="1">
      <alignment horizontal="center" vertical="center"/>
    </xf>
    <xf numFmtId="165" fontId="24" fillId="5" borderId="9" xfId="0" applyNumberFormat="1" applyFont="1" applyFill="1" applyBorder="1" applyAlignment="1">
      <alignment horizontal="center" vertical="center"/>
    </xf>
    <xf numFmtId="165" fontId="24" fillId="5" borderId="9" xfId="2" applyNumberFormat="1" applyFont="1" applyFill="1" applyBorder="1" applyAlignment="1">
      <alignment horizontal="center" vertical="center"/>
    </xf>
    <xf numFmtId="165" fontId="24" fillId="7" borderId="9" xfId="2" applyNumberFormat="1" applyFont="1" applyFill="1" applyBorder="1" applyAlignment="1">
      <alignment horizontal="center" vertical="center"/>
    </xf>
    <xf numFmtId="165" fontId="23" fillId="5" borderId="9" xfId="0" applyNumberFormat="1" applyFont="1" applyFill="1" applyBorder="1"/>
    <xf numFmtId="0" fontId="23" fillId="0" borderId="16" xfId="0" applyFont="1" applyBorder="1" applyAlignment="1">
      <alignment vertical="center"/>
    </xf>
    <xf numFmtId="9" fontId="23" fillId="5" borderId="9" xfId="2" applyFont="1" applyFill="1" applyBorder="1" applyAlignment="1">
      <alignment horizontal="center" vertical="center"/>
    </xf>
    <xf numFmtId="165" fontId="23" fillId="5" borderId="9" xfId="2" applyNumberFormat="1" applyFont="1" applyFill="1" applyBorder="1" applyAlignment="1">
      <alignment horizontal="center" vertical="center"/>
    </xf>
    <xf numFmtId="165" fontId="23" fillId="3" borderId="9" xfId="2" applyNumberFormat="1" applyFont="1" applyFill="1" applyBorder="1" applyAlignment="1">
      <alignment horizontal="center" vertical="center"/>
    </xf>
    <xf numFmtId="0" fontId="23" fillId="3" borderId="0" xfId="0" applyFont="1" applyFill="1"/>
    <xf numFmtId="0" fontId="23" fillId="0" borderId="0" xfId="0" applyFont="1" applyAlignment="1">
      <alignment horizontal="center"/>
    </xf>
    <xf numFmtId="165" fontId="23" fillId="0" borderId="0" xfId="0" applyNumberFormat="1" applyFont="1"/>
    <xf numFmtId="0" fontId="23" fillId="0" borderId="0" xfId="0" applyFont="1" applyAlignment="1">
      <alignment vertical="center"/>
    </xf>
    <xf numFmtId="9" fontId="23" fillId="0" borderId="0" xfId="2" applyFont="1" applyFill="1" applyBorder="1" applyAlignment="1">
      <alignment horizontal="center" vertical="center"/>
    </xf>
    <xf numFmtId="165" fontId="23" fillId="0" borderId="0" xfId="2" applyNumberFormat="1" applyFont="1" applyFill="1" applyBorder="1" applyAlignment="1">
      <alignment horizontal="center" vertical="center"/>
    </xf>
    <xf numFmtId="9" fontId="24" fillId="7" borderId="31" xfId="2" applyFont="1" applyFill="1" applyBorder="1" applyAlignment="1">
      <alignment horizontal="center" vertical="center"/>
    </xf>
    <xf numFmtId="165" fontId="24" fillId="7" borderId="32" xfId="2" applyNumberFormat="1" applyFont="1" applyFill="1" applyBorder="1" applyAlignment="1">
      <alignment horizontal="center" vertical="center"/>
    </xf>
    <xf numFmtId="0" fontId="37" fillId="0" borderId="0" xfId="0" applyFont="1"/>
    <xf numFmtId="9" fontId="24" fillId="7" borderId="21" xfId="0" applyNumberFormat="1" applyFont="1" applyFill="1" applyBorder="1" applyAlignment="1">
      <alignment horizontal="center" vertical="center"/>
    </xf>
    <xf numFmtId="165" fontId="24" fillId="7" borderId="22" xfId="0" applyNumberFormat="1" applyFont="1" applyFill="1" applyBorder="1" applyAlignment="1">
      <alignment horizontal="center" vertical="center"/>
    </xf>
    <xf numFmtId="9" fontId="24" fillId="7" borderId="22" xfId="0" applyNumberFormat="1" applyFont="1" applyFill="1" applyBorder="1" applyAlignment="1">
      <alignment horizontal="center" vertical="center"/>
    </xf>
    <xf numFmtId="165" fontId="24" fillId="7" borderId="23" xfId="0" applyNumberFormat="1" applyFont="1" applyFill="1" applyBorder="1" applyAlignment="1">
      <alignment horizontal="center" vertical="center"/>
    </xf>
    <xf numFmtId="165" fontId="24" fillId="7" borderId="24" xfId="0" applyNumberFormat="1" applyFont="1" applyFill="1" applyBorder="1" applyAlignment="1">
      <alignment horizontal="center" vertical="center"/>
    </xf>
    <xf numFmtId="0" fontId="23" fillId="13" borderId="9" xfId="0" applyFont="1" applyFill="1" applyBorder="1"/>
    <xf numFmtId="165" fontId="23" fillId="13" borderId="9" xfId="0" applyNumberFormat="1" applyFont="1" applyFill="1" applyBorder="1"/>
    <xf numFmtId="9" fontId="23" fillId="5" borderId="25" xfId="2" applyFont="1" applyFill="1" applyBorder="1" applyAlignment="1">
      <alignment horizontal="center" vertical="center"/>
    </xf>
    <xf numFmtId="165" fontId="23" fillId="5" borderId="25" xfId="2" applyNumberFormat="1" applyFont="1" applyFill="1" applyBorder="1" applyAlignment="1">
      <alignment horizontal="center" vertical="center"/>
    </xf>
    <xf numFmtId="0" fontId="23" fillId="13" borderId="9" xfId="0" applyFont="1" applyFill="1" applyBorder="1" applyAlignment="1">
      <alignment wrapText="1"/>
    </xf>
    <xf numFmtId="0" fontId="24" fillId="5" borderId="18" xfId="0" applyFont="1" applyFill="1" applyBorder="1" applyAlignment="1">
      <alignment horizontal="center" vertical="center"/>
    </xf>
    <xf numFmtId="0" fontId="24" fillId="5" borderId="19" xfId="0" applyFont="1" applyFill="1" applyBorder="1" applyAlignment="1">
      <alignment horizontal="center" vertical="center"/>
    </xf>
    <xf numFmtId="0" fontId="24" fillId="5" borderId="20" xfId="0" applyFont="1" applyFill="1" applyBorder="1" applyAlignment="1">
      <alignment horizontal="center" vertical="center"/>
    </xf>
    <xf numFmtId="0" fontId="23" fillId="0" borderId="18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0" fillId="2" borderId="9" xfId="0" applyFill="1" applyBorder="1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5" fillId="8" borderId="18" xfId="0" applyFont="1" applyFill="1" applyBorder="1" applyAlignment="1">
      <alignment horizontal="center" vertical="center" wrapText="1"/>
    </xf>
    <xf numFmtId="0" fontId="25" fillId="8" borderId="19" xfId="0" applyFont="1" applyFill="1" applyBorder="1" applyAlignment="1">
      <alignment horizontal="center" vertical="center" wrapText="1"/>
    </xf>
    <xf numFmtId="0" fontId="25" fillId="8" borderId="20" xfId="0" applyFont="1" applyFill="1" applyBorder="1" applyAlignment="1">
      <alignment horizontal="center" vertical="center" wrapText="1"/>
    </xf>
    <xf numFmtId="0" fontId="25" fillId="4" borderId="18" xfId="0" applyFont="1" applyFill="1" applyBorder="1" applyAlignment="1">
      <alignment horizontal="center" vertical="center" wrapText="1"/>
    </xf>
    <xf numFmtId="0" fontId="25" fillId="4" borderId="19" xfId="0" applyFont="1" applyFill="1" applyBorder="1" applyAlignment="1">
      <alignment horizontal="center" vertical="center" wrapText="1"/>
    </xf>
    <xf numFmtId="0" fontId="25" fillId="4" borderId="20" xfId="0" applyFont="1" applyFill="1" applyBorder="1" applyAlignment="1">
      <alignment horizontal="center" vertical="center" wrapText="1"/>
    </xf>
    <xf numFmtId="3" fontId="29" fillId="6" borderId="9" xfId="3" applyNumberFormat="1" applyFont="1" applyFill="1" applyBorder="1" applyAlignment="1">
      <alignment horizontal="center" vertical="center"/>
    </xf>
    <xf numFmtId="0" fontId="29" fillId="6" borderId="9" xfId="3" applyFont="1" applyFill="1" applyBorder="1" applyAlignment="1">
      <alignment horizontal="center" vertical="center"/>
    </xf>
    <xf numFmtId="15" fontId="29" fillId="6" borderId="9" xfId="3" applyNumberFormat="1" applyFont="1" applyFill="1" applyBorder="1" applyAlignment="1">
      <alignment horizontal="center" vertical="center"/>
    </xf>
    <xf numFmtId="15" fontId="30" fillId="0" borderId="18" xfId="3" applyNumberFormat="1" applyFont="1" applyBorder="1" applyAlignment="1">
      <alignment horizontal="center" vertical="center"/>
    </xf>
    <xf numFmtId="15" fontId="30" fillId="0" borderId="20" xfId="3" applyNumberFormat="1" applyFont="1" applyBorder="1" applyAlignment="1">
      <alignment horizontal="center" vertical="center"/>
    </xf>
    <xf numFmtId="0" fontId="30" fillId="6" borderId="9" xfId="3" applyFont="1" applyFill="1" applyBorder="1" applyAlignment="1">
      <alignment horizontal="center" vertical="center"/>
    </xf>
    <xf numFmtId="15" fontId="30" fillId="6" borderId="9" xfId="3" applyNumberFormat="1" applyFont="1" applyFill="1" applyBorder="1" applyAlignment="1">
      <alignment horizontal="center" vertical="center"/>
    </xf>
    <xf numFmtId="10" fontId="28" fillId="0" borderId="9" xfId="3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9" fontId="4" fillId="0" borderId="18" xfId="2" applyFont="1" applyFill="1" applyBorder="1" applyAlignment="1" applyProtection="1">
      <alignment horizontal="center" vertical="center"/>
    </xf>
    <xf numFmtId="9" fontId="4" fillId="0" borderId="20" xfId="2" applyFont="1" applyFill="1" applyBorder="1" applyAlignment="1" applyProtection="1">
      <alignment horizontal="center" vertical="center"/>
    </xf>
    <xf numFmtId="9" fontId="4" fillId="0" borderId="10" xfId="2" applyFont="1" applyBorder="1" applyAlignment="1" applyProtection="1">
      <alignment horizontal="center" vertical="center"/>
    </xf>
    <xf numFmtId="9" fontId="4" fillId="0" borderId="11" xfId="2" applyFont="1" applyBorder="1" applyAlignment="1" applyProtection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9" fontId="4" fillId="0" borderId="18" xfId="2" applyFont="1" applyBorder="1" applyAlignment="1" applyProtection="1">
      <alignment horizontal="center" vertical="center"/>
    </xf>
    <xf numFmtId="9" fontId="4" fillId="0" borderId="20" xfId="2" applyFont="1" applyBorder="1" applyAlignment="1" applyProtection="1">
      <alignment horizontal="center" vertical="center"/>
    </xf>
  </cellXfs>
  <cellStyles count="6">
    <cellStyle name="Comma" xfId="1" builtinId="3"/>
    <cellStyle name="Comma 2" xfId="4" xr:uid="{CC0DA759-30C7-4576-97DF-9E22BA41BECD}"/>
    <cellStyle name="Normal" xfId="0" builtinId="0"/>
    <cellStyle name="Normal 2" xfId="3" xr:uid="{BAAFBE3D-187D-4826-81BB-55698A6D6B9E}"/>
    <cellStyle name="Per cent" xfId="2" builtinId="5"/>
    <cellStyle name="Percent 2" xfId="5" xr:uid="{E04FD253-5AE4-410A-B12B-EDCE402F6422}"/>
  </cellStyles>
  <dxfs count="11"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441845</xdr:colOff>
      <xdr:row>1</xdr:row>
      <xdr:rowOff>0</xdr:rowOff>
    </xdr:from>
    <xdr:to>
      <xdr:col>15</xdr:col>
      <xdr:colOff>3618</xdr:colOff>
      <xdr:row>46</xdr:row>
      <xdr:rowOff>82550</xdr:rowOff>
    </xdr:to>
    <xdr:pic>
      <xdr:nvPicPr>
        <xdr:cNvPr id="2" name="Graphic 25">
          <a:extLst>
            <a:ext uri="{FF2B5EF4-FFF2-40B4-BE49-F238E27FC236}">
              <a16:creationId xmlns:a16="http://schemas.microsoft.com/office/drawing/2014/main" id="{5933D29E-167E-4D28-BAD7-E34045343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51445" y="184150"/>
          <a:ext cx="8096173" cy="8369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358775</xdr:colOff>
      <xdr:row>3</xdr:row>
      <xdr:rowOff>107949</xdr:rowOff>
    </xdr:from>
    <xdr:to>
      <xdr:col>10</xdr:col>
      <xdr:colOff>120650</xdr:colOff>
      <xdr:row>18</xdr:row>
      <xdr:rowOff>184149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23C36A-187B-4626-B78B-F5974F38AF5A}"/>
            </a:ext>
          </a:extLst>
        </xdr:cNvPr>
        <xdr:cNvSpPr txBox="1"/>
      </xdr:nvSpPr>
      <xdr:spPr>
        <a:xfrm>
          <a:off x="8461375" y="666749"/>
          <a:ext cx="6886575" cy="34290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 b="1"/>
            <a:t>2025 Only</a:t>
          </a:r>
        </a:p>
        <a:p>
          <a:r>
            <a:rPr lang="en-GB" sz="1800" b="1" baseline="0"/>
            <a:t>New Cars</a:t>
          </a:r>
          <a:endParaRPr lang="en-GB" sz="1400" b="1"/>
        </a:p>
        <a:p>
          <a:r>
            <a:rPr lang="en-GB" sz="1400" b="1"/>
            <a:t>For campaigns that are being planned / have not yet gone on air as of 1st July</a:t>
          </a:r>
          <a:r>
            <a:rPr lang="en-GB" sz="1400"/>
            <a:t>:</a:t>
          </a:r>
          <a:br>
            <a:rPr lang="en-GB" sz="1400"/>
          </a:br>
          <a:r>
            <a:rPr lang="en-GB" sz="1400"/>
            <a:t>Metrics Measured target setting will cease immediately until the end of the year. These campaigns will be charged at 100% of the Base Fee. Please mark</a:t>
          </a:r>
          <a:r>
            <a:rPr lang="en-GB" sz="1400" baseline="0"/>
            <a:t> column P as "No".</a:t>
          </a:r>
          <a:endParaRPr lang="en-GB" sz="1400"/>
        </a:p>
        <a:p>
          <a:r>
            <a:rPr lang="en-GB" sz="1400" b="1"/>
            <a:t>For campaigns that are currently live but have not yet concluded as of 1st July:</a:t>
          </a:r>
          <a:br>
            <a:rPr lang="en-GB" sz="1400"/>
          </a:br>
          <a:r>
            <a:rPr lang="en-GB" sz="1400"/>
            <a:t>Even if a Metrics Measured target was defined during planning, these campaigns will also be billed at 100% of the Base Fee.</a:t>
          </a:r>
          <a:r>
            <a:rPr lang="en-GB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Please mark</a:t>
          </a:r>
          <a:r>
            <a:rPr lang="en-GB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column P as "No".</a:t>
          </a:r>
          <a:endParaRPr lang="en-GB" sz="1400"/>
        </a:p>
        <a:p>
          <a:r>
            <a:rPr lang="en-GB" sz="1400" b="1"/>
            <a:t>For campaigns that have concluded and had a Metrics Measured target set before 1st July:</a:t>
          </a:r>
          <a:br>
            <a:rPr lang="en-GB" sz="1400"/>
          </a:br>
          <a:r>
            <a:rPr lang="en-GB" sz="1400"/>
            <a:t>Will be billed in line with the Metrics Measured target attainment methodology. Mark column P according</a:t>
          </a:r>
          <a:r>
            <a:rPr lang="en-GB" sz="1400" baseline="0"/>
            <a:t> "Yes" unless exclusion agreed for any other reason.</a:t>
          </a:r>
        </a:p>
        <a:p>
          <a:endParaRPr lang="en-GB" sz="1400" baseline="0"/>
        </a:p>
        <a:p>
          <a:r>
            <a:rPr lang="en-GB" sz="1800" b="1" baseline="0">
              <a:solidFill>
                <a:sysClr val="windowText" lastClr="000000"/>
              </a:solidFill>
            </a:rPr>
            <a:t>Used Cars/Aftersales</a:t>
          </a:r>
        </a:p>
        <a:p>
          <a:r>
            <a:rPr lang="en-GB" sz="1400" b="0" baseline="0">
              <a:solidFill>
                <a:sysClr val="windowText" lastClr="000000"/>
              </a:solidFill>
            </a:rPr>
            <a:t>All campaigns will be billed at 90% - no action needed</a:t>
          </a:r>
          <a:endParaRPr lang="en-GB" sz="1400" b="0">
            <a:solidFill>
              <a:sysClr val="windowText" lastClr="000000"/>
            </a:solidFill>
          </a:endParaRPr>
        </a:p>
        <a:p>
          <a:endParaRPr lang="en-GB" sz="14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Users/alfie.hyland/Downloads/VWG%202025%20Fee%20%20PRF%20Calculator%20-%20Working%20File%20v1.3_CHECK%20-%20EMEA%20Finance%20updates.xlsm" TargetMode="External"/><Relationship Id="rId2" Type="http://schemas.openxmlformats.org/officeDocument/2006/relationships/externalLinkPath" Target="file:///C:\Users\alfie.hyland\Downloads\VWG%202025%20Fee%20%20PRF%20Calculator%20-%20Working%20File%20v1.3_CHECK%20-%20EMEA%20Finance%20updates.xlsm" TargetMode="External"/><Relationship Id="rId1" Type="http://schemas.openxmlformats.org/officeDocument/2006/relationships/externalLinkPath" Target="/Users/alfie.hyland/Downloads/VWG%202025%20Fee%20%20PRF%20Calculator%20-%20Working%20File%20v1.3_CHECK%20-%20EMEA%20Finance%20updates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omnicom-my.sharepoint.com/personal/dean_weaving_omnicommediagroup_com/Documents/VWG%202025%20Fee%20Calculator%20130924.xlsx" TargetMode="External"/><Relationship Id="rId1" Type="http://schemas.openxmlformats.org/officeDocument/2006/relationships/externalLinkPath" Target="https://oneomnicom.sharepoint.com/personal/dean_weaving_omnicommediagroup_com/Documents/VWG%202025%20Fee%20Calculator%201309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ser Guide"/>
      <sheetName val="PRF Structure"/>
      <sheetName val="Fee Summary"/>
      <sheetName val="Local FTE Model"/>
      <sheetName val="Local Commission Model"/>
      <sheetName val="Local PRF Calculator"/>
      <sheetName val="Digital Media Guidelines"/>
      <sheetName val="BusinessBrand KPIs"/>
      <sheetName val="BAH Perf Fee Reconciliations"/>
      <sheetName val="Drop Downs"/>
      <sheetName val="FX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MarketBrand_FTE"/>
      <sheetName val="MarketBrand_Commission"/>
    </sheetNames>
    <sheetDataSet>
      <sheetData sheetId="0" refreshError="1"/>
      <sheetData sheetId="1" refreshError="1"/>
      <sheetData sheetId="2" refreshError="1">
        <row r="35">
          <cell r="G35">
            <v>20000</v>
          </cell>
          <cell r="H35">
            <v>102500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4</v>
  </rv>
  <rv s="0">
    <v>1</v>
    <v>5</v>
  </rv>
  <rv s="0">
    <v>2</v>
    <v>5</v>
  </rv>
  <rv s="0">
    <v>3</v>
    <v>5</v>
  </rv>
  <rv s="0">
    <v>4</v>
    <v>5</v>
  </rv>
  <rv s="0">
    <v>5</v>
    <v>5</v>
  </rv>
  <rv s="0">
    <v>0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FB94-038D-4582-92DB-7DE1B3874B06}">
  <sheetPr>
    <pageSetUpPr autoPageBreaks="0"/>
  </sheetPr>
  <dimension ref="B1:X60"/>
  <sheetViews>
    <sheetView showGridLines="0" zoomScale="98" zoomScaleNormal="98" workbookViewId="0"/>
  </sheetViews>
  <sheetFormatPr defaultColWidth="8.7109375" defaultRowHeight="14.45"/>
  <cols>
    <col min="1" max="1" width="8.7109375" style="1"/>
    <col min="2" max="2" width="2.5703125" style="1" customWidth="1"/>
    <col min="3" max="16" width="14.140625" style="1" customWidth="1"/>
    <col min="17" max="17" width="2.5703125" style="1" customWidth="1"/>
    <col min="18" max="16384" width="8.7109375" style="1"/>
  </cols>
  <sheetData>
    <row r="1" spans="2:24">
      <c r="B1" s="1" t="s">
        <v>0</v>
      </c>
    </row>
    <row r="2" spans="2:24" ht="15" thickBot="1"/>
    <row r="3" spans="2:24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2:24" ht="18.600000000000001">
      <c r="B4" s="5"/>
      <c r="C4" s="6" t="s">
        <v>1</v>
      </c>
      <c r="Q4" s="7"/>
    </row>
    <row r="5" spans="2:24">
      <c r="B5" s="5"/>
      <c r="C5" s="265" t="s">
        <v>2</v>
      </c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7"/>
    </row>
    <row r="6" spans="2:24">
      <c r="B6" s="5"/>
      <c r="C6" s="8" t="s">
        <v>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7"/>
    </row>
    <row r="7" spans="2:24">
      <c r="B7" s="5"/>
      <c r="C7" s="266" t="s">
        <v>4</v>
      </c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7"/>
    </row>
    <row r="8" spans="2:24">
      <c r="B8" s="5"/>
      <c r="C8" s="266" t="s">
        <v>5</v>
      </c>
      <c r="D8" s="266"/>
      <c r="E8" s="266"/>
      <c r="F8" s="266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7"/>
    </row>
    <row r="9" spans="2:24" ht="15" thickBo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</row>
    <row r="10" spans="2:24" ht="15" customHeight="1" thickBot="1">
      <c r="S10" s="12"/>
      <c r="T10" s="12"/>
      <c r="U10" s="12"/>
      <c r="V10" s="12"/>
      <c r="W10" s="12"/>
      <c r="X10" s="12"/>
    </row>
    <row r="11" spans="2:24" ht="14.45" customHeight="1"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4"/>
      <c r="S11" s="12"/>
      <c r="T11" s="12"/>
      <c r="U11" s="12"/>
      <c r="V11" s="12"/>
      <c r="W11" s="12"/>
      <c r="X11" s="12"/>
    </row>
    <row r="12" spans="2:24" ht="14.45" customHeight="1">
      <c r="B12" s="5"/>
      <c r="C12" s="6" t="s">
        <v>6</v>
      </c>
      <c r="Q12" s="7"/>
      <c r="S12" s="12"/>
      <c r="T12" s="12"/>
      <c r="U12" s="12"/>
      <c r="V12" s="12"/>
      <c r="W12" s="12"/>
      <c r="X12" s="12"/>
    </row>
    <row r="13" spans="2:24" ht="14.45" customHeight="1">
      <c r="B13" s="5"/>
      <c r="C13" s="268" t="s">
        <v>7</v>
      </c>
      <c r="D13" s="268"/>
      <c r="E13" s="268"/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7"/>
      <c r="S13" s="12"/>
      <c r="T13" s="12"/>
      <c r="U13" s="12"/>
      <c r="V13" s="12"/>
      <c r="W13" s="12"/>
      <c r="X13" s="12"/>
    </row>
    <row r="14" spans="2:24" ht="14.45" customHeight="1">
      <c r="B14" s="5"/>
      <c r="C14" s="268" t="s">
        <v>8</v>
      </c>
      <c r="D14" s="268"/>
      <c r="E14" s="268"/>
      <c r="F14" s="268"/>
      <c r="G14" s="268"/>
      <c r="H14" s="268"/>
      <c r="I14" s="268"/>
      <c r="J14" s="268"/>
      <c r="K14" s="268"/>
      <c r="L14" s="268"/>
      <c r="M14" s="268"/>
      <c r="N14" s="268"/>
      <c r="O14" s="268"/>
      <c r="P14" s="268"/>
      <c r="Q14" s="7"/>
      <c r="S14" s="12"/>
      <c r="T14" s="12"/>
      <c r="U14" s="12"/>
      <c r="V14" s="12"/>
      <c r="W14" s="12"/>
      <c r="X14" s="12"/>
    </row>
    <row r="15" spans="2:24" ht="15" customHeight="1" thickBot="1">
      <c r="B15" s="9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1"/>
      <c r="S15" s="12"/>
      <c r="T15" s="12"/>
      <c r="U15" s="12"/>
      <c r="V15" s="12"/>
      <c r="W15" s="12"/>
      <c r="X15" s="12"/>
    </row>
    <row r="16" spans="2:24" ht="15" customHeight="1" thickBot="1">
      <c r="S16" s="12"/>
      <c r="T16" s="12"/>
      <c r="U16" s="12"/>
      <c r="V16" s="12"/>
      <c r="W16" s="12"/>
      <c r="X16" s="12"/>
    </row>
    <row r="17" spans="2:24" ht="14.45" customHeight="1"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4"/>
      <c r="S17" s="12"/>
      <c r="T17" s="12"/>
      <c r="U17" s="12"/>
      <c r="V17" s="12"/>
      <c r="W17" s="12"/>
      <c r="X17" s="12"/>
    </row>
    <row r="18" spans="2:24" ht="18.600000000000001">
      <c r="B18" s="5"/>
      <c r="C18" s="6" t="s">
        <v>9</v>
      </c>
      <c r="Q18" s="7"/>
    </row>
    <row r="19" spans="2:24">
      <c r="B19" s="5"/>
      <c r="C19" s="262" t="s">
        <v>10</v>
      </c>
      <c r="D19" s="262"/>
      <c r="E19" s="262"/>
      <c r="F19" s="262"/>
      <c r="G19" s="262"/>
      <c r="H19" s="262"/>
      <c r="I19" s="262"/>
      <c r="J19" s="262"/>
      <c r="K19" s="262"/>
      <c r="L19" s="262"/>
      <c r="M19" s="262"/>
      <c r="N19" s="262"/>
      <c r="O19" s="262"/>
      <c r="P19" s="262"/>
      <c r="Q19" s="7"/>
    </row>
    <row r="20" spans="2:24" ht="44.1" customHeight="1">
      <c r="B20" s="5"/>
      <c r="C20" s="262" t="s">
        <v>11</v>
      </c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7"/>
    </row>
    <row r="21" spans="2:24">
      <c r="B21" s="5"/>
      <c r="C21" s="263" t="s">
        <v>12</v>
      </c>
      <c r="D21" s="263"/>
      <c r="E21" s="263"/>
      <c r="F21" s="263"/>
      <c r="G21" s="263"/>
      <c r="H21" s="263"/>
      <c r="I21" s="263"/>
      <c r="J21" s="263"/>
      <c r="K21" s="263"/>
      <c r="L21" s="263"/>
      <c r="M21" s="263"/>
      <c r="N21" s="263"/>
      <c r="O21" s="263"/>
      <c r="P21" s="263"/>
      <c r="Q21" s="7"/>
    </row>
    <row r="22" spans="2:24">
      <c r="B22" s="5"/>
      <c r="C22" s="264" t="s">
        <v>13</v>
      </c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7"/>
    </row>
    <row r="23" spans="2:24">
      <c r="B23" s="5"/>
      <c r="C23" s="14" t="s">
        <v>14</v>
      </c>
      <c r="Q23" s="7"/>
    </row>
    <row r="24" spans="2:24">
      <c r="B24" s="5"/>
      <c r="C24" s="262" t="s">
        <v>15</v>
      </c>
      <c r="D24" s="262"/>
      <c r="E24" s="262"/>
      <c r="F24" s="262"/>
      <c r="G24" s="262"/>
      <c r="H24" s="262"/>
      <c r="I24" s="262"/>
      <c r="J24" s="262"/>
      <c r="K24" s="262"/>
      <c r="L24" s="262"/>
      <c r="M24" s="262"/>
      <c r="N24" s="262"/>
      <c r="O24" s="262"/>
      <c r="P24" s="262"/>
      <c r="Q24" s="7"/>
    </row>
    <row r="25" spans="2:24">
      <c r="B25" s="5"/>
      <c r="C25" s="8" t="s">
        <v>16</v>
      </c>
      <c r="Q25" s="7"/>
    </row>
    <row r="26" spans="2:24" ht="15" thickBot="1">
      <c r="B26" s="9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1"/>
    </row>
    <row r="27" spans="2:24" ht="15" thickBot="1"/>
    <row r="28" spans="2:24"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4"/>
    </row>
    <row r="29" spans="2:24" ht="18.600000000000001">
      <c r="B29" s="5"/>
      <c r="C29" s="6" t="s">
        <v>17</v>
      </c>
      <c r="Q29" s="7"/>
    </row>
    <row r="30" spans="2:24">
      <c r="B30" s="5"/>
      <c r="C30" s="16" t="s">
        <v>18</v>
      </c>
      <c r="Q30" s="7"/>
    </row>
    <row r="31" spans="2:24">
      <c r="B31" s="5"/>
      <c r="C31" s="261" t="s">
        <v>19</v>
      </c>
      <c r="D31" s="261"/>
      <c r="E31" s="261"/>
      <c r="F31" s="261"/>
      <c r="G31" s="261"/>
      <c r="H31" s="261"/>
      <c r="I31" s="261"/>
      <c r="J31" s="261"/>
      <c r="K31" s="261"/>
      <c r="L31" s="261"/>
      <c r="M31" s="261"/>
      <c r="N31" s="261"/>
      <c r="O31" s="261"/>
      <c r="P31" s="261"/>
      <c r="Q31" s="7"/>
    </row>
    <row r="32" spans="2:24" ht="15" thickBot="1">
      <c r="B32" s="9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1"/>
    </row>
    <row r="33" spans="2:17" ht="15" thickBot="1"/>
    <row r="34" spans="2:17"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4"/>
    </row>
    <row r="35" spans="2:17" ht="18.600000000000001">
      <c r="B35" s="5"/>
      <c r="C35" s="6" t="s">
        <v>20</v>
      </c>
      <c r="Q35" s="7"/>
    </row>
    <row r="36" spans="2:17">
      <c r="B36" s="5"/>
      <c r="C36" s="16" t="s">
        <v>21</v>
      </c>
      <c r="Q36" s="7"/>
    </row>
    <row r="37" spans="2:17">
      <c r="B37" s="5"/>
      <c r="C37" s="261" t="s">
        <v>22</v>
      </c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7"/>
    </row>
    <row r="38" spans="2:17">
      <c r="B38" s="5"/>
      <c r="C38" s="1" t="s">
        <v>23</v>
      </c>
      <c r="Q38" s="7"/>
    </row>
    <row r="39" spans="2:17">
      <c r="B39" s="5"/>
      <c r="C39" s="1" t="s">
        <v>24</v>
      </c>
      <c r="Q39" s="7"/>
    </row>
    <row r="40" spans="2:17">
      <c r="B40" s="5"/>
      <c r="C40" s="1" t="s">
        <v>25</v>
      </c>
      <c r="Q40" s="7"/>
    </row>
    <row r="41" spans="2:17">
      <c r="B41" s="5"/>
      <c r="C41" s="1" t="s">
        <v>26</v>
      </c>
      <c r="Q41" s="7"/>
    </row>
    <row r="42" spans="2:17" ht="15" thickBot="1">
      <c r="B42" s="9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1"/>
    </row>
    <row r="43" spans="2:17" ht="15" thickBot="1"/>
    <row r="44" spans="2:17"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4"/>
    </row>
    <row r="45" spans="2:17" ht="18.600000000000001">
      <c r="B45" s="5"/>
      <c r="C45" s="6" t="s">
        <v>27</v>
      </c>
      <c r="Q45" s="7"/>
    </row>
    <row r="46" spans="2:17">
      <c r="B46" s="5"/>
      <c r="C46" s="261" t="s">
        <v>28</v>
      </c>
      <c r="D46" s="261"/>
      <c r="E46" s="261"/>
      <c r="F46" s="261"/>
      <c r="G46" s="261"/>
      <c r="H46" s="261"/>
      <c r="I46" s="261"/>
      <c r="J46" s="261"/>
      <c r="K46" s="261"/>
      <c r="L46" s="261"/>
      <c r="M46" s="261"/>
      <c r="N46" s="261"/>
      <c r="O46" s="261"/>
      <c r="P46" s="261"/>
      <c r="Q46" s="7"/>
    </row>
    <row r="47" spans="2:17">
      <c r="B47" s="5"/>
      <c r="C47" s="1" t="s">
        <v>29</v>
      </c>
      <c r="Q47" s="7"/>
    </row>
    <row r="48" spans="2:17">
      <c r="B48" s="5"/>
      <c r="C48" s="1" t="s">
        <v>30</v>
      </c>
      <c r="Q48" s="7"/>
    </row>
    <row r="49" spans="2:17">
      <c r="B49" s="5"/>
      <c r="C49" s="1" t="s">
        <v>31</v>
      </c>
      <c r="Q49" s="7"/>
    </row>
    <row r="50" spans="2:17">
      <c r="B50" s="5"/>
      <c r="C50" s="1" t="s">
        <v>32</v>
      </c>
      <c r="Q50" s="7"/>
    </row>
    <row r="51" spans="2:17">
      <c r="B51" s="5"/>
      <c r="C51" s="1" t="s">
        <v>33</v>
      </c>
      <c r="Q51" s="7"/>
    </row>
    <row r="52" spans="2:17">
      <c r="B52" s="5"/>
      <c r="C52" s="1" t="s">
        <v>34</v>
      </c>
      <c r="Q52" s="7"/>
    </row>
    <row r="53" spans="2:17">
      <c r="B53" s="5"/>
      <c r="C53" s="1" t="s">
        <v>35</v>
      </c>
      <c r="Q53" s="7"/>
    </row>
    <row r="54" spans="2:17" ht="15" thickBot="1">
      <c r="B54" s="9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1"/>
    </row>
    <row r="55" spans="2:17" ht="18.600000000000001">
      <c r="C55" s="19"/>
    </row>
    <row r="56" spans="2:17" ht="18.600000000000001">
      <c r="C56" s="19"/>
    </row>
    <row r="57" spans="2:17" ht="18.600000000000001">
      <c r="C57" s="19"/>
    </row>
    <row r="58" spans="2:17" ht="18.600000000000001">
      <c r="C58" s="19"/>
    </row>
    <row r="59" spans="2:17" ht="18.600000000000001">
      <c r="C59" s="19"/>
    </row>
    <row r="60" spans="2:17" ht="18.600000000000001">
      <c r="C60" s="19"/>
    </row>
  </sheetData>
  <sheetProtection algorithmName="SHA-512" hashValue="mR5DL36fbTx3xfgnndnDoipfxesHacXFNxYbY6srCTsMmvZgMOBvN+7bfhHuAOuvi2J4e1YQlabb6W0imjY1Ww==" saltValue="+cNn/zHiIZwDvo6EvGpfNw==" spinCount="100000" sheet="1" objects="1" scenarios="1"/>
  <mergeCells count="13">
    <mergeCell ref="C19:P19"/>
    <mergeCell ref="C5:P5"/>
    <mergeCell ref="C7:P7"/>
    <mergeCell ref="C8:P8"/>
    <mergeCell ref="C13:P13"/>
    <mergeCell ref="C14:P14"/>
    <mergeCell ref="C46:P46"/>
    <mergeCell ref="C20:P20"/>
    <mergeCell ref="C21:P21"/>
    <mergeCell ref="C22:P22"/>
    <mergeCell ref="C24:P24"/>
    <mergeCell ref="C31:P31"/>
    <mergeCell ref="C37:P37"/>
  </mergeCells>
  <pageMargins left="0.7" right="0.7" top="0.75" bottom="0.75" header="0.3" footer="0.3"/>
  <pageSetup paperSize="9" orientation="portrait" r:id="rId1"/>
  <headerFooter>
    <oddFooter>&amp;C_x000D_&amp;1#&amp;"Aptos"&amp;10&amp;K000000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4FAB-D629-493D-ACEE-AF70C0B84720}">
  <sheetPr>
    <pageSetUpPr autoPageBreaks="0"/>
  </sheetPr>
  <dimension ref="R7:W14"/>
  <sheetViews>
    <sheetView showGridLines="0" workbookViewId="0"/>
  </sheetViews>
  <sheetFormatPr defaultRowHeight="14.45"/>
  <sheetData>
    <row r="7" spans="18:23" ht="14.45" customHeight="1">
      <c r="R7" s="20"/>
      <c r="S7" s="20"/>
      <c r="T7" s="20"/>
      <c r="U7" s="20"/>
      <c r="V7" s="20"/>
      <c r="W7" s="20"/>
    </row>
    <row r="8" spans="18:23" ht="14.45" customHeight="1">
      <c r="R8" s="20"/>
      <c r="S8" s="20"/>
      <c r="T8" s="20"/>
      <c r="U8" s="20"/>
      <c r="V8" s="20"/>
      <c r="W8" s="20"/>
    </row>
    <row r="9" spans="18:23" ht="14.45" customHeight="1">
      <c r="R9" s="20"/>
      <c r="S9" s="20"/>
      <c r="T9" s="20"/>
      <c r="U9" s="20"/>
      <c r="V9" s="20"/>
      <c r="W9" s="20"/>
    </row>
    <row r="10" spans="18:23" ht="14.45" customHeight="1">
      <c r="R10" s="20"/>
      <c r="S10" s="20"/>
      <c r="T10" s="20"/>
      <c r="U10" s="20"/>
      <c r="V10" s="20"/>
      <c r="W10" s="20"/>
    </row>
    <row r="11" spans="18:23" ht="14.45" customHeight="1">
      <c r="R11" s="20"/>
      <c r="S11" s="20"/>
      <c r="T11" s="20"/>
      <c r="U11" s="20"/>
      <c r="V11" s="20"/>
      <c r="W11" s="20"/>
    </row>
    <row r="12" spans="18:23" ht="14.45" customHeight="1">
      <c r="R12" s="20"/>
      <c r="S12" s="20"/>
      <c r="T12" s="20"/>
      <c r="U12" s="20"/>
      <c r="V12" s="20"/>
      <c r="W12" s="20"/>
    </row>
    <row r="13" spans="18:23" ht="14.45" customHeight="1">
      <c r="R13" s="20"/>
      <c r="S13" s="20"/>
      <c r="T13" s="20"/>
      <c r="U13" s="20"/>
      <c r="V13" s="20"/>
      <c r="W13" s="20"/>
    </row>
    <row r="14" spans="18:23" ht="14.45" customHeight="1">
      <c r="R14" s="20"/>
      <c r="S14" s="20"/>
      <c r="T14" s="20"/>
      <c r="U14" s="20"/>
      <c r="V14" s="20"/>
      <c r="W14" s="20"/>
    </row>
  </sheetData>
  <sheetProtection algorithmName="SHA-512" hashValue="yZ5RAqL/0wV1nyTMTH1z6+lDspyGZTDGxe8y4ubxtWno+9nS+yHXsUaF66lxeNRyn6m/dTDKLSUTUlP2G4XAYg==" saltValue="kRAmTuQLmw/XFcNJwA3D9A==" spinCount="100000" sheet="1" formatColumns="0" formatRows="0" autoFilter="0" pivotTables="0"/>
  <pageMargins left="0.7" right="0.7" top="0.75" bottom="0.75" header="0.3" footer="0.3"/>
  <headerFooter>
    <oddFooter>&amp;C_x000D_&amp;1#&amp;"Aptos"&amp;10&amp;K000000 Confidential - Not for Public Consumption or Distribution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FD67-775C-43CC-B097-51B9FA0E1286}">
  <sheetPr>
    <tabColor theme="7"/>
    <pageSetUpPr autoPageBreaks="0"/>
  </sheetPr>
  <dimension ref="B2:S33"/>
  <sheetViews>
    <sheetView showGridLines="0" workbookViewId="0">
      <selection activeCell="H12" sqref="H12"/>
    </sheetView>
  </sheetViews>
  <sheetFormatPr defaultColWidth="8.7109375" defaultRowHeight="14.45"/>
  <cols>
    <col min="1" max="1" width="8.7109375" style="1"/>
    <col min="2" max="2" width="2.5703125" style="1" customWidth="1"/>
    <col min="3" max="3" width="48.85546875" style="1" customWidth="1"/>
    <col min="4" max="4" width="28.42578125" style="22" bestFit="1" customWidth="1"/>
    <col min="5" max="5" width="27.42578125" style="23" bestFit="1" customWidth="1"/>
    <col min="6" max="6" width="2.5703125" style="1" customWidth="1"/>
    <col min="7" max="16384" width="8.7109375" style="1"/>
  </cols>
  <sheetData>
    <row r="2" spans="2:19">
      <c r="B2" s="269" t="s">
        <v>36</v>
      </c>
      <c r="C2" s="269"/>
    </row>
    <row r="3" spans="2:19" ht="15" thickBot="1"/>
    <row r="4" spans="2:19">
      <c r="B4" s="2"/>
      <c r="C4" s="3"/>
      <c r="D4" s="24"/>
      <c r="E4" s="25"/>
      <c r="F4" s="4"/>
    </row>
    <row r="5" spans="2:19">
      <c r="B5" s="5"/>
      <c r="C5" s="270" t="e" vm="1">
        <f>INDEX('Drop Downs'!$G$2:$G$12,MATCH('Local PRF Calculator'!$E$6,'Drop Downs'!$F$2:$F$12,0))</f>
        <v>#VALUE!</v>
      </c>
      <c r="D5" s="23" t="s">
        <v>37</v>
      </c>
      <c r="E5" s="26">
        <v>2025</v>
      </c>
      <c r="F5" s="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6" spans="2:19" ht="14.45" customHeight="1">
      <c r="B6" s="5"/>
      <c r="C6" s="270"/>
      <c r="D6" s="23" t="s">
        <v>38</v>
      </c>
      <c r="E6" s="28" t="s">
        <v>39</v>
      </c>
      <c r="F6" s="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spans="2:19" ht="14.45" customHeight="1">
      <c r="B7" s="5"/>
      <c r="C7" s="270"/>
      <c r="D7" s="23" t="s">
        <v>40</v>
      </c>
      <c r="E7" s="28" t="s">
        <v>41</v>
      </c>
      <c r="F7" s="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</row>
    <row r="8" spans="2:19" ht="14.45" customHeight="1">
      <c r="B8" s="5"/>
      <c r="C8" s="270"/>
      <c r="D8" s="22" t="s">
        <v>42</v>
      </c>
      <c r="E8" s="29"/>
      <c r="F8" s="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</row>
    <row r="9" spans="2:19" ht="14.45" customHeight="1">
      <c r="B9" s="5"/>
      <c r="C9" s="270"/>
      <c r="D9" s="23" t="s">
        <v>43</v>
      </c>
      <c r="E9" s="30">
        <f>IFERROR(IF(E7="Select Market","Please complete Market",IF(E7="Central",VLOOKUP(E6&amp;" "&amp;E7,'FX Rates'!$B$4:$E$42,4,FALSE),VLOOKUP(E7,'FX Rates'!$B$4:$E$42,4,FALSE))),"FX Not Found")</f>
        <v>0.62</v>
      </c>
      <c r="F9" s="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</row>
    <row r="10" spans="2:19" ht="14.45" customHeight="1">
      <c r="B10" s="5"/>
      <c r="C10" s="270"/>
      <c r="D10" s="23" t="s">
        <v>44</v>
      </c>
      <c r="E10" s="31" t="s">
        <v>45</v>
      </c>
      <c r="F10" s="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</row>
    <row r="11" spans="2:19" ht="15" customHeight="1" thickBot="1">
      <c r="B11" s="9"/>
      <c r="C11" s="32"/>
      <c r="D11" s="32"/>
      <c r="E11" s="33"/>
      <c r="F11" s="11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</row>
    <row r="12" spans="2:19" ht="15" customHeight="1" thickBot="1">
      <c r="C12" s="23"/>
      <c r="D12" s="23"/>
      <c r="E12" s="34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</row>
    <row r="13" spans="2:19" ht="14.45" customHeight="1">
      <c r="B13" s="2"/>
      <c r="C13" s="25"/>
      <c r="D13" s="3"/>
      <c r="E13" s="24"/>
      <c r="F13" s="4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4" spans="2:19">
      <c r="B14" s="5"/>
      <c r="C14" s="35" t="s">
        <v>46</v>
      </c>
      <c r="D14" s="36" t="s">
        <v>47</v>
      </c>
      <c r="E14" s="37" t="s">
        <v>48</v>
      </c>
      <c r="F14" s="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 spans="2:19">
      <c r="B15" s="5"/>
      <c r="C15" s="27" t="s">
        <v>49</v>
      </c>
      <c r="D15" s="22" t="str">
        <f>IF(E10="FTE",#REF!,IF('Fee Summary'!E10="Commission",'Local Commission Model'!H15,IF(E10="Hybrid",#REF!+'Local Commission Model'!H15,"Please define fee type")))</f>
        <v>Please define fee type</v>
      </c>
      <c r="E15" s="30" t="str">
        <f>IFERROR(D15*$E$9,"Please complete Market")</f>
        <v>Please complete Market</v>
      </c>
      <c r="F15" s="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 spans="2:19">
      <c r="B16" s="5"/>
      <c r="C16" s="27" t="str">
        <f>IF(OR(E6="Porsche",E6="Bentley",E6="MAN Energy Solutions",E6="MAN Truck &amp; Bus"),"","Local Base Fee (80% of Nominal Fee - paid through year)")</f>
        <v/>
      </c>
      <c r="D16" s="22" t="str">
        <f>IFERROR(IF(OR(E6="Porsche",E6="Bentley",E6="MAN Energy Solutions",E6="MAN Truck &amp; Bus"),"",D15*0.8),"TBC")</f>
        <v/>
      </c>
      <c r="E16" s="22" t="str">
        <f>IFERROR(IF(OR(E6="Porsche",E6="Bentley",E6="MAN Energy Solutions",E6="MAN Truck &amp; Bus"),"",E15*0.8),"TBC")</f>
        <v/>
      </c>
      <c r="F16" s="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spans="2:19">
      <c r="B17" s="5"/>
      <c r="F17" s="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</row>
    <row r="18" spans="2:19">
      <c r="B18" s="5"/>
      <c r="C18" s="35" t="s">
        <v>50</v>
      </c>
      <c r="D18" s="36"/>
      <c r="E18" s="37"/>
      <c r="F18" s="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</row>
    <row r="19" spans="2:19">
      <c r="B19" s="5"/>
      <c r="C19" s="27" t="s">
        <v>51</v>
      </c>
      <c r="D19" s="22">
        <f>'BAH Perf Fee Reconciliations'!D15</f>
        <v>49062.5</v>
      </c>
      <c r="E19" s="22">
        <f>IFERROR(D19*E9,"TBC")</f>
        <v>30418.75</v>
      </c>
      <c r="F19" s="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 spans="2:19">
      <c r="B20" s="5"/>
      <c r="F20" s="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</row>
    <row r="21" spans="2:19">
      <c r="B21" s="5"/>
      <c r="C21" s="35" t="str">
        <f>IF(OR(E6="Porsche",E6="Bentley",E6="MAN Energy Solutions",E6="MAN Truck &amp; Bus"),"","Total Fees")</f>
        <v/>
      </c>
      <c r="D21" s="36"/>
      <c r="E21" s="37"/>
      <c r="F21" s="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</row>
    <row r="22" spans="2:19">
      <c r="B22" s="5"/>
      <c r="C22" s="27" t="str">
        <f>IF(OR(E6="Porsche",E6="Bentley",E6="MAN Energy Solutions",E6="MAN Truck &amp; Bus"),"","Total Fee eligible for bonus (Nominal Fees)")</f>
        <v/>
      </c>
      <c r="D22" s="38" t="str">
        <f>IF(OR(E6="Porsche",E6="Bentley",E6="MAN Energy Solutions",E6="MAN Truck &amp; Bus"),"",IFERROR(D19+D15,"TBC"))</f>
        <v/>
      </c>
      <c r="E22" s="38" t="str">
        <f>IF(OR(E6="Porsche",E6="Bentley",E6="MAN Energy Solutions",E6="MAN Truck &amp; Bus"),"",IFERROR(E19+E15,"TBC"))</f>
        <v/>
      </c>
      <c r="F22" s="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2:19">
      <c r="B23" s="5"/>
      <c r="C23" s="1" t="str">
        <f>IF(OR(E6="Porsche",E6="Bentley",E6="MAN Energy Solutions",E6="MAN Truck &amp; Bus"),"","Billed fee (Local Base Fee + BAH Nominal Fee)")</f>
        <v/>
      </c>
      <c r="D23" s="22" t="str">
        <f>IF(OR(E6="Porsche",E6="Bentley",E6="MAN Energy Solutions",E6="MAN Truck &amp; Bus"),"",IFERROR(D19+D16,"TBC"))</f>
        <v/>
      </c>
      <c r="E23" s="22" t="str">
        <f>IF(OR(E6="Porsche",E6="Bentley",E6="MAN Energy Solutions",E6="MAN Truck &amp; Bus"),"",IFERROR(E19+E16,"TBC"))</f>
        <v/>
      </c>
      <c r="F23" s="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</row>
    <row r="24" spans="2:19" ht="15" thickBot="1">
      <c r="B24" s="9"/>
      <c r="C24" s="18"/>
      <c r="D24" s="39"/>
      <c r="E24" s="32"/>
      <c r="F24" s="11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</row>
    <row r="25" spans="2:19" ht="15" thickBot="1"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</row>
    <row r="26" spans="2:19">
      <c r="B26" s="2"/>
      <c r="C26" s="3"/>
      <c r="D26" s="24"/>
      <c r="E26" s="25"/>
      <c r="F26" s="4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2:19">
      <c r="B27" s="5"/>
      <c r="D27" s="37" t="s">
        <v>47</v>
      </c>
      <c r="E27" s="36" t="s">
        <v>48</v>
      </c>
      <c r="F27" s="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</row>
    <row r="28" spans="2:19">
      <c r="B28" s="5"/>
      <c r="C28" s="1" t="str">
        <f>IF(OR(E6="Porsche",E6="Bentley",E6="MAN Energy Solutions",E6="MAN Truck &amp; Bus"),"","Total Fee @ Max Bonus (120% of Nominal Fee)")</f>
        <v/>
      </c>
      <c r="D28" s="38" t="str">
        <f>IFERROR(IF(OR(E6="Porsche",E6="Bentley",E6="MAN Energy Solutions",E6="MAN Truck &amp; Bus"),"",1.2*D22),"TBC")</f>
        <v/>
      </c>
      <c r="E28" s="38" t="str">
        <f>IFERROR(IF(OR(E6="Porsche",E6="Bentley",E6="MAN Energy Solutions",E6="MAN Truck &amp; Bus"),"",1.2*E22),"TBC")</f>
        <v/>
      </c>
      <c r="F28" s="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</row>
    <row r="29" spans="2:19">
      <c r="B29" s="5"/>
      <c r="C29" s="1" t="str">
        <f>IF(OR(E6="Porsche",E6="Bentley",E6="MAN Energy Solutions",E6="MAN Truck &amp; Bus"),"","Actual Fee Payable (% of Nominal Fee)")</f>
        <v/>
      </c>
      <c r="D29" s="271" t="str">
        <f>IF(OR(E6="Porsche",E6="Bentley",E6="MAN Energy Solutions",E6="MAN Truck &amp; Bus"),"",'Local PRF Calculator'!E9)</f>
        <v/>
      </c>
      <c r="E29" s="271"/>
      <c r="F29" s="7"/>
    </row>
    <row r="30" spans="2:19">
      <c r="B30" s="5"/>
      <c r="C30" s="41" t="str">
        <f>IF(OR(E6="Porsche",E6="Bentley",E6="MAN Energy Solutions",E6="MAN Truck &amp; Bus"),"Total Nominal Fee","Actual Fee Payable")</f>
        <v>Total Nominal Fee</v>
      </c>
      <c r="D30" s="42" t="str">
        <f>IFERROR(IF(OR(E6="Porsche",E6="Bentley",E6="MAN Energy Solutions",E6="MAN Truck &amp; Bus"),D19+D15,IFERROR(D22*D29,"TBC")),"TBC")</f>
        <v>TBC</v>
      </c>
      <c r="E30" s="43" t="str">
        <f>IFERROR(IF(OR(E6="Porsche",E6="Bentley",E6="MAN Energy Solutions",E6="MAN Truck &amp; Bus"),E19+E15,IFERROR(E22*D29,"TBC")),"TBC")</f>
        <v>TBC</v>
      </c>
      <c r="F30" s="7"/>
    </row>
    <row r="31" spans="2:19">
      <c r="B31" s="5"/>
      <c r="C31" s="44" t="str">
        <f>IF(OR(E6="Porsche",E6="Bentley",E6="MAN Energy Solutions",E6="MAN Truck &amp; Bus"),"","Reconciled Fee Payment
(difference between Billed and Actual Fee Payable)")</f>
        <v/>
      </c>
      <c r="D31" s="45" t="str">
        <f>IF(OR(E6="Porsche",E6="Bentley",E6="MAN Energy Solutions",E6="MAN Truck &amp; Bus"),"",IFERROR(D30-D23,"TBC"))</f>
        <v/>
      </c>
      <c r="E31" s="46" t="str">
        <f>IF(OR(E6="Porsche",E6="Bentley",E6="MAN Energy Solutions",E6="MAN Truck &amp; Bus"),"",IFERROR(E30-E23,"TBC"))</f>
        <v/>
      </c>
      <c r="F31" s="7"/>
    </row>
    <row r="32" spans="2:19" ht="29.1">
      <c r="B32" s="5"/>
      <c r="C32" s="47" t="str">
        <f>IF(E5="Select Year","Total Annual Fee including Performance reconciliations &amp; Ad Ops Levy","Total "&amp;E5&amp;" Fee including Biddable reconciliations &amp; Ad Ops Levy")</f>
        <v>Total 2025 Fee including Biddable reconciliations &amp; Ad Ops Levy</v>
      </c>
      <c r="D32" s="48" t="str">
        <f>IFERROR(D30+'BAH Perf Fee Reconciliations'!D18+SUM('BAH Perf Fee Reconciliations'!G:G),"TBC")</f>
        <v>TBC</v>
      </c>
      <c r="E32" s="37" t="str">
        <f>IFERROR(D32*$E$9,"TBC")</f>
        <v>TBC</v>
      </c>
      <c r="F32" s="7"/>
    </row>
    <row r="33" spans="2:6" ht="15" thickBot="1">
      <c r="B33" s="9"/>
      <c r="C33" s="18"/>
      <c r="D33" s="39"/>
      <c r="E33" s="32"/>
      <c r="F33" s="11"/>
    </row>
  </sheetData>
  <sheetProtection algorithmName="SHA-512" hashValue="f6bgQE0aHHq5p1cu7YR/dIm4X52ZqWIlNxT5m66n4kZ16ycwKxwJqjIK/BDFDC5jpxV+vDxBjVRsNSR/7duU9Q==" saltValue="po45UWyJSpdLrtgnLjkJHg==" spinCount="100000" sheet="1" objects="1" scenarios="1"/>
  <mergeCells count="3">
    <mergeCell ref="B2:C2"/>
    <mergeCell ref="C5:C10"/>
    <mergeCell ref="D29:E29"/>
  </mergeCells>
  <conditionalFormatting sqref="D15">
    <cfRule type="containsText" dxfId="10" priority="3" operator="containsText" text="Please define fee type">
      <formula>NOT(ISERROR(SEARCH("Please define fee type",D15)))</formula>
    </cfRule>
  </conditionalFormatting>
  <conditionalFormatting sqref="E9">
    <cfRule type="containsText" dxfId="9" priority="4" operator="containsText" text="Please complete market">
      <formula>NOT(ISERROR(SEARCH("Please complete market",E9)))</formula>
    </cfRule>
  </conditionalFormatting>
  <conditionalFormatting sqref="E15">
    <cfRule type="containsText" dxfId="8" priority="1" operator="containsText" text="Please complete market">
      <formula>NOT(ISERROR(SEARCH("Please complete market",E15)))</formula>
    </cfRule>
  </conditionalFormatting>
  <conditionalFormatting sqref="E32">
    <cfRule type="containsText" dxfId="7" priority="2" operator="containsText" text="Please define fee type">
      <formula>NOT(ISERROR(SEARCH("Please define fee type",E32)))</formula>
    </cfRule>
  </conditionalFormatting>
  <pageMargins left="0.7" right="0.7" top="0.75" bottom="0.75" header="0.3" footer="0.3"/>
  <pageSetup paperSize="9" orientation="portrait" r:id="rId1"/>
  <headerFooter>
    <oddFooter>&amp;C_x000D_&amp;1#&amp;"Aptos"&amp;10&amp;K000000 Confidential - Not for Public Consumption or Distribution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2874A7D9-D4AC-4D25-95F7-9C9811DAFAC5}">
          <x14:formula1>
            <xm:f>'Drop Downs'!$C$2:$C$8</xm:f>
          </x14:formula1>
          <xm:sqref>E5</xm:sqref>
        </x14:dataValidation>
        <x14:dataValidation type="list" showInputMessage="1" showErrorMessage="1" xr:uid="{7FA3CF56-7379-4FFF-9827-996D2B583FF5}">
          <x14:formula1>
            <xm:f>'Drop Downs'!$F$3:$F$12</xm:f>
          </x14:formula1>
          <xm:sqref>E6</xm:sqref>
        </x14:dataValidation>
        <x14:dataValidation type="list" allowBlank="1" showInputMessage="1" showErrorMessage="1" xr:uid="{EEA35BD1-179E-461C-B42C-7964860F4521}">
          <x14:formula1>
            <xm:f>'Drop Downs'!$I$2:$I$5</xm:f>
          </x14:formula1>
          <xm:sqref>E10</xm:sqref>
        </x14:dataValidation>
        <x14:dataValidation type="list" showInputMessage="1" showErrorMessage="1" xr:uid="{EBE58E0A-364C-46D1-96F0-4FEBD95EFA52}">
          <x14:formula1>
            <xm:f>'Drop Downs'!$B$2:$B$31</xm:f>
          </x14:formula1>
          <xm:sqref>E7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2F23-7796-4EFD-AA83-FAD34CAD0DEF}">
  <sheetPr codeName="Sheet4">
    <tabColor rgb="FF92D050"/>
    <pageSetUpPr autoPageBreaks="0"/>
  </sheetPr>
  <dimension ref="B2:Z44"/>
  <sheetViews>
    <sheetView showGridLines="0" tabSelected="1" zoomScale="85" zoomScaleNormal="85" workbookViewId="0">
      <selection activeCell="F15" sqref="F15"/>
    </sheetView>
  </sheetViews>
  <sheetFormatPr defaultColWidth="8.7109375" defaultRowHeight="15" customHeight="1"/>
  <cols>
    <col min="1" max="1" width="5.42578125" customWidth="1"/>
    <col min="2" max="2" width="21.42578125" customWidth="1"/>
    <col min="3" max="3" width="48.42578125" bestFit="1" customWidth="1"/>
    <col min="4" max="4" width="16.42578125" customWidth="1"/>
    <col min="5" max="5" width="43.42578125" bestFit="1" customWidth="1"/>
    <col min="6" max="6" width="13.42578125" customWidth="1"/>
    <col min="7" max="8" width="2.7109375" customWidth="1"/>
    <col min="9" max="9" width="16.28515625" customWidth="1"/>
    <col min="10" max="10" width="16.42578125" customWidth="1"/>
    <col min="11" max="11" width="2.7109375" customWidth="1"/>
    <col min="12" max="13" width="15.85546875" customWidth="1"/>
    <col min="14" max="14" width="2.7109375" customWidth="1"/>
    <col min="15" max="16" width="12.140625" customWidth="1"/>
    <col min="17" max="17" width="3.28515625" customWidth="1"/>
  </cols>
  <sheetData>
    <row r="2" spans="2:26" ht="23.45">
      <c r="B2" s="49" t="s">
        <v>52</v>
      </c>
    </row>
    <row r="3" spans="2:26" ht="5.25" customHeight="1"/>
    <row r="4" spans="2:26" ht="5.25" customHeight="1"/>
    <row r="5" spans="2:26" ht="14.45">
      <c r="B5" s="50" t="s">
        <v>40</v>
      </c>
      <c r="C5" s="218" t="s">
        <v>41</v>
      </c>
      <c r="E5" s="219"/>
      <c r="F5" s="219"/>
    </row>
    <row r="6" spans="2:26" ht="14.45">
      <c r="B6" s="50" t="s">
        <v>38</v>
      </c>
      <c r="C6" s="218" t="s">
        <v>39</v>
      </c>
    </row>
    <row r="7" spans="2:26" ht="14.45">
      <c r="B7" s="50" t="s">
        <v>37</v>
      </c>
      <c r="C7" s="52">
        <v>2025</v>
      </c>
    </row>
    <row r="8" spans="2:26" ht="14.45">
      <c r="B8" s="50" t="s">
        <v>53</v>
      </c>
      <c r="C8" s="52">
        <v>0.62</v>
      </c>
    </row>
    <row r="9" spans="2:26" ht="5.25" customHeight="1">
      <c r="K9" s="54"/>
    </row>
    <row r="10" spans="2:26" s="1" customFormat="1" ht="14.45">
      <c r="G10"/>
      <c r="H10" s="220"/>
      <c r="I10" s="221"/>
      <c r="J10" s="221"/>
      <c r="K10" s="221"/>
      <c r="L10" s="221"/>
      <c r="M10" s="221"/>
    </row>
    <row r="11" spans="2:26" s="57" customFormat="1" ht="45.95" customHeight="1">
      <c r="B11" s="222" t="s">
        <v>54</v>
      </c>
      <c r="C11" s="222" t="s">
        <v>55</v>
      </c>
      <c r="D11" s="222" t="s">
        <v>56</v>
      </c>
      <c r="E11" s="222" t="s">
        <v>57</v>
      </c>
      <c r="F11" s="222" t="s">
        <v>58</v>
      </c>
      <c r="G11" s="59"/>
      <c r="H11" s="223"/>
      <c r="I11" s="222" t="s">
        <v>59</v>
      </c>
      <c r="J11" s="222" t="s">
        <v>60</v>
      </c>
      <c r="K11" s="58"/>
      <c r="L11" s="222" t="s">
        <v>61</v>
      </c>
      <c r="M11" s="222" t="s">
        <v>62</v>
      </c>
      <c r="O11" s="222" t="s">
        <v>63</v>
      </c>
      <c r="P11" s="222" t="s">
        <v>64</v>
      </c>
    </row>
    <row r="12" spans="2:26" s="57" customFormat="1" ht="8.4499999999999993" customHeight="1">
      <c r="G12" s="59"/>
    </row>
    <row r="13" spans="2:26" s="58" customFormat="1" ht="20.100000000000001" customHeight="1">
      <c r="B13" s="255" t="s">
        <v>65</v>
      </c>
      <c r="C13" s="256"/>
      <c r="D13" s="256"/>
      <c r="E13" s="256"/>
      <c r="F13" s="257"/>
      <c r="G13" s="224"/>
      <c r="H13" s="225"/>
      <c r="I13" s="226"/>
      <c r="J13" s="227">
        <f>SUM(J15:J18)</f>
        <v>170056.10309997006</v>
      </c>
      <c r="K13" s="225"/>
      <c r="L13" s="228"/>
      <c r="M13" s="227">
        <f>SUM(M15:M18)</f>
        <v>288304.70052247081</v>
      </c>
      <c r="N13" s="225"/>
      <c r="O13" s="229"/>
      <c r="P13" s="230">
        <f>M13-J13</f>
        <v>118248.59742250075</v>
      </c>
    </row>
    <row r="14" spans="2:26" s="58" customFormat="1" ht="15.95"/>
    <row r="15" spans="2:26" s="59" customFormat="1" ht="15.95">
      <c r="B15" s="258" t="s">
        <v>66</v>
      </c>
      <c r="C15" s="259"/>
      <c r="D15" s="259"/>
      <c r="E15" s="260"/>
      <c r="F15" s="231"/>
      <c r="H15" s="232"/>
      <c r="I15" s="233"/>
      <c r="J15" s="234"/>
      <c r="L15" s="233"/>
      <c r="M15" s="235">
        <f>[2]MarketBrand_Commission!H35</f>
        <v>102500</v>
      </c>
      <c r="O15" s="233"/>
      <c r="P15" s="234"/>
      <c r="S15" s="236" t="s">
        <v>67</v>
      </c>
      <c r="T15" s="236"/>
      <c r="U15" s="236"/>
      <c r="V15" s="236"/>
      <c r="W15" s="236"/>
      <c r="X15" s="236"/>
      <c r="Y15" s="236"/>
      <c r="Z15" s="236"/>
    </row>
    <row r="16" spans="2:26" s="59" customFormat="1" ht="15.95">
      <c r="B16" s="258" t="s">
        <v>68</v>
      </c>
      <c r="C16" s="259"/>
      <c r="D16" s="259"/>
      <c r="E16" s="260"/>
      <c r="F16" s="231"/>
      <c r="H16" s="232"/>
      <c r="I16" s="233"/>
      <c r="J16" s="234"/>
      <c r="L16" s="233"/>
      <c r="M16" s="235">
        <f>[2]MarketBrand_Commission!G35</f>
        <v>20000</v>
      </c>
      <c r="O16" s="233"/>
      <c r="P16" s="234"/>
      <c r="S16"/>
    </row>
    <row r="17" spans="2:19" s="59" customFormat="1" ht="16.5" thickBot="1">
      <c r="B17" s="237"/>
      <c r="C17" s="237"/>
      <c r="D17" s="237"/>
      <c r="E17" s="237"/>
      <c r="F17" s="238"/>
      <c r="H17" s="239"/>
      <c r="I17" s="240"/>
      <c r="J17" s="241"/>
      <c r="L17" s="240"/>
      <c r="M17" s="241"/>
      <c r="O17" s="240"/>
      <c r="P17" s="241"/>
      <c r="S17"/>
    </row>
    <row r="18" spans="2:19" s="59" customFormat="1" ht="16.5" thickBot="1">
      <c r="B18" s="258" t="s">
        <v>69</v>
      </c>
      <c r="C18" s="259"/>
      <c r="D18" s="259"/>
      <c r="E18" s="260"/>
      <c r="F18" s="233"/>
      <c r="G18" s="232"/>
      <c r="H18" s="232"/>
      <c r="I18" s="242">
        <f>I20</f>
        <v>2.2049999999999987</v>
      </c>
      <c r="J18" s="243">
        <f>J20</f>
        <v>170056.10309997006</v>
      </c>
      <c r="K18" s="232"/>
      <c r="L18" s="242">
        <f>L20</f>
        <v>2.2049999999999987</v>
      </c>
      <c r="M18" s="243">
        <f>M20*97.5%</f>
        <v>165804.70052247081</v>
      </c>
      <c r="N18" s="232"/>
      <c r="O18" s="242">
        <f>L18-I18</f>
        <v>0</v>
      </c>
      <c r="P18" s="243">
        <f>M18-J18</f>
        <v>-4251.4025774992479</v>
      </c>
      <c r="R18" s="244"/>
      <c r="S18"/>
    </row>
    <row r="19" spans="2:19" s="59" customFormat="1" ht="16.5" thickBot="1"/>
    <row r="20" spans="2:19" s="58" customFormat="1" ht="16.5" thickBot="1">
      <c r="B20" s="255" t="s">
        <v>70</v>
      </c>
      <c r="C20" s="256"/>
      <c r="D20" s="256"/>
      <c r="E20" s="256"/>
      <c r="F20" s="257"/>
      <c r="G20" s="59"/>
      <c r="H20" s="223"/>
      <c r="I20" s="245">
        <f>SUM(I21:I190)</f>
        <v>2.2049999999999987</v>
      </c>
      <c r="J20" s="246">
        <f>SUM(J21:J190)</f>
        <v>170056.10309997006</v>
      </c>
      <c r="K20" s="225"/>
      <c r="L20" s="247">
        <f>SUM(L21:L190)</f>
        <v>2.2049999999999987</v>
      </c>
      <c r="M20" s="248">
        <f>SUM(M21:M190)</f>
        <v>170056.10309997006</v>
      </c>
      <c r="N20" s="225"/>
      <c r="O20" s="247">
        <f>SUM(O21:O190)</f>
        <v>0</v>
      </c>
      <c r="P20" s="249">
        <f>SUM(P21:P190)</f>
        <v>0</v>
      </c>
    </row>
    <row r="21" spans="2:19" s="59" customFormat="1" ht="15.95">
      <c r="B21" s="250" t="s">
        <v>71</v>
      </c>
      <c r="C21" s="250" t="s">
        <v>72</v>
      </c>
      <c r="D21" s="250" t="s">
        <v>73</v>
      </c>
      <c r="E21" s="250" t="s">
        <v>74</v>
      </c>
      <c r="F21" s="251">
        <v>131084.800615271</v>
      </c>
      <c r="H21" s="232"/>
      <c r="I21" s="252">
        <v>0.17499999999999999</v>
      </c>
      <c r="J21" s="253">
        <f>IFERROR(F21*I21,0)</f>
        <v>22939.840107672422</v>
      </c>
      <c r="L21" s="252">
        <v>0.17499999999999996</v>
      </c>
      <c r="M21" s="253">
        <f>IFERROR(F21*L21,0)</f>
        <v>22939.840107672419</v>
      </c>
      <c r="O21" s="252">
        <f>L21-I21</f>
        <v>0</v>
      </c>
      <c r="P21" s="253">
        <f>M21-J21</f>
        <v>0</v>
      </c>
    </row>
    <row r="22" spans="2:19" s="59" customFormat="1" ht="15.95">
      <c r="B22" s="250" t="s">
        <v>71</v>
      </c>
      <c r="C22" s="250" t="s">
        <v>75</v>
      </c>
      <c r="D22" s="250" t="s">
        <v>76</v>
      </c>
      <c r="E22" s="250" t="s">
        <v>77</v>
      </c>
      <c r="F22" s="251">
        <v>85174.411754244895</v>
      </c>
      <c r="H22" s="232"/>
      <c r="I22" s="233">
        <v>0.17499999999999996</v>
      </c>
      <c r="J22" s="234">
        <f>IFERROR(F22*I22,0)</f>
        <v>14905.522056992853</v>
      </c>
      <c r="L22" s="233">
        <v>0.17499999999999996</v>
      </c>
      <c r="M22" s="234">
        <f>IFERROR(F22*L22,0)</f>
        <v>14905.522056992853</v>
      </c>
      <c r="O22" s="233">
        <f t="shared" ref="O22:P36" si="0">L22-I22</f>
        <v>0</v>
      </c>
      <c r="P22" s="234">
        <f t="shared" si="0"/>
        <v>0</v>
      </c>
    </row>
    <row r="23" spans="2:19" s="59" customFormat="1" ht="15.95">
      <c r="B23" s="250" t="s">
        <v>71</v>
      </c>
      <c r="C23" s="250" t="s">
        <v>75</v>
      </c>
      <c r="D23" s="250" t="s">
        <v>78</v>
      </c>
      <c r="E23" s="250" t="s">
        <v>79</v>
      </c>
      <c r="F23" s="251">
        <v>74426.934439422694</v>
      </c>
      <c r="H23" s="232"/>
      <c r="I23" s="233">
        <v>0.17499999999999996</v>
      </c>
      <c r="J23" s="234">
        <f>IFERROR(F23*I23,0)</f>
        <v>13024.713526898968</v>
      </c>
      <c r="L23" s="233">
        <v>0.17499999999999996</v>
      </c>
      <c r="M23" s="234">
        <f>IFERROR(F23*L23,0)</f>
        <v>13024.713526898968</v>
      </c>
      <c r="O23" s="233">
        <f t="shared" si="0"/>
        <v>0</v>
      </c>
      <c r="P23" s="234">
        <f t="shared" si="0"/>
        <v>0</v>
      </c>
    </row>
    <row r="24" spans="2:19" s="59" customFormat="1" ht="15.95">
      <c r="B24" s="250" t="s">
        <v>71</v>
      </c>
      <c r="C24" s="250" t="s">
        <v>72</v>
      </c>
      <c r="D24" s="250" t="s">
        <v>73</v>
      </c>
      <c r="E24" s="250" t="s">
        <v>74</v>
      </c>
      <c r="F24" s="251">
        <v>131084.800615271</v>
      </c>
      <c r="H24" s="232"/>
      <c r="I24" s="233">
        <v>0.17499999999999996</v>
      </c>
      <c r="J24" s="234">
        <f>IFERROR(F24*I24,0)</f>
        <v>22939.840107672419</v>
      </c>
      <c r="L24" s="233">
        <v>0.17499999999999996</v>
      </c>
      <c r="M24" s="234">
        <f>IFERROR(F24*L24,0)</f>
        <v>22939.840107672419</v>
      </c>
      <c r="O24" s="233">
        <f t="shared" si="0"/>
        <v>0</v>
      </c>
      <c r="P24" s="234">
        <f t="shared" si="0"/>
        <v>0</v>
      </c>
    </row>
    <row r="25" spans="2:19" s="59" customFormat="1" ht="15.95">
      <c r="B25" s="250" t="s">
        <v>71</v>
      </c>
      <c r="C25" s="250" t="s">
        <v>75</v>
      </c>
      <c r="D25" s="250" t="s">
        <v>78</v>
      </c>
      <c r="E25" s="250" t="s">
        <v>79</v>
      </c>
      <c r="F25" s="251">
        <v>74426.934439422694</v>
      </c>
      <c r="H25" s="232"/>
      <c r="I25" s="233">
        <v>0.26249999999999996</v>
      </c>
      <c r="J25" s="234">
        <f>IFERROR(F25*I25,0)</f>
        <v>19537.070290348453</v>
      </c>
      <c r="L25" s="233">
        <v>0.26249999999999996</v>
      </c>
      <c r="M25" s="234">
        <f>IFERROR(F25*L25,0)</f>
        <v>19537.070290348453</v>
      </c>
      <c r="O25" s="233">
        <f t="shared" si="0"/>
        <v>0</v>
      </c>
      <c r="P25" s="234">
        <f t="shared" si="0"/>
        <v>0</v>
      </c>
    </row>
    <row r="26" spans="2:19" s="59" customFormat="1" ht="15.95">
      <c r="B26" s="250" t="s">
        <v>71</v>
      </c>
      <c r="C26" s="250" t="s">
        <v>75</v>
      </c>
      <c r="D26" s="250" t="s">
        <v>80</v>
      </c>
      <c r="E26" s="250" t="s">
        <v>81</v>
      </c>
      <c r="F26" s="251">
        <v>56004.273610068303</v>
      </c>
      <c r="H26" s="232"/>
      <c r="I26" s="233">
        <v>0.26249999999999996</v>
      </c>
      <c r="J26" s="234">
        <f>IFERROR(F26*I26,0)</f>
        <v>14701.121822642926</v>
      </c>
      <c r="L26" s="233">
        <v>0.26249999999999996</v>
      </c>
      <c r="M26" s="234">
        <f>IFERROR(F26*L26,0)</f>
        <v>14701.121822642926</v>
      </c>
      <c r="O26" s="233">
        <f t="shared" si="0"/>
        <v>0</v>
      </c>
      <c r="P26" s="234">
        <f t="shared" si="0"/>
        <v>0</v>
      </c>
    </row>
    <row r="27" spans="2:19" s="59" customFormat="1" ht="15.95">
      <c r="B27" s="250" t="s">
        <v>71</v>
      </c>
      <c r="C27" s="250" t="s">
        <v>75</v>
      </c>
      <c r="D27" s="250" t="s">
        <v>80</v>
      </c>
      <c r="E27" s="250" t="s">
        <v>81</v>
      </c>
      <c r="F27" s="251">
        <v>56004.273610068303</v>
      </c>
      <c r="H27" s="232"/>
      <c r="I27" s="233">
        <v>0.52499999999999991</v>
      </c>
      <c r="J27" s="234">
        <f>IFERROR(F27*I27,0)</f>
        <v>29402.243645285853</v>
      </c>
      <c r="L27" s="233">
        <v>0.52499999999999991</v>
      </c>
      <c r="M27" s="234">
        <f>IFERROR(F27*L27,0)</f>
        <v>29402.243645285853</v>
      </c>
      <c r="O27" s="233">
        <f t="shared" si="0"/>
        <v>0</v>
      </c>
      <c r="P27" s="234">
        <f t="shared" si="0"/>
        <v>0</v>
      </c>
    </row>
    <row r="28" spans="2:19" s="59" customFormat="1" ht="48">
      <c r="B28" s="250" t="s">
        <v>71</v>
      </c>
      <c r="C28" s="254" t="s">
        <v>82</v>
      </c>
      <c r="D28" s="250" t="s">
        <v>76</v>
      </c>
      <c r="E28" s="250" t="s">
        <v>77</v>
      </c>
      <c r="F28" s="251">
        <v>95633.004692796603</v>
      </c>
      <c r="H28" s="232"/>
      <c r="I28" s="233">
        <v>3.4999999999999996E-2</v>
      </c>
      <c r="J28" s="234">
        <f>IFERROR(F28*I28,0)</f>
        <v>3347.1551642478807</v>
      </c>
      <c r="L28" s="233">
        <v>3.4999999999999996E-2</v>
      </c>
      <c r="M28" s="234">
        <f>IFERROR(F28*L28,0)</f>
        <v>3347.1551642478807</v>
      </c>
      <c r="O28" s="233">
        <f t="shared" si="0"/>
        <v>0</v>
      </c>
      <c r="P28" s="234">
        <f t="shared" si="0"/>
        <v>0</v>
      </c>
    </row>
    <row r="29" spans="2:19" s="59" customFormat="1" ht="15.95">
      <c r="B29" s="250" t="s">
        <v>71</v>
      </c>
      <c r="C29" s="250" t="s">
        <v>75</v>
      </c>
      <c r="D29" s="250" t="s">
        <v>78</v>
      </c>
      <c r="E29" s="250" t="s">
        <v>79</v>
      </c>
      <c r="F29" s="251">
        <v>74426.934439422694</v>
      </c>
      <c r="H29" s="232"/>
      <c r="I29" s="233">
        <v>3.9999999999999994E-2</v>
      </c>
      <c r="J29" s="234">
        <f>IFERROR(F29*I29,0)</f>
        <v>2977.0773775769071</v>
      </c>
      <c r="L29" s="233">
        <v>3.9999999999999994E-2</v>
      </c>
      <c r="M29" s="234">
        <f>IFERROR(F29*L29,0)</f>
        <v>2977.0773775769071</v>
      </c>
      <c r="O29" s="233">
        <f t="shared" si="0"/>
        <v>0</v>
      </c>
      <c r="P29" s="234">
        <f t="shared" si="0"/>
        <v>0</v>
      </c>
    </row>
    <row r="30" spans="2:19" s="59" customFormat="1" ht="15.95">
      <c r="B30" s="250" t="s">
        <v>71</v>
      </c>
      <c r="C30" s="250" t="s">
        <v>75</v>
      </c>
      <c r="D30" s="250" t="s">
        <v>80</v>
      </c>
      <c r="E30" s="250" t="s">
        <v>81</v>
      </c>
      <c r="F30" s="251">
        <v>56004.273610068303</v>
      </c>
      <c r="H30" s="232"/>
      <c r="I30" s="233">
        <v>0.09</v>
      </c>
      <c r="J30" s="234">
        <f>IFERROR(F30*I30,0)</f>
        <v>5040.3846249061471</v>
      </c>
      <c r="L30" s="233">
        <v>0.09</v>
      </c>
      <c r="M30" s="234">
        <f>IFERROR(F30*L30,0)</f>
        <v>5040.3846249061471</v>
      </c>
      <c r="O30" s="233">
        <f t="shared" si="0"/>
        <v>0</v>
      </c>
      <c r="P30" s="234">
        <f t="shared" si="0"/>
        <v>0</v>
      </c>
    </row>
    <row r="31" spans="2:19" s="59" customFormat="1" ht="48">
      <c r="B31" s="250" t="s">
        <v>71</v>
      </c>
      <c r="C31" s="254" t="s">
        <v>82</v>
      </c>
      <c r="D31" s="250" t="s">
        <v>73</v>
      </c>
      <c r="E31" s="250" t="s">
        <v>83</v>
      </c>
      <c r="F31" s="251">
        <v>127791.44809386801</v>
      </c>
      <c r="H31" s="232"/>
      <c r="I31" s="233">
        <v>5.000000000000001E-2</v>
      </c>
      <c r="J31" s="234">
        <f>IFERROR(F31*I31,0)</f>
        <v>6389.5724046934019</v>
      </c>
      <c r="L31" s="233">
        <v>5.000000000000001E-2</v>
      </c>
      <c r="M31" s="234">
        <f>IFERROR(F31*L31,0)</f>
        <v>6389.5724046934019</v>
      </c>
      <c r="O31" s="233">
        <f t="shared" si="0"/>
        <v>0</v>
      </c>
      <c r="P31" s="234">
        <f t="shared" si="0"/>
        <v>0</v>
      </c>
    </row>
    <row r="32" spans="2:19" s="59" customFormat="1" ht="48">
      <c r="B32" s="250" t="s">
        <v>71</v>
      </c>
      <c r="C32" s="254" t="s">
        <v>82</v>
      </c>
      <c r="D32" s="250" t="s">
        <v>80</v>
      </c>
      <c r="E32" s="250" t="s">
        <v>81</v>
      </c>
      <c r="F32" s="251">
        <v>57143.369614490301</v>
      </c>
      <c r="H32" s="232"/>
      <c r="I32" s="233">
        <v>0.20000000000000004</v>
      </c>
      <c r="J32" s="234">
        <f>IFERROR(F32*I32,0)</f>
        <v>11428.673922898062</v>
      </c>
      <c r="L32" s="233">
        <v>0.20000000000000004</v>
      </c>
      <c r="M32" s="234">
        <f>IFERROR(F32*L32,0)</f>
        <v>11428.673922898062</v>
      </c>
      <c r="O32" s="233">
        <f t="shared" si="0"/>
        <v>0</v>
      </c>
      <c r="P32" s="234">
        <f t="shared" si="0"/>
        <v>0</v>
      </c>
    </row>
    <row r="33" spans="2:16" s="59" customFormat="1" ht="48">
      <c r="B33" s="250" t="s">
        <v>71</v>
      </c>
      <c r="C33" s="254" t="s">
        <v>82</v>
      </c>
      <c r="D33" s="250" t="s">
        <v>78</v>
      </c>
      <c r="E33" s="250" t="s">
        <v>79</v>
      </c>
      <c r="F33" s="251">
        <v>74041.741296705004</v>
      </c>
      <c r="H33" s="232"/>
      <c r="I33" s="233">
        <v>9.9999999999999985E-3</v>
      </c>
      <c r="J33" s="234">
        <f>IFERROR(F33*I33,0)</f>
        <v>740.41741296704993</v>
      </c>
      <c r="L33" s="233">
        <v>9.9999999999999985E-3</v>
      </c>
      <c r="M33" s="234">
        <f>IFERROR(F33*L33,0)</f>
        <v>740.41741296704993</v>
      </c>
      <c r="O33" s="233">
        <f t="shared" si="0"/>
        <v>0</v>
      </c>
      <c r="P33" s="234">
        <f t="shared" si="0"/>
        <v>0</v>
      </c>
    </row>
    <row r="34" spans="2:16" s="59" customFormat="1" ht="15.95">
      <c r="B34" s="250" t="s">
        <v>71</v>
      </c>
      <c r="C34" s="250" t="s">
        <v>72</v>
      </c>
      <c r="D34" s="250" t="s">
        <v>73</v>
      </c>
      <c r="E34" s="250" t="s">
        <v>74</v>
      </c>
      <c r="F34" s="251">
        <v>131084.800615271</v>
      </c>
      <c r="H34" s="232"/>
      <c r="I34" s="233">
        <v>9.9999999999999985E-3</v>
      </c>
      <c r="J34" s="234">
        <f>IFERROR(F34*I34,0)</f>
        <v>1310.8480061527098</v>
      </c>
      <c r="L34" s="233">
        <v>9.9999999999999985E-3</v>
      </c>
      <c r="M34" s="234">
        <f>IFERROR(F34*L34,0)</f>
        <v>1310.8480061527098</v>
      </c>
      <c r="O34" s="233">
        <f t="shared" si="0"/>
        <v>0</v>
      </c>
      <c r="P34" s="234">
        <f t="shared" si="0"/>
        <v>0</v>
      </c>
    </row>
    <row r="35" spans="2:16" s="59" customFormat="1" ht="15.95">
      <c r="B35" s="250" t="s">
        <v>71</v>
      </c>
      <c r="C35" s="250" t="s">
        <v>84</v>
      </c>
      <c r="D35" s="250" t="s">
        <v>78</v>
      </c>
      <c r="E35" s="250" t="s">
        <v>85</v>
      </c>
      <c r="F35" s="251">
        <v>75368.654179434903</v>
      </c>
      <c r="H35" s="232"/>
      <c r="I35" s="233">
        <v>9.9999999999999985E-3</v>
      </c>
      <c r="J35" s="234">
        <f>IFERROR(F35*I35,0)</f>
        <v>753.68654179434895</v>
      </c>
      <c r="L35" s="233">
        <v>9.9999999999999985E-3</v>
      </c>
      <c r="M35" s="234">
        <f>IFERROR(F35*L35,0)</f>
        <v>753.68654179434895</v>
      </c>
      <c r="O35" s="233">
        <f t="shared" si="0"/>
        <v>0</v>
      </c>
      <c r="P35" s="234">
        <f t="shared" si="0"/>
        <v>0</v>
      </c>
    </row>
    <row r="36" spans="2:16" s="59" customFormat="1" ht="15.95">
      <c r="B36" s="250" t="s">
        <v>71</v>
      </c>
      <c r="C36" s="250" t="s">
        <v>84</v>
      </c>
      <c r="D36" s="250" t="s">
        <v>80</v>
      </c>
      <c r="E36" s="250" t="s">
        <v>86</v>
      </c>
      <c r="F36" s="251">
        <v>61793.608721967001</v>
      </c>
      <c r="H36" s="232"/>
      <c r="I36" s="233">
        <v>9.9999999999999985E-3</v>
      </c>
      <c r="J36" s="234">
        <f>IFERROR(F36*I36,0)</f>
        <v>617.93608721966996</v>
      </c>
      <c r="L36" s="233">
        <v>9.9999999999999985E-3</v>
      </c>
      <c r="M36" s="234">
        <f>IFERROR(F36*L36,0)</f>
        <v>617.93608721966996</v>
      </c>
      <c r="O36" s="233">
        <f t="shared" si="0"/>
        <v>0</v>
      </c>
      <c r="P36" s="234">
        <f t="shared" si="0"/>
        <v>0</v>
      </c>
    </row>
    <row r="37" spans="2:16" ht="14.45">
      <c r="F37" s="60"/>
      <c r="J37" s="60"/>
      <c r="M37" s="60"/>
      <c r="P37" s="60"/>
    </row>
    <row r="38" spans="2:16" ht="14.45"/>
    <row r="39" spans="2:16" ht="14.45">
      <c r="B39" s="61"/>
    </row>
    <row r="40" spans="2:16" ht="14.45"/>
    <row r="41" spans="2:16" ht="14.45"/>
    <row r="44" spans="2:16" ht="14.45"/>
  </sheetData>
  <sheetProtection formatColumns="0" formatRows="0" autoFilter="0" pivotTables="0"/>
  <mergeCells count="5">
    <mergeCell ref="B13:F13"/>
    <mergeCell ref="B15:E15"/>
    <mergeCell ref="B16:E16"/>
    <mergeCell ref="B18:E18"/>
    <mergeCell ref="B20:F20"/>
  </mergeCells>
  <pageMargins left="0.7" right="0.7" top="0.75" bottom="0.75" header="0.3" footer="0.3"/>
  <pageSetup paperSize="9" orientation="portrait" r:id="rId1"/>
  <headerFooter>
    <oddFooter>&amp;C_x000D_&amp;1#&amp;"Aptos"&amp;10&amp;K000000 Confidential - Not for Public Consumption or Distribution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F7D1E-EF82-4119-8EE4-FF2E15EA12FA}">
  <sheetPr>
    <tabColor theme="9" tint="0.39997558519241921"/>
    <pageSetUpPr autoPageBreaks="0"/>
  </sheetPr>
  <dimension ref="A2:J35"/>
  <sheetViews>
    <sheetView showGridLines="0" workbookViewId="0"/>
  </sheetViews>
  <sheetFormatPr defaultColWidth="8.7109375" defaultRowHeight="14.45"/>
  <cols>
    <col min="2" max="2" width="48.42578125" customWidth="1"/>
    <col min="3" max="7" width="24.42578125" customWidth="1"/>
    <col min="8" max="8" width="34.28515625" customWidth="1"/>
    <col min="9" max="9" width="15.140625" customWidth="1"/>
    <col min="10" max="10" width="16.42578125" customWidth="1"/>
  </cols>
  <sheetData>
    <row r="2" spans="1:10" ht="23.45">
      <c r="B2" s="49" t="s">
        <v>87</v>
      </c>
    </row>
    <row r="3" spans="1:10" ht="5.25" customHeight="1"/>
    <row r="4" spans="1:10" ht="5.25" customHeight="1"/>
    <row r="5" spans="1:10">
      <c r="B5" s="50" t="s">
        <v>40</v>
      </c>
      <c r="C5" s="51" t="str">
        <f>'Fee Summary'!E7</f>
        <v>Australia</v>
      </c>
    </row>
    <row r="6" spans="1:10">
      <c r="B6" s="50" t="s">
        <v>38</v>
      </c>
      <c r="C6" s="52" t="str">
        <f>'Fee Summary'!E6</f>
        <v>Porsche</v>
      </c>
    </row>
    <row r="7" spans="1:10">
      <c r="B7" s="50" t="s">
        <v>37</v>
      </c>
      <c r="C7" s="52">
        <f>'Fee Summary'!E5</f>
        <v>2025</v>
      </c>
    </row>
    <row r="8" spans="1:10">
      <c r="B8" s="50" t="s">
        <v>53</v>
      </c>
      <c r="C8" s="53">
        <f>'Fee Summary'!E9</f>
        <v>0.62</v>
      </c>
    </row>
    <row r="9" spans="1:10" ht="5.25" customHeight="1">
      <c r="I9" s="54"/>
    </row>
    <row r="10" spans="1:10" s="1" customFormat="1" ht="20.25" customHeight="1">
      <c r="B10" s="55"/>
      <c r="C10" s="55"/>
      <c r="D10" s="55"/>
      <c r="H10" s="56"/>
    </row>
    <row r="11" spans="1:10" s="1" customFormat="1" ht="24" customHeight="1">
      <c r="E11" s="272" t="s">
        <v>88</v>
      </c>
      <c r="F11" s="273"/>
      <c r="G11" s="274"/>
      <c r="H11" s="56"/>
    </row>
    <row r="12" spans="1:10" s="67" customFormat="1" ht="45.95" customHeight="1">
      <c r="A12" s="62"/>
      <c r="B12" s="63"/>
      <c r="C12" s="64" t="s">
        <v>89</v>
      </c>
      <c r="D12" s="64" t="s">
        <v>90</v>
      </c>
      <c r="E12" s="65" t="s">
        <v>91</v>
      </c>
      <c r="F12" s="65" t="s">
        <v>92</v>
      </c>
      <c r="G12" s="65" t="s">
        <v>93</v>
      </c>
      <c r="H12" s="66" t="s">
        <v>94</v>
      </c>
      <c r="I12" s="1"/>
      <c r="J12" s="1"/>
    </row>
    <row r="13" spans="1:10" s="68" customFormat="1" ht="26.1" customHeight="1">
      <c r="B13" s="66" t="s">
        <v>95</v>
      </c>
      <c r="C13" s="69">
        <v>6504800</v>
      </c>
      <c r="D13" s="69">
        <v>15130816</v>
      </c>
      <c r="E13" s="69"/>
      <c r="F13" s="69"/>
      <c r="G13" s="69"/>
      <c r="H13" s="70">
        <f>SUM(C13:G13)</f>
        <v>21635616</v>
      </c>
    </row>
    <row r="14" spans="1:10" s="68" customFormat="1" ht="26.1" customHeight="1" thickBot="1">
      <c r="B14" s="66" t="s">
        <v>96</v>
      </c>
      <c r="C14" s="71">
        <v>1.4999999999999999E-2</v>
      </c>
      <c r="D14" s="71">
        <v>2.8000000000000001E-2</v>
      </c>
      <c r="E14" s="71">
        <v>2.9000000000000001E-2</v>
      </c>
      <c r="F14" s="71">
        <v>2.9000000000000001E-2</v>
      </c>
      <c r="G14" s="71">
        <v>4.1000000000000002E-2</v>
      </c>
      <c r="H14" s="72"/>
    </row>
    <row r="15" spans="1:10" s="68" customFormat="1" ht="26.1" customHeight="1" thickBot="1">
      <c r="B15" s="66" t="s">
        <v>97</v>
      </c>
      <c r="C15" s="73">
        <f>C13*C14</f>
        <v>97572</v>
      </c>
      <c r="D15" s="73">
        <f t="shared" ref="D15:G15" si="0">D13*D14</f>
        <v>423662.848</v>
      </c>
      <c r="E15" s="73">
        <f t="shared" si="0"/>
        <v>0</v>
      </c>
      <c r="F15" s="73">
        <f t="shared" si="0"/>
        <v>0</v>
      </c>
      <c r="G15" s="74">
        <f t="shared" si="0"/>
        <v>0</v>
      </c>
      <c r="H15" s="75">
        <f>SUM(C15:G15)</f>
        <v>521234.848</v>
      </c>
    </row>
    <row r="18" spans="2:8" ht="18.600000000000001">
      <c r="B18" s="76" t="s">
        <v>98</v>
      </c>
      <c r="C18" s="73"/>
      <c r="D18" s="73">
        <f>D13*0.01</f>
        <v>151308.16</v>
      </c>
      <c r="E18" s="73"/>
      <c r="F18" s="73"/>
      <c r="G18" s="73"/>
      <c r="H18" s="73"/>
    </row>
    <row r="20" spans="2:8">
      <c r="E20" s="77"/>
    </row>
    <row r="21" spans="2:8" ht="18.600000000000001">
      <c r="E21" s="275" t="s">
        <v>99</v>
      </c>
      <c r="F21" s="276"/>
      <c r="G21" s="277"/>
    </row>
    <row r="22" spans="2:8" ht="18.600000000000001">
      <c r="E22" s="64" t="s">
        <v>91</v>
      </c>
      <c r="F22" s="64" t="s">
        <v>92</v>
      </c>
      <c r="G22" s="64" t="s">
        <v>93</v>
      </c>
      <c r="H22" s="66" t="s">
        <v>100</v>
      </c>
    </row>
    <row r="23" spans="2:8" ht="18.600000000000001">
      <c r="B23" s="66" t="s">
        <v>95</v>
      </c>
      <c r="E23" s="69">
        <v>1000000</v>
      </c>
      <c r="F23" s="69">
        <v>1000000</v>
      </c>
      <c r="G23" s="69">
        <v>1000000</v>
      </c>
      <c r="H23" s="70">
        <f>SUM(E23:G23)</f>
        <v>3000000</v>
      </c>
    </row>
    <row r="24" spans="2:8" ht="18.600000000000001">
      <c r="B24" s="66" t="s">
        <v>96</v>
      </c>
      <c r="E24" s="71">
        <v>2.9000000000000001E-2</v>
      </c>
      <c r="F24" s="71">
        <v>2.9000000000000001E-2</v>
      </c>
      <c r="G24" s="71">
        <v>4.1000000000000002E-2</v>
      </c>
      <c r="H24" s="72"/>
    </row>
    <row r="25" spans="2:8" ht="18.600000000000001">
      <c r="B25" s="66" t="s">
        <v>97</v>
      </c>
      <c r="E25" s="73">
        <f t="shared" ref="E25:G25" si="1">E23*E24</f>
        <v>29000</v>
      </c>
      <c r="F25" s="73">
        <f t="shared" si="1"/>
        <v>29000</v>
      </c>
      <c r="G25" s="74">
        <f t="shared" si="1"/>
        <v>41000</v>
      </c>
      <c r="H25" s="70">
        <f>SUM(E25:G25)</f>
        <v>99000</v>
      </c>
    </row>
    <row r="26" spans="2:8" ht="18.600000000000001">
      <c r="B26" s="76"/>
    </row>
    <row r="28" spans="2:8" ht="55.5">
      <c r="B28" s="76" t="s">
        <v>101</v>
      </c>
      <c r="E28" s="73">
        <f>E23*0.02</f>
        <v>20000</v>
      </c>
      <c r="F28" s="73">
        <f>F23*0.0275</f>
        <v>27500</v>
      </c>
      <c r="G28" s="73">
        <f>G23*0.1</f>
        <v>100000</v>
      </c>
      <c r="H28" s="73">
        <f>SUM(E28:G28)</f>
        <v>147500</v>
      </c>
    </row>
    <row r="29" spans="2:8" ht="18.600000000000001">
      <c r="B29" s="76" t="s">
        <v>102</v>
      </c>
      <c r="E29" s="73">
        <f>E23*0.03</f>
        <v>30000</v>
      </c>
      <c r="F29" s="73">
        <v>0</v>
      </c>
      <c r="G29" s="73">
        <v>0</v>
      </c>
      <c r="H29" s="73">
        <f>SUM(E29:G29)</f>
        <v>30000</v>
      </c>
    </row>
    <row r="30" spans="2:8" ht="18.600000000000001">
      <c r="B30" s="76" t="s">
        <v>103</v>
      </c>
      <c r="E30" s="73">
        <v>0</v>
      </c>
      <c r="F30" s="73">
        <f>F23*0.02</f>
        <v>20000</v>
      </c>
      <c r="G30" s="73">
        <f>G23*0.02</f>
        <v>20000</v>
      </c>
      <c r="H30" s="73">
        <f>SUM(E30:G30)</f>
        <v>40000</v>
      </c>
    </row>
    <row r="31" spans="2:8" ht="18.600000000000001">
      <c r="B31" s="76"/>
      <c r="H31" s="60"/>
    </row>
    <row r="32" spans="2:8">
      <c r="E32" s="60"/>
      <c r="H32" s="78"/>
    </row>
    <row r="33" spans="7:8" ht="18.600000000000001">
      <c r="G33" s="66" t="s">
        <v>104</v>
      </c>
      <c r="H33" s="66" t="s">
        <v>105</v>
      </c>
    </row>
    <row r="34" spans="7:8" ht="18.600000000000001">
      <c r="G34" s="71">
        <v>2.5000000000000001E-3</v>
      </c>
      <c r="H34" s="79"/>
    </row>
    <row r="35" spans="7:8" ht="18.600000000000001">
      <c r="G35" s="80">
        <f>(SUM(D13:G13)+SUM(E23:G23))*G34</f>
        <v>45327.040000000001</v>
      </c>
      <c r="H35" s="81">
        <f>SUM(E15:G15)+SUM(E25:G25)</f>
        <v>99000</v>
      </c>
    </row>
  </sheetData>
  <sheetProtection algorithmName="SHA-512" hashValue="OPNRu+AcZdZjUR7olmM0nvZiY1aHOGcHF0YTfFrCFxnVs2s0L+XFZx1Q4OE7VQw3lZ3OMFH26JtfYcGUoWRO4Q==" saltValue="c3p4lyWLYtnthKUbOUg1+Q==" spinCount="100000" sheet="1" objects="1" scenarios="1"/>
  <mergeCells count="2">
    <mergeCell ref="E11:G11"/>
    <mergeCell ref="E21:G21"/>
  </mergeCells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3D47-3C52-44D8-8DA9-8B3D0486DE74}">
  <sheetPr>
    <tabColor theme="7" tint="0.59999389629810485"/>
    <pageSetUpPr autoPageBreaks="0"/>
  </sheetPr>
  <dimension ref="B2:R34"/>
  <sheetViews>
    <sheetView showGridLines="0" workbookViewId="0"/>
  </sheetViews>
  <sheetFormatPr defaultColWidth="8.7109375" defaultRowHeight="14.45"/>
  <cols>
    <col min="1" max="1" width="8.7109375" style="1"/>
    <col min="2" max="2" width="2.5703125" style="1" customWidth="1"/>
    <col min="3" max="3" width="29.85546875" style="1" customWidth="1"/>
    <col min="4" max="4" width="32.140625" style="22" bestFit="1" customWidth="1"/>
    <col min="5" max="5" width="26.140625" style="23" bestFit="1" customWidth="1"/>
    <col min="6" max="6" width="2.5703125" style="1" customWidth="1"/>
    <col min="7" max="7" width="6.42578125" style="1" customWidth="1"/>
    <col min="8" max="8" width="2.5703125" style="1" customWidth="1"/>
    <col min="9" max="9" width="25.140625" style="1" customWidth="1"/>
    <col min="10" max="10" width="11.5703125" style="1" customWidth="1"/>
    <col min="11" max="11" width="2.5703125" style="1" customWidth="1"/>
    <col min="12" max="13" width="8.7109375" style="1"/>
    <col min="14" max="14" width="9.85546875" style="82" bestFit="1" customWidth="1"/>
    <col min="15" max="15" width="10.42578125" style="1" bestFit="1" customWidth="1"/>
    <col min="16" max="16384" width="8.7109375" style="1"/>
  </cols>
  <sheetData>
    <row r="2" spans="2:18">
      <c r="B2" s="269" t="s">
        <v>36</v>
      </c>
      <c r="C2" s="269"/>
    </row>
    <row r="3" spans="2:18" ht="15" thickBot="1"/>
    <row r="4" spans="2:18">
      <c r="B4" s="2"/>
      <c r="C4" s="3"/>
      <c r="D4" s="24"/>
      <c r="E4" s="25"/>
      <c r="F4" s="4"/>
      <c r="H4" s="2"/>
      <c r="I4" s="3"/>
      <c r="J4" s="3"/>
      <c r="K4" s="4"/>
    </row>
    <row r="5" spans="2:18" ht="14.45" customHeight="1">
      <c r="B5" s="5"/>
      <c r="C5" s="270" t="e" vm="1">
        <f>INDEX('Drop Downs'!$G$2:$G$12,MATCH('Local PRF Calculator'!$E$6,'Drop Downs'!$F$2:$F$12,0))</f>
        <v>#VALUE!</v>
      </c>
      <c r="D5" s="23" t="s">
        <v>37</v>
      </c>
      <c r="E5" s="67">
        <f>IF('Fee Summary'!E5="Select Year","Please Complete Summary Tab",'Fee Summary'!E5)</f>
        <v>2025</v>
      </c>
      <c r="F5" s="7"/>
      <c r="H5" s="5"/>
      <c r="I5" s="83" t="s">
        <v>106</v>
      </c>
      <c r="J5" s="82"/>
      <c r="K5" s="7"/>
      <c r="M5" s="12"/>
      <c r="N5" s="84"/>
      <c r="O5" s="12"/>
      <c r="P5" s="12"/>
      <c r="Q5" s="12"/>
      <c r="R5" s="12"/>
    </row>
    <row r="6" spans="2:18" ht="14.45" customHeight="1">
      <c r="B6" s="5"/>
      <c r="C6" s="270"/>
      <c r="D6" s="23" t="s">
        <v>38</v>
      </c>
      <c r="E6" s="67" t="str">
        <f>IF('Fee Summary'!E6="Select brand","Please Complete Summary Tab",'Fee Summary'!E6)</f>
        <v>Porsche</v>
      </c>
      <c r="F6" s="7"/>
      <c r="H6" s="5"/>
      <c r="I6" s="1" t="str">
        <f>IF($E$5="Please complete summary tab","Previous Year H2",$E$5-1&amp;" H2")</f>
        <v>2024 H2</v>
      </c>
      <c r="J6" s="85">
        <v>3.3</v>
      </c>
      <c r="K6" s="7"/>
      <c r="M6" s="12"/>
      <c r="N6" s="84"/>
      <c r="O6" s="12"/>
      <c r="P6" s="12"/>
      <c r="Q6" s="12"/>
      <c r="R6" s="12"/>
    </row>
    <row r="7" spans="2:18" ht="14.45" customHeight="1">
      <c r="B7" s="5"/>
      <c r="C7" s="270"/>
      <c r="D7" s="23" t="s">
        <v>40</v>
      </c>
      <c r="E7" s="67" t="str">
        <f>IF('Fee Summary'!E7="Select Market","Please Complete Summary Tab",'Fee Summary'!E7)</f>
        <v>Australia</v>
      </c>
      <c r="F7" s="7"/>
      <c r="H7" s="5"/>
      <c r="I7" s="1" t="str">
        <f>IF($E$5="Please complete summary tab","Current Year H1",$E$5&amp;" H1")</f>
        <v>2025 H1</v>
      </c>
      <c r="J7" s="85"/>
      <c r="K7" s="7"/>
      <c r="M7" s="12"/>
      <c r="N7" s="84"/>
      <c r="O7" s="12"/>
      <c r="P7" s="12"/>
      <c r="Q7" s="12"/>
      <c r="R7" s="12"/>
    </row>
    <row r="8" spans="2:18" ht="14.45" customHeight="1">
      <c r="B8" s="5"/>
      <c r="C8" s="270"/>
      <c r="D8" s="22" t="s">
        <v>42</v>
      </c>
      <c r="E8" s="86" t="str">
        <f>IF('Fee Summary'!E8="","",'Fee Summary'!E8)</f>
        <v/>
      </c>
      <c r="F8" s="7"/>
      <c r="H8" s="5"/>
      <c r="I8" s="1" t="str">
        <f>IF($E$5="Please complete summary tab","Current Year H2",$E$5&amp;" H2")</f>
        <v>2025 H2</v>
      </c>
      <c r="J8" s="85"/>
      <c r="K8" s="7"/>
      <c r="M8" s="12"/>
      <c r="N8" s="84"/>
      <c r="O8" s="12"/>
      <c r="P8" s="12"/>
      <c r="Q8" s="12"/>
      <c r="R8" s="12"/>
    </row>
    <row r="9" spans="2:18" ht="14.45" customHeight="1">
      <c r="B9" s="5"/>
      <c r="C9" s="270"/>
      <c r="D9" s="87" t="s">
        <v>107</v>
      </c>
      <c r="E9" s="88" t="str">
        <f>IF(OR(E14="TBC",E15="TBC"),"TBC",0.8+SUM(E14:E15)+IF(E25="Yes",SUM(E30:E31)))</f>
        <v>TBC</v>
      </c>
      <c r="F9" s="7"/>
      <c r="H9" s="5"/>
      <c r="I9" s="83" t="str">
        <f>IF($E$5="Please complete summary tab","Current Year Average",$E$5&amp;" Average")</f>
        <v>2025 Average</v>
      </c>
      <c r="J9" s="89" t="str">
        <f>IFERROR(AVERAGE(J7:J8),"TBC")</f>
        <v>TBC</v>
      </c>
      <c r="K9" s="7"/>
      <c r="M9" s="12"/>
      <c r="N9" s="84"/>
      <c r="O9" s="12"/>
      <c r="P9" s="12"/>
      <c r="Q9" s="12"/>
      <c r="R9" s="12"/>
    </row>
    <row r="10" spans="2:18" ht="15" customHeight="1" thickBot="1">
      <c r="B10" s="9"/>
      <c r="C10" s="18"/>
      <c r="D10" s="39"/>
      <c r="E10" s="32"/>
      <c r="F10" s="11"/>
      <c r="H10" s="9"/>
      <c r="I10" s="18"/>
      <c r="J10" s="32"/>
      <c r="K10" s="11"/>
      <c r="M10" s="12"/>
      <c r="N10" s="84"/>
      <c r="O10" s="12"/>
      <c r="P10" s="12"/>
      <c r="Q10" s="12"/>
      <c r="R10" s="12"/>
    </row>
    <row r="11" spans="2:18" ht="15" customHeight="1" thickBot="1">
      <c r="J11" s="23"/>
      <c r="M11" s="12"/>
      <c r="N11" s="84"/>
      <c r="O11" s="12"/>
      <c r="P11" s="12"/>
      <c r="Q11" s="12"/>
      <c r="R11" s="12"/>
    </row>
    <row r="12" spans="2:18" ht="14.45" customHeight="1">
      <c r="B12" s="2"/>
      <c r="C12" s="3"/>
      <c r="D12" s="24"/>
      <c r="E12" s="25"/>
      <c r="F12" s="4"/>
      <c r="H12" s="2"/>
      <c r="I12" s="3"/>
      <c r="J12" s="25"/>
      <c r="K12" s="4"/>
      <c r="M12" s="12"/>
      <c r="N12" s="84"/>
      <c r="O12" s="12"/>
      <c r="P12" s="12"/>
      <c r="Q12" s="12"/>
      <c r="R12" s="12"/>
    </row>
    <row r="13" spans="2:18">
      <c r="B13" s="5"/>
      <c r="C13" s="83" t="s">
        <v>108</v>
      </c>
      <c r="D13" s="37" t="s">
        <v>109</v>
      </c>
      <c r="E13" s="36" t="s">
        <v>110</v>
      </c>
      <c r="F13" s="7"/>
      <c r="H13" s="5"/>
      <c r="I13" s="83" t="s">
        <v>111</v>
      </c>
      <c r="J13" s="23"/>
      <c r="K13" s="7"/>
    </row>
    <row r="14" spans="2:18">
      <c r="B14" s="5"/>
      <c r="C14" s="1" t="s">
        <v>112</v>
      </c>
      <c r="D14" s="40">
        <v>0.1</v>
      </c>
      <c r="E14" s="40" t="str">
        <f>IF(OR(J7="",J8=""),"TBC",IF(OR(AND(J6&lt;2,J7&lt;2),AND(J7&lt;2,J8&lt;2)),0,D14))</f>
        <v>TBC</v>
      </c>
      <c r="F14" s="7"/>
      <c r="H14" s="5"/>
      <c r="I14" s="90" t="s">
        <v>113</v>
      </c>
      <c r="J14" s="91"/>
      <c r="K14" s="7"/>
    </row>
    <row r="15" spans="2:18">
      <c r="B15" s="5"/>
      <c r="C15" s="1" t="s">
        <v>114</v>
      </c>
      <c r="D15" s="40">
        <v>0.1</v>
      </c>
      <c r="E15" s="40" t="str">
        <f>IF(J14="","TBC",IF(J15="Yes",IF(J14&lt;-D15,0,IF(J14&gt;-0.02,D15,D15+J14)),0))</f>
        <v>TBC</v>
      </c>
      <c r="F15" s="7"/>
      <c r="H15" s="5"/>
      <c r="I15" s="1" t="s">
        <v>115</v>
      </c>
      <c r="J15" s="28" t="s">
        <v>116</v>
      </c>
      <c r="K15" s="7"/>
    </row>
    <row r="16" spans="2:18" ht="15" thickBot="1">
      <c r="B16" s="9"/>
      <c r="C16" s="18"/>
      <c r="D16" s="32"/>
      <c r="E16" s="32"/>
      <c r="F16" s="11"/>
      <c r="H16" s="9"/>
      <c r="I16" s="18"/>
      <c r="J16" s="18"/>
      <c r="K16" s="11"/>
    </row>
    <row r="17" spans="2:15" ht="15" thickBot="1">
      <c r="D17" s="23"/>
    </row>
    <row r="18" spans="2:15">
      <c r="B18" s="2"/>
      <c r="C18" s="3"/>
      <c r="D18" s="24"/>
      <c r="E18" s="25"/>
      <c r="F18" s="4"/>
    </row>
    <row r="19" spans="2:15">
      <c r="B19" s="5"/>
      <c r="C19" s="83" t="s">
        <v>117</v>
      </c>
      <c r="D19" s="37"/>
      <c r="E19" s="37" t="s">
        <v>118</v>
      </c>
      <c r="F19" s="7"/>
      <c r="G19" s="92"/>
      <c r="H19" s="92"/>
      <c r="I19" s="92"/>
      <c r="J19" s="92"/>
      <c r="K19" s="92"/>
      <c r="L19" s="83"/>
    </row>
    <row r="20" spans="2:15">
      <c r="B20" s="5"/>
      <c r="C20" s="1" t="s">
        <v>119</v>
      </c>
      <c r="D20" s="93"/>
      <c r="E20" s="22" t="str">
        <f>IF(OR(E15="TBC",E14="TBC"),"TBC",IF(SUM(E14:E15)=SUM(D14:D15),"Yes","No"))</f>
        <v>TBC</v>
      </c>
      <c r="F20" s="7"/>
      <c r="G20" s="92"/>
      <c r="H20" s="92"/>
      <c r="I20" s="92"/>
      <c r="J20" s="92"/>
      <c r="K20" s="92"/>
    </row>
    <row r="21" spans="2:15">
      <c r="B21" s="5"/>
      <c r="C21" s="1" t="s">
        <v>120</v>
      </c>
      <c r="D21" s="93"/>
      <c r="E21" s="22" t="str">
        <f>IF('Digital Media Guidelines'!C26="Compliant","Yes","No")</f>
        <v>No</v>
      </c>
      <c r="F21" s="7"/>
      <c r="G21" s="92"/>
      <c r="H21" s="92"/>
      <c r="I21" s="92"/>
      <c r="J21" s="92"/>
      <c r="K21" s="92"/>
    </row>
    <row r="22" spans="2:15">
      <c r="B22" s="5"/>
      <c r="C22" s="1" t="s">
        <v>121</v>
      </c>
      <c r="D22" s="93"/>
      <c r="E22" s="94" t="str" cm="1">
        <f t="array" ref="E22">IF(E5=2025,"N/A",IF(SUMPRODUCT(IF('BAH Perf Fee Reconciliations'!P:P="Yes",1,0),'BAH Perf Fee Reconciliations'!O:O,'BAH Perf Fee Reconciliations'!E:E)/SUMIF('BAH Perf Fee Reconciliations'!P:P,"Yes",'BAH Perf Fee Reconciliations'!E:E)&gt;=0,"Yes","No"))</f>
        <v>N/A</v>
      </c>
      <c r="F22" s="7"/>
      <c r="G22" s="92"/>
    </row>
    <row r="23" spans="2:15">
      <c r="B23" s="5"/>
      <c r="C23" s="1" t="str">
        <f>"Affordability Gate ("&amp;IF('Fee Summary'!E6="Select Brand","&lt;Brand&gt; met profit goals)",'Fee Summary'!E6&amp;" met profit goals)")</f>
        <v>Affordability Gate (Porsche met profit goals)</v>
      </c>
      <c r="D23" s="93"/>
      <c r="E23" s="28" t="s">
        <v>116</v>
      </c>
      <c r="F23" s="7"/>
      <c r="G23" s="92"/>
    </row>
    <row r="24" spans="2:15">
      <c r="B24" s="5"/>
      <c r="C24" s="1" t="s">
        <v>122</v>
      </c>
      <c r="D24" s="93"/>
      <c r="E24" s="28" t="s">
        <v>116</v>
      </c>
      <c r="F24" s="7"/>
      <c r="G24" s="92"/>
    </row>
    <row r="25" spans="2:15">
      <c r="B25" s="5"/>
      <c r="C25" s="83" t="s">
        <v>123</v>
      </c>
      <c r="D25" s="37"/>
      <c r="E25" s="37" t="str">
        <f>IF(E5=2025,IF(AND(E20="Yes",E21="Yes",E23="Yes",OR(E24="N/A",E24="Yes")),"Yes","No"),IF(AND(E20="Yes",E21="Yes",E22="Yes",E23="Yes"),"Yes","No"))</f>
        <v>No</v>
      </c>
      <c r="F25" s="7"/>
      <c r="G25" s="92"/>
    </row>
    <row r="26" spans="2:15" ht="15" thickBot="1">
      <c r="B26" s="9"/>
      <c r="C26" s="18"/>
      <c r="D26" s="32"/>
      <c r="E26" s="32"/>
      <c r="F26" s="11"/>
      <c r="G26" s="92"/>
    </row>
    <row r="27" spans="2:15" ht="15" thickBot="1">
      <c r="D27" s="23"/>
      <c r="G27" s="92"/>
    </row>
    <row r="28" spans="2:15">
      <c r="B28" s="2"/>
      <c r="C28" s="3"/>
      <c r="D28" s="24"/>
      <c r="E28" s="25"/>
      <c r="F28" s="4"/>
      <c r="G28" s="92"/>
    </row>
    <row r="29" spans="2:15">
      <c r="B29" s="5"/>
      <c r="C29" s="83" t="s">
        <v>124</v>
      </c>
      <c r="D29" s="37" t="s">
        <v>125</v>
      </c>
      <c r="E29" s="36" t="s">
        <v>126</v>
      </c>
      <c r="F29" s="7"/>
      <c r="G29" s="92"/>
    </row>
    <row r="30" spans="2:15">
      <c r="B30" s="5"/>
      <c r="C30" s="1" t="s">
        <v>127</v>
      </c>
      <c r="D30" s="40">
        <v>0.1</v>
      </c>
      <c r="E30" s="40" t="str">
        <f>IF(E25="no","N/A",'BusinessBrand KPIs'!K18/12.5%*D30)</f>
        <v>N/A</v>
      </c>
      <c r="F30" s="7"/>
      <c r="G30" s="92"/>
      <c r="O30" s="95"/>
    </row>
    <row r="31" spans="2:15">
      <c r="B31" s="5"/>
      <c r="C31" s="1" t="s">
        <v>128</v>
      </c>
      <c r="D31" s="40">
        <v>0.1</v>
      </c>
      <c r="E31" s="40" t="str">
        <f>IF(E25="No","N/A",IF(OR(J7="",J8=""),"TBC",IF(AND(J9&gt;=3,J9&lt;3.6),D31*0.5,IF(J9&gt;=3.6,D31,0))))</f>
        <v>N/A</v>
      </c>
      <c r="F31" s="7"/>
      <c r="G31" s="92"/>
      <c r="O31" s="95"/>
    </row>
    <row r="32" spans="2:15" ht="15" thickBot="1">
      <c r="B32" s="9"/>
      <c r="C32" s="18"/>
      <c r="D32" s="39"/>
      <c r="E32" s="32"/>
      <c r="F32" s="11"/>
      <c r="O32" s="95"/>
    </row>
    <row r="33" spans="15:15">
      <c r="O33" s="95"/>
    </row>
    <row r="34" spans="15:15">
      <c r="O34" s="95"/>
    </row>
  </sheetData>
  <sheetProtection algorithmName="SHA-512" hashValue="LKkMWryIXGJmb40tap10aGCrhQJMQWLukMppxOK3/pJyv3S/UNMmFXFPDBeZnJ5hzdPECvhBvRmlCW0vzQQ/dQ==" saltValue="S6Q4+qqLlztOT8utILFKeQ==" spinCount="100000" sheet="1" formatColumns="0" formatRows="0" autoFilter="0" pivotTables="0"/>
  <mergeCells count="2">
    <mergeCell ref="B2:C2"/>
    <mergeCell ref="C5:C9"/>
  </mergeCells>
  <conditionalFormatting sqref="E5:E7">
    <cfRule type="containsText" dxfId="6" priority="1" operator="containsText" text="Please complete summary tab">
      <formula>NOT(ISERROR(SEARCH("Please complete summary tab",E5)))</formula>
    </cfRule>
  </conditionalFormatting>
  <pageMargins left="0.7" right="0.7" top="0.75" bottom="0.75" header="0.3" footer="0.3"/>
  <pageSetup paperSize="9" orientation="portrait" r:id="rId1"/>
  <headerFooter>
    <oddFooter>&amp;C_x000D_&amp;1#&amp;"Aptos"&amp;10&amp;K000000 Confidential - Not for Public Consumption or Distribution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1C122B2B-F19A-4F59-B272-0879BE62C22C}">
          <x14:formula1>
            <xm:f>'Drop Downs'!$E$2:$E$4</xm:f>
          </x14:formula1>
          <xm:sqref>I14</xm:sqref>
        </x14:dataValidation>
        <x14:dataValidation type="list" showInputMessage="1" showErrorMessage="1" xr:uid="{8272FAD1-3A6A-407E-B023-397E862F98E1}">
          <x14:formula1>
            <xm:f>'Drop Downs'!$D$2:$D$4</xm:f>
          </x14:formula1>
          <xm:sqref>J15 E23:E24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678D-9CC7-467B-B309-7EDBD79A314E}">
  <sheetPr>
    <tabColor theme="7" tint="0.59999389629810485"/>
  </sheetPr>
  <dimension ref="B2:K35"/>
  <sheetViews>
    <sheetView showGridLines="0" workbookViewId="0"/>
  </sheetViews>
  <sheetFormatPr defaultColWidth="8.7109375" defaultRowHeight="14.45"/>
  <cols>
    <col min="1" max="1" width="2.85546875" style="98" customWidth="1"/>
    <col min="2" max="2" width="44.85546875" style="98" bestFit="1" customWidth="1"/>
    <col min="3" max="3" width="33.85546875" style="98" bestFit="1" customWidth="1"/>
    <col min="4" max="6" width="15.85546875" style="98" customWidth="1"/>
    <col min="7" max="9" width="17.42578125" style="98" customWidth="1"/>
    <col min="10" max="10" width="18.5703125" style="98" customWidth="1"/>
    <col min="11" max="11" width="15.85546875" style="98" customWidth="1"/>
    <col min="12" max="12" width="20.5703125" style="98" customWidth="1"/>
    <col min="13" max="16384" width="8.7109375" style="98"/>
  </cols>
  <sheetData>
    <row r="2" spans="2:9">
      <c r="B2" s="96" t="s">
        <v>38</v>
      </c>
      <c r="C2" s="278" t="str">
        <f>'Fee Summary'!E6</f>
        <v>Porsche</v>
      </c>
      <c r="D2" s="279"/>
      <c r="E2" s="97"/>
    </row>
    <row r="3" spans="2:9">
      <c r="B3" s="96" t="s">
        <v>129</v>
      </c>
      <c r="C3" s="280" t="str">
        <f>'Fee Summary'!E7</f>
        <v>Australia</v>
      </c>
      <c r="D3" s="279"/>
      <c r="E3" s="97"/>
    </row>
    <row r="4" spans="2:9">
      <c r="B4" s="96" t="s">
        <v>130</v>
      </c>
      <c r="C4" s="281" t="s">
        <v>131</v>
      </c>
      <c r="D4" s="282"/>
      <c r="E4" s="99"/>
    </row>
    <row r="5" spans="2:9">
      <c r="B5" s="96" t="s">
        <v>132</v>
      </c>
      <c r="C5" s="283" t="s">
        <v>133</v>
      </c>
      <c r="D5" s="283"/>
      <c r="E5" s="100"/>
    </row>
    <row r="6" spans="2:9">
      <c r="B6" s="96" t="s">
        <v>134</v>
      </c>
      <c r="C6" s="284">
        <v>45853</v>
      </c>
      <c r="D6" s="283"/>
      <c r="E6" s="100"/>
    </row>
    <row r="8" spans="2:9" ht="14.45" customHeight="1"/>
    <row r="9" spans="2:9" ht="57.95" customHeight="1">
      <c r="B9" s="101" t="s">
        <v>135</v>
      </c>
      <c r="C9" s="101" t="s">
        <v>136</v>
      </c>
      <c r="D9" s="101" t="s">
        <v>137</v>
      </c>
      <c r="E9" s="101" t="s">
        <v>138</v>
      </c>
      <c r="F9" s="101" t="s">
        <v>139</v>
      </c>
      <c r="G9" s="102" t="s">
        <v>140</v>
      </c>
      <c r="H9" s="101" t="s">
        <v>141</v>
      </c>
      <c r="I9" s="101" t="s">
        <v>142</v>
      </c>
    </row>
    <row r="10" spans="2:9">
      <c r="B10" s="103" t="s">
        <v>143</v>
      </c>
      <c r="C10" s="104" t="s">
        <v>144</v>
      </c>
      <c r="D10" s="105">
        <v>0.98</v>
      </c>
      <c r="E10" s="106"/>
      <c r="F10" s="107"/>
      <c r="G10" s="108"/>
      <c r="H10" s="109"/>
      <c r="I10" s="109"/>
    </row>
    <row r="11" spans="2:9">
      <c r="B11" s="103" t="s">
        <v>145</v>
      </c>
      <c r="C11" s="104" t="s">
        <v>146</v>
      </c>
      <c r="D11" s="105">
        <v>0.9</v>
      </c>
      <c r="E11" s="106"/>
      <c r="F11" s="107"/>
      <c r="G11" s="108"/>
      <c r="H11" s="109"/>
      <c r="I11" s="109"/>
    </row>
    <row r="12" spans="2:9" ht="39">
      <c r="B12" s="103" t="s">
        <v>147</v>
      </c>
      <c r="C12" s="104" t="s">
        <v>148</v>
      </c>
      <c r="D12" s="105">
        <v>0.12</v>
      </c>
      <c r="E12" s="106"/>
      <c r="F12" s="110"/>
      <c r="G12" s="111"/>
      <c r="H12" s="109"/>
      <c r="I12" s="109"/>
    </row>
    <row r="13" spans="2:9" s="118" customFormat="1" ht="26.1">
      <c r="B13" s="112" t="s">
        <v>149</v>
      </c>
      <c r="C13" s="104" t="s">
        <v>150</v>
      </c>
      <c r="D13" s="113">
        <v>0.03</v>
      </c>
      <c r="E13" s="114"/>
      <c r="F13" s="115"/>
      <c r="G13" s="116"/>
      <c r="H13" s="117"/>
      <c r="I13" s="117"/>
    </row>
    <row r="14" spans="2:9">
      <c r="B14" s="103" t="s">
        <v>151</v>
      </c>
      <c r="C14" s="119" t="s">
        <v>152</v>
      </c>
      <c r="D14" s="105">
        <v>0.83</v>
      </c>
      <c r="E14" s="106"/>
      <c r="F14" s="120"/>
      <c r="G14" s="108"/>
      <c r="H14" s="109"/>
      <c r="I14" s="109"/>
    </row>
    <row r="16" spans="2:9" ht="57.95">
      <c r="B16" s="121" t="s">
        <v>135</v>
      </c>
      <c r="C16" s="121" t="s">
        <v>136</v>
      </c>
      <c r="D16" s="121" t="s">
        <v>153</v>
      </c>
      <c r="E16" s="122" t="s">
        <v>154</v>
      </c>
      <c r="F16" s="121" t="s">
        <v>155</v>
      </c>
      <c r="G16" s="122" t="s">
        <v>156</v>
      </c>
    </row>
    <row r="17" spans="2:11" ht="14.45" customHeight="1">
      <c r="B17" s="103" t="s">
        <v>157</v>
      </c>
      <c r="C17" s="103" t="s">
        <v>158</v>
      </c>
      <c r="D17" s="113"/>
      <c r="E17" s="123"/>
      <c r="F17" s="124">
        <f>E17-D17</f>
        <v>0</v>
      </c>
      <c r="G17" s="285"/>
    </row>
    <row r="18" spans="2:11" ht="14.45" customHeight="1">
      <c r="B18" s="103" t="s">
        <v>159</v>
      </c>
      <c r="C18" s="103" t="s">
        <v>158</v>
      </c>
      <c r="D18" s="113"/>
      <c r="E18" s="114"/>
      <c r="F18" s="124">
        <f>E18-D18</f>
        <v>0</v>
      </c>
      <c r="G18" s="285"/>
    </row>
    <row r="20" spans="2:11" ht="43.5">
      <c r="B20" s="101" t="s">
        <v>160</v>
      </c>
      <c r="C20" s="101" t="s">
        <v>161</v>
      </c>
      <c r="D20" s="101" t="s">
        <v>162</v>
      </c>
    </row>
    <row r="21" spans="2:11">
      <c r="B21" s="103" t="s">
        <v>163</v>
      </c>
      <c r="C21" s="109"/>
      <c r="D21" s="125"/>
      <c r="E21" s="126"/>
      <c r="F21" s="127"/>
      <c r="G21" s="126"/>
      <c r="J21" s="126"/>
    </row>
    <row r="22" spans="2:11">
      <c r="B22" s="103" t="s">
        <v>164</v>
      </c>
      <c r="C22" s="109"/>
      <c r="D22" s="125"/>
      <c r="E22" s="126"/>
      <c r="F22" s="127"/>
      <c r="G22" s="126"/>
      <c r="J22" s="126"/>
    </row>
    <row r="23" spans="2:11">
      <c r="B23" s="103" t="s">
        <v>165</v>
      </c>
      <c r="C23" s="109"/>
      <c r="D23" s="128"/>
      <c r="E23" s="129"/>
      <c r="G23" s="130"/>
      <c r="J23" s="130"/>
    </row>
    <row r="24" spans="2:11">
      <c r="B24" s="103" t="s">
        <v>166</v>
      </c>
      <c r="C24" s="131" t="e">
        <f>C23/C21</f>
        <v>#DIV/0!</v>
      </c>
      <c r="D24" s="132">
        <v>0.15</v>
      </c>
      <c r="E24" s="129"/>
      <c r="F24" s="127"/>
      <c r="K24" s="127"/>
    </row>
    <row r="25" spans="2:11">
      <c r="B25" s="103" t="s">
        <v>167</v>
      </c>
      <c r="C25" s="131" t="e">
        <f>100%-C24</f>
        <v>#DIV/0!</v>
      </c>
      <c r="D25" s="132">
        <v>0.85</v>
      </c>
      <c r="E25" s="129"/>
      <c r="F25" s="127"/>
      <c r="K25" s="127"/>
    </row>
    <row r="26" spans="2:11">
      <c r="B26" s="103" t="s">
        <v>168</v>
      </c>
      <c r="C26" s="133"/>
      <c r="D26" s="128"/>
      <c r="E26" s="129"/>
      <c r="F26" s="127"/>
      <c r="G26" s="134"/>
      <c r="J26" s="134"/>
      <c r="K26" s="127"/>
    </row>
    <row r="27" spans="2:11">
      <c r="F27" s="126"/>
    </row>
    <row r="28" spans="2:11">
      <c r="F28" s="126"/>
    </row>
    <row r="29" spans="2:11">
      <c r="C29" s="127"/>
    </row>
    <row r="30" spans="2:11">
      <c r="C30" s="127"/>
    </row>
    <row r="31" spans="2:11">
      <c r="D31" s="127"/>
      <c r="E31" s="127"/>
    </row>
    <row r="33" spans="2:3">
      <c r="C33" s="127"/>
    </row>
    <row r="34" spans="2:3">
      <c r="B34" s="134"/>
      <c r="C34" s="127"/>
    </row>
    <row r="35" spans="2:3">
      <c r="B35" s="134"/>
      <c r="C35" s="126"/>
    </row>
  </sheetData>
  <mergeCells count="6">
    <mergeCell ref="G17:G18"/>
    <mergeCell ref="C2:D2"/>
    <mergeCell ref="C3:D3"/>
    <mergeCell ref="C4:D4"/>
    <mergeCell ref="C5:D5"/>
    <mergeCell ref="C6:D6"/>
  </mergeCells>
  <conditionalFormatting sqref="B16:G16">
    <cfRule type="notContainsBlanks" dxfId="5" priority="1">
      <formula>LEN(TRIM(B16))&gt;0</formula>
    </cfRule>
  </conditionalFormatting>
  <conditionalFormatting sqref="B9:I9 B20:D20">
    <cfRule type="notContainsBlanks" dxfId="4" priority="2">
      <formula>LEN(TRIM(B9))&gt;0</formula>
    </cfRule>
  </conditionalFormatting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64F9-9E28-4E84-988F-339B5145E59A}">
  <sheetPr>
    <tabColor theme="7" tint="0.59999389629810485"/>
  </sheetPr>
  <dimension ref="B2:K37"/>
  <sheetViews>
    <sheetView showGridLines="0" workbookViewId="0"/>
  </sheetViews>
  <sheetFormatPr defaultRowHeight="14.45"/>
  <cols>
    <col min="2" max="2" width="11.42578125" style="1" bestFit="1" customWidth="1"/>
    <col min="3" max="3" width="27.85546875" style="22" bestFit="1" customWidth="1"/>
    <col min="4" max="4" width="26.140625" style="23" bestFit="1" customWidth="1"/>
    <col min="5" max="5" width="21.5703125" style="1" customWidth="1"/>
    <col min="6" max="6" width="8" customWidth="1"/>
    <col min="7" max="7" width="30.7109375" customWidth="1"/>
    <col min="8" max="8" width="15.85546875" customWidth="1"/>
    <col min="9" max="9" width="15.7109375" customWidth="1"/>
    <col min="10" max="10" width="13.42578125" customWidth="1"/>
    <col min="11" max="11" width="16.85546875" customWidth="1"/>
  </cols>
  <sheetData>
    <row r="2" spans="2:11">
      <c r="B2" s="269" t="s">
        <v>36</v>
      </c>
      <c r="C2" s="269"/>
    </row>
    <row r="3" spans="2:11" ht="15" thickBot="1"/>
    <row r="4" spans="2:11">
      <c r="B4" s="2"/>
      <c r="C4" s="24"/>
      <c r="D4" s="24"/>
      <c r="E4" s="25"/>
      <c r="F4" s="4"/>
    </row>
    <row r="5" spans="2:11">
      <c r="B5" s="286" t="e" vm="1">
        <f>INDEX('Drop Downs'!$G$2:$G$12,MATCH('Local PRF Calculator'!$E$6,'Drop Downs'!$F$2:$F$12,0))</f>
        <v>#VALUE!</v>
      </c>
      <c r="C5" s="270"/>
      <c r="D5" s="23" t="s">
        <v>37</v>
      </c>
      <c r="E5" s="67">
        <f>IF('Fee Summary'!E5="Select Year","Please Complete Summary Tab",'Fee Summary'!E5)</f>
        <v>2025</v>
      </c>
      <c r="F5" s="7"/>
    </row>
    <row r="6" spans="2:11">
      <c r="B6" s="286"/>
      <c r="C6" s="270"/>
      <c r="D6" s="23" t="s">
        <v>38</v>
      </c>
      <c r="E6" s="67" t="str">
        <f>IF('Fee Summary'!E6="Select brand","Please Complete Summary Tab",'Fee Summary'!E6)</f>
        <v>Porsche</v>
      </c>
      <c r="F6" s="7"/>
    </row>
    <row r="7" spans="2:11">
      <c r="B7" s="286"/>
      <c r="C7" s="270"/>
      <c r="D7" s="23" t="s">
        <v>40</v>
      </c>
      <c r="E7" s="67" t="str">
        <f>IF('Fee Summary'!E7="Select Market","Please Complete Summary Tab",'Fee Summary'!E7)</f>
        <v>Australia</v>
      </c>
      <c r="F7" s="7"/>
    </row>
    <row r="8" spans="2:11">
      <c r="B8" s="286"/>
      <c r="C8" s="270"/>
      <c r="D8" s="22" t="s">
        <v>42</v>
      </c>
      <c r="E8" s="86" t="str">
        <f>IF('Fee Summary'!E8="","",'Fee Summary'!E8)</f>
        <v/>
      </c>
      <c r="F8" s="7"/>
    </row>
    <row r="9" spans="2:11" ht="15" thickBot="1">
      <c r="B9" s="9"/>
      <c r="C9" s="39"/>
      <c r="D9" s="39"/>
      <c r="E9" s="32"/>
      <c r="F9" s="11"/>
    </row>
    <row r="11" spans="2:11">
      <c r="E11" s="23"/>
      <c r="F11" s="23"/>
      <c r="G11" s="23"/>
      <c r="H11" s="23"/>
      <c r="I11" s="23"/>
      <c r="J11" s="23"/>
    </row>
    <row r="12" spans="2:11" ht="29.1">
      <c r="B12" s="135" t="s">
        <v>169</v>
      </c>
      <c r="C12" s="136" t="s">
        <v>170</v>
      </c>
      <c r="D12" s="137" t="s">
        <v>171</v>
      </c>
      <c r="E12" s="137" t="s">
        <v>172</v>
      </c>
      <c r="F12" s="137" t="s">
        <v>173</v>
      </c>
      <c r="G12" s="138" t="s">
        <v>174</v>
      </c>
      <c r="H12" s="138" t="s">
        <v>175</v>
      </c>
      <c r="I12" s="138" t="s">
        <v>176</v>
      </c>
      <c r="J12" s="138" t="s">
        <v>177</v>
      </c>
      <c r="K12" s="138" t="s">
        <v>178</v>
      </c>
    </row>
    <row r="13" spans="2:11">
      <c r="B13" s="139" t="s">
        <v>179</v>
      </c>
      <c r="C13" s="140"/>
      <c r="D13" s="141"/>
      <c r="E13" s="142"/>
      <c r="F13" s="143"/>
      <c r="G13" s="144"/>
      <c r="H13" s="145"/>
      <c r="I13" s="140"/>
      <c r="J13" s="140"/>
      <c r="K13" s="146">
        <f>IF(J13&gt;I13,F13,0)</f>
        <v>0</v>
      </c>
    </row>
    <row r="14" spans="2:11">
      <c r="B14" s="139" t="s">
        <v>180</v>
      </c>
      <c r="C14" s="147"/>
      <c r="D14" s="148"/>
      <c r="E14" s="148"/>
      <c r="F14" s="143"/>
      <c r="G14" s="149"/>
      <c r="H14" s="150"/>
      <c r="I14" s="149"/>
      <c r="J14" s="149"/>
      <c r="K14" s="146">
        <f t="shared" ref="K14:K17" si="0">IF(J14&gt;I14,F14,0)</f>
        <v>0</v>
      </c>
    </row>
    <row r="15" spans="2:11">
      <c r="B15" s="139" t="s">
        <v>181</v>
      </c>
      <c r="C15" s="149"/>
      <c r="D15" s="148"/>
      <c r="E15" s="148"/>
      <c r="F15" s="143"/>
      <c r="G15" s="149"/>
      <c r="H15" s="150"/>
      <c r="I15" s="147"/>
      <c r="J15" s="149"/>
      <c r="K15" s="146">
        <f t="shared" si="0"/>
        <v>0</v>
      </c>
    </row>
    <row r="16" spans="2:11">
      <c r="B16" s="151" t="s">
        <v>182</v>
      </c>
      <c r="C16" s="149"/>
      <c r="D16" s="148"/>
      <c r="E16" s="148"/>
      <c r="F16" s="143"/>
      <c r="G16" s="149"/>
      <c r="H16" s="150"/>
      <c r="I16" s="149"/>
      <c r="J16" s="149"/>
      <c r="K16" s="146">
        <f t="shared" si="0"/>
        <v>0</v>
      </c>
    </row>
    <row r="17" spans="2:11">
      <c r="B17" s="152" t="s">
        <v>183</v>
      </c>
      <c r="C17" s="153"/>
      <c r="D17" s="154"/>
      <c r="E17" s="154"/>
      <c r="F17" s="155"/>
      <c r="G17" s="153"/>
      <c r="H17" s="156"/>
      <c r="I17" s="153"/>
      <c r="J17" s="153"/>
      <c r="K17" s="157">
        <f t="shared" si="0"/>
        <v>0</v>
      </c>
    </row>
    <row r="18" spans="2:11">
      <c r="B18" s="135" t="s">
        <v>184</v>
      </c>
      <c r="F18" s="158">
        <f>SUM(F13:F17)</f>
        <v>0</v>
      </c>
      <c r="G18" s="287" t="str">
        <f>IF(NOT(F18=12.5%),"Please ensure total weight equals 12.5%","")</f>
        <v>Please ensure total weight equals 12.5%</v>
      </c>
      <c r="H18" s="287"/>
      <c r="I18" s="287"/>
      <c r="J18" s="159"/>
      <c r="K18" s="158">
        <f>SUM(K13:K17)</f>
        <v>0</v>
      </c>
    </row>
    <row r="19" spans="2:11">
      <c r="C19" s="23"/>
      <c r="E19" s="23"/>
      <c r="F19" s="23"/>
      <c r="G19" s="23"/>
      <c r="H19" s="23"/>
      <c r="I19" s="23"/>
      <c r="J19" s="23"/>
    </row>
    <row r="21" spans="2:11">
      <c r="C21" s="23"/>
    </row>
    <row r="22" spans="2:11">
      <c r="C22" s="23"/>
    </row>
    <row r="23" spans="2:11">
      <c r="C23" s="23"/>
    </row>
    <row r="24" spans="2:11">
      <c r="C24" s="23"/>
    </row>
    <row r="25" spans="2:11">
      <c r="C25" s="23"/>
    </row>
    <row r="26" spans="2:11">
      <c r="C26" s="23"/>
    </row>
    <row r="27" spans="2:11">
      <c r="C27" s="23"/>
    </row>
    <row r="28" spans="2:11">
      <c r="C28" s="23"/>
    </row>
    <row r="29" spans="2:11">
      <c r="C29" s="23"/>
    </row>
    <row r="30" spans="2:11">
      <c r="C30" s="23"/>
    </row>
    <row r="31" spans="2:11">
      <c r="C31" s="23"/>
    </row>
    <row r="32" spans="2:11">
      <c r="C32" s="23"/>
    </row>
    <row r="33" spans="3:3">
      <c r="C33" s="23"/>
    </row>
    <row r="34" spans="3:3">
      <c r="C34" s="23"/>
    </row>
    <row r="35" spans="3:3">
      <c r="C35" s="23"/>
    </row>
    <row r="36" spans="3:3">
      <c r="C36" s="23"/>
    </row>
    <row r="37" spans="3:3">
      <c r="C37" s="23"/>
    </row>
  </sheetData>
  <sheetProtection algorithmName="SHA-512" hashValue="/WWdaGxt+du+ZTZSAtC3C3pEk7UhgElxZJl37rmXO+0dgRdraxLxAm1aiLaX3XavJC5wisOIHiPY0QFQhTj1Xg==" saltValue="f+cMYVfYvWsAZqZ0ddJTvg==" spinCount="100000" sheet="1" objects="1" scenarios="1"/>
  <mergeCells count="3">
    <mergeCell ref="B2:C2"/>
    <mergeCell ref="B5:C8"/>
    <mergeCell ref="G18:I18"/>
  </mergeCells>
  <conditionalFormatting sqref="E5:E7">
    <cfRule type="containsText" dxfId="3" priority="2" operator="containsText" text="Please complete summary tab">
      <formula>NOT(ISERROR(SEARCH("Please complete summary tab",E5)))</formula>
    </cfRule>
  </conditionalFormatting>
  <conditionalFormatting sqref="G18:I18">
    <cfRule type="containsText" dxfId="2" priority="1" operator="containsText" text="Please ensure total weight equals 12.5%">
      <formula>NOT(ISERROR(SEARCH("Please ensure total weight equals 12.5%",G18)))</formula>
    </cfRule>
  </conditionalFormatting>
  <pageMargins left="0.7" right="0.7" top="0.75" bottom="0.75" header="0.3" footer="0.3"/>
  <headerFooter>
    <oddFooter>&amp;C_x000D_&amp;1#&amp;"Aptos"&amp;10&amp;K000000 Confidential - Not for Public Consumption or Distribution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21DC35-0681-41EF-B4AA-0063B6512ACD}">
          <x14:formula1>
            <xm:f>'Drop Downs'!$L$2:$L$11</xm:f>
          </x14:formula1>
          <xm:sqref>C13:C17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4E72-5C12-4B83-ADA8-AC8195A7CDE5}">
  <sheetPr>
    <tabColor theme="7" tint="0.59999389629810485"/>
    <pageSetUpPr autoPageBreaks="0"/>
  </sheetPr>
  <dimension ref="B1:U122"/>
  <sheetViews>
    <sheetView showGridLines="0" workbookViewId="0"/>
  </sheetViews>
  <sheetFormatPr defaultColWidth="8.7109375" defaultRowHeight="14.45"/>
  <cols>
    <col min="1" max="1" width="8.7109375" style="1"/>
    <col min="2" max="3" width="34.140625" style="23" customWidth="1"/>
    <col min="4" max="4" width="17.42578125" style="23" customWidth="1"/>
    <col min="5" max="5" width="21.42578125" style="23" customWidth="1"/>
    <col min="6" max="6" width="13.85546875" style="212" customWidth="1"/>
    <col min="7" max="7" width="16.7109375" style="212" bestFit="1" customWidth="1"/>
    <col min="8" max="11" width="23.85546875" style="212" customWidth="1"/>
    <col min="12" max="12" width="18.140625" style="212" customWidth="1"/>
    <col min="13" max="13" width="13" style="23" customWidth="1"/>
    <col min="14" max="15" width="12.140625" style="23" customWidth="1"/>
    <col min="16" max="16" width="14.28515625" style="23" customWidth="1"/>
    <col min="17" max="17" width="31" style="23" customWidth="1"/>
    <col min="18" max="18" width="15" style="23" customWidth="1"/>
    <col min="19" max="19" width="22.5703125" style="23" customWidth="1"/>
    <col min="20" max="21" width="15" style="23" customWidth="1"/>
    <col min="22" max="16384" width="8.7109375" style="1"/>
  </cols>
  <sheetData>
    <row r="1" spans="2:12" s="1" customFormat="1">
      <c r="F1" s="160"/>
      <c r="G1" s="160"/>
      <c r="H1" s="160"/>
      <c r="I1" s="160"/>
      <c r="J1" s="160"/>
      <c r="K1" s="160"/>
      <c r="L1" s="160"/>
    </row>
    <row r="2" spans="2:12" s="1" customFormat="1">
      <c r="B2" s="21" t="s">
        <v>36</v>
      </c>
      <c r="F2" s="160"/>
      <c r="G2" s="160"/>
      <c r="H2" s="160"/>
      <c r="I2" s="160"/>
      <c r="J2" s="160"/>
      <c r="K2" s="160"/>
      <c r="L2" s="160"/>
    </row>
    <row r="3" spans="2:12" s="1" customFormat="1" ht="15" thickBot="1">
      <c r="F3" s="160"/>
      <c r="G3" s="160"/>
      <c r="H3" s="160"/>
      <c r="I3" s="160"/>
      <c r="J3" s="160"/>
      <c r="K3" s="160"/>
      <c r="L3" s="160"/>
    </row>
    <row r="4" spans="2:12" s="1" customFormat="1">
      <c r="B4" s="2"/>
      <c r="C4" s="3"/>
      <c r="D4" s="3"/>
      <c r="E4" s="4"/>
      <c r="F4" s="160"/>
      <c r="G4" s="160"/>
      <c r="H4" s="160"/>
      <c r="I4" s="160"/>
      <c r="J4" s="160"/>
      <c r="K4" s="160"/>
    </row>
    <row r="5" spans="2:12" s="1" customFormat="1" ht="29.1" customHeight="1">
      <c r="B5" s="286" t="e" vm="1">
        <f>INDEX('Drop Downs'!$G$2:$G$12,MATCH('Local PRF Calculator'!$E$6,'Drop Downs'!$F$2:$F$12,0))</f>
        <v>#VALUE!</v>
      </c>
      <c r="C5" s="23" t="s">
        <v>37</v>
      </c>
      <c r="D5" s="67">
        <f>IF('Fee Summary'!E5="Select Year","Please Complete Summary Tab",'Fee Summary'!E5)</f>
        <v>2025</v>
      </c>
      <c r="E5" s="7"/>
      <c r="F5" s="161"/>
      <c r="G5" s="160"/>
      <c r="H5" s="160"/>
      <c r="I5" s="160"/>
      <c r="J5" s="160"/>
      <c r="K5" s="160"/>
    </row>
    <row r="6" spans="2:12" s="1" customFormat="1" ht="29.1" customHeight="1">
      <c r="B6" s="286"/>
      <c r="C6" s="23" t="s">
        <v>38</v>
      </c>
      <c r="D6" s="67" t="str">
        <f>IF('Fee Summary'!E6="Select brand","Please Complete Summary Tab",'Fee Summary'!E6)</f>
        <v>Porsche</v>
      </c>
      <c r="E6" s="7"/>
      <c r="F6" s="161"/>
      <c r="G6" s="160"/>
      <c r="H6" s="160"/>
      <c r="I6" s="160"/>
      <c r="J6" s="160"/>
      <c r="K6" s="160"/>
    </row>
    <row r="7" spans="2:12" s="1" customFormat="1" ht="29.1" customHeight="1">
      <c r="B7" s="286"/>
      <c r="C7" s="23" t="s">
        <v>40</v>
      </c>
      <c r="D7" s="67" t="str">
        <f>IF('Fee Summary'!E7="Select Market","Please Complete Summary Tab",'Fee Summary'!E7)</f>
        <v>Australia</v>
      </c>
      <c r="E7" s="7"/>
      <c r="F7" s="161"/>
      <c r="G7" s="160"/>
      <c r="H7" s="160"/>
      <c r="I7" s="160"/>
      <c r="J7" s="160"/>
      <c r="K7" s="160"/>
    </row>
    <row r="8" spans="2:12" s="1" customFormat="1" ht="14.45" customHeight="1">
      <c r="B8" s="286"/>
      <c r="C8" s="22" t="s">
        <v>42</v>
      </c>
      <c r="D8" s="86" t="str">
        <f>IF('Fee Summary'!E8="","",'Fee Summary'!E8)</f>
        <v/>
      </c>
      <c r="E8" s="7"/>
      <c r="F8" s="161"/>
      <c r="G8" s="160"/>
      <c r="H8" s="160"/>
      <c r="I8" s="160"/>
      <c r="J8" s="160"/>
      <c r="K8" s="160"/>
    </row>
    <row r="9" spans="2:12" s="1" customFormat="1" ht="17.45" customHeight="1">
      <c r="B9" s="162"/>
      <c r="C9" s="22"/>
      <c r="E9" s="7"/>
      <c r="F9" s="161"/>
      <c r="G9" s="160"/>
      <c r="H9" s="160"/>
      <c r="I9" s="160"/>
      <c r="J9" s="160"/>
      <c r="K9" s="160"/>
    </row>
    <row r="10" spans="2:12" s="1" customFormat="1">
      <c r="B10" s="163" t="s">
        <v>185</v>
      </c>
      <c r="D10" s="164">
        <f>IF($D$5="Please Complete Summary tab",0.03,IF($D$5=2025,0.03,IF($D$5=2026,0.029,0.0285)))</f>
        <v>0.03</v>
      </c>
      <c r="E10" s="7"/>
    </row>
    <row r="11" spans="2:12" s="1" customFormat="1">
      <c r="B11" s="163" t="s">
        <v>186</v>
      </c>
      <c r="D11" s="164">
        <f>IF($D$5="Please Complete Summary tab",0.03,IF($D$5=2025,0.03,IF($D$5=2026,0.029,0.0285)))</f>
        <v>0.03</v>
      </c>
      <c r="E11" s="7"/>
    </row>
    <row r="12" spans="2:12" s="1" customFormat="1">
      <c r="B12" s="163" t="s">
        <v>187</v>
      </c>
      <c r="D12" s="164">
        <f>IF($D$5="Please Complete Summary tab",0.0425,IF($D$5=2025,0.0425,IF($D$5=2026,0.041,0.04)))</f>
        <v>4.2500000000000003E-2</v>
      </c>
      <c r="E12" s="7"/>
    </row>
    <row r="13" spans="2:12" s="1" customFormat="1">
      <c r="B13" s="165"/>
      <c r="D13" s="22"/>
      <c r="E13" s="7"/>
    </row>
    <row r="14" spans="2:12" s="1" customFormat="1">
      <c r="B14" s="165"/>
      <c r="D14" s="37" t="s">
        <v>188</v>
      </c>
      <c r="E14" s="166" t="s">
        <v>189</v>
      </c>
    </row>
    <row r="15" spans="2:12" s="1" customFormat="1">
      <c r="B15" s="165" t="s">
        <v>190</v>
      </c>
      <c r="D15" s="22">
        <f>SUM(H:H)</f>
        <v>49062.5</v>
      </c>
      <c r="E15" s="167" t="str">
        <f>IF($D$6="Porsche","N/A",SUM(J:J))</f>
        <v>N/A</v>
      </c>
    </row>
    <row r="16" spans="2:12" s="1" customFormat="1">
      <c r="B16" s="165" t="s">
        <v>191</v>
      </c>
      <c r="D16" s="22">
        <f>SUM(I:I)</f>
        <v>53125</v>
      </c>
      <c r="E16" s="167" t="str">
        <f>IF($D$6="Porsche","N/A",SUM(K:K))</f>
        <v>N/A</v>
      </c>
    </row>
    <row r="17" spans="2:21">
      <c r="B17" s="165" t="s">
        <v>192</v>
      </c>
      <c r="C17" s="1"/>
      <c r="D17" s="295">
        <f>SUM(S:S)</f>
        <v>50125</v>
      </c>
      <c r="E17" s="29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2:21">
      <c r="B18" s="165" t="s">
        <v>193</v>
      </c>
      <c r="C18" s="1"/>
      <c r="D18" s="295">
        <f>D17-D16</f>
        <v>-3000</v>
      </c>
      <c r="E18" s="29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2:21" ht="15" thickBot="1">
      <c r="B19" s="168"/>
      <c r="C19" s="39"/>
      <c r="D19" s="18"/>
      <c r="E19" s="11"/>
      <c r="F19" s="160"/>
      <c r="G19" s="160"/>
      <c r="H19" s="160"/>
      <c r="I19" s="160"/>
      <c r="J19" s="160"/>
      <c r="K19" s="160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2:21">
      <c r="B20" s="1"/>
      <c r="C20" s="1"/>
      <c r="D20" s="1"/>
      <c r="E20" s="1"/>
      <c r="F20" s="160"/>
      <c r="G20" s="160"/>
      <c r="H20" s="160"/>
      <c r="I20" s="160"/>
      <c r="J20" s="160"/>
      <c r="K20" s="160"/>
      <c r="L20" s="160"/>
      <c r="M20" s="1"/>
      <c r="N20" s="1"/>
      <c r="O20" s="1"/>
      <c r="P20" s="1"/>
      <c r="Q20" s="1"/>
      <c r="R20" s="1"/>
      <c r="S20" s="1"/>
      <c r="T20" s="1"/>
      <c r="U20" s="1"/>
    </row>
    <row r="21" spans="2:21">
      <c r="B21" s="292" t="s">
        <v>194</v>
      </c>
      <c r="C21" s="293"/>
      <c r="D21" s="293"/>
      <c r="E21" s="293"/>
      <c r="F21" s="297"/>
      <c r="G21" s="298"/>
      <c r="H21" s="288" t="s">
        <v>195</v>
      </c>
      <c r="I21" s="289"/>
      <c r="J21" s="288" t="s">
        <v>196</v>
      </c>
      <c r="K21" s="289"/>
      <c r="L21" s="290" t="s">
        <v>197</v>
      </c>
      <c r="M21" s="291"/>
      <c r="N21" s="291"/>
      <c r="O21" s="291"/>
      <c r="P21" s="291"/>
      <c r="Q21" s="292" t="s">
        <v>198</v>
      </c>
      <c r="R21" s="293"/>
      <c r="S21" s="293"/>
      <c r="T21" s="293"/>
      <c r="U21" s="294"/>
    </row>
    <row r="22" spans="2:21" s="17" customFormat="1" ht="57.95">
      <c r="B22" s="169" t="s">
        <v>199</v>
      </c>
      <c r="C22" s="170" t="s">
        <v>200</v>
      </c>
      <c r="D22" s="170" t="s">
        <v>201</v>
      </c>
      <c r="E22" s="170" t="s">
        <v>202</v>
      </c>
      <c r="F22" s="171" t="s">
        <v>203</v>
      </c>
      <c r="G22" s="172" t="s">
        <v>204</v>
      </c>
      <c r="H22" s="173" t="s">
        <v>205</v>
      </c>
      <c r="I22" s="174" t="s">
        <v>206</v>
      </c>
      <c r="J22" s="173" t="s">
        <v>207</v>
      </c>
      <c r="K22" s="175" t="s">
        <v>208</v>
      </c>
      <c r="L22" s="176" t="s">
        <v>209</v>
      </c>
      <c r="M22" s="177" t="s">
        <v>210</v>
      </c>
      <c r="N22" s="177" t="s">
        <v>211</v>
      </c>
      <c r="O22" s="177" t="s">
        <v>212</v>
      </c>
      <c r="P22" s="177" t="s">
        <v>213</v>
      </c>
      <c r="Q22" s="178" t="s">
        <v>214</v>
      </c>
      <c r="R22" s="179" t="s">
        <v>215</v>
      </c>
      <c r="S22" s="179" t="s">
        <v>216</v>
      </c>
      <c r="T22" s="179" t="s">
        <v>217</v>
      </c>
      <c r="U22" s="180" t="s">
        <v>218</v>
      </c>
    </row>
    <row r="23" spans="2:21">
      <c r="B23" s="181" t="s">
        <v>219</v>
      </c>
      <c r="C23" s="182" t="s">
        <v>220</v>
      </c>
      <c r="D23" s="182" t="s">
        <v>221</v>
      </c>
      <c r="E23" s="183">
        <v>100000</v>
      </c>
      <c r="F23" s="184">
        <f t="shared" ref="F23:F86" si="0">IF(E23="","",IF(D23="Paid Search",$D$11,IF(D23="Paid Social",$D$10,$D$12)))</f>
        <v>0.03</v>
      </c>
      <c r="G23" s="185">
        <f t="shared" ref="G23:G86" si="1">IFERROR(IF(E23="","",E23*0.25%),"")</f>
        <v>250</v>
      </c>
      <c r="H23" s="186">
        <f t="shared" ref="H23:H86" si="2">IFERROR(F23*E23,"")</f>
        <v>3000</v>
      </c>
      <c r="I23" s="187">
        <f>IFERROR(G23+H23,"")</f>
        <v>3250</v>
      </c>
      <c r="J23" s="186" t="str">
        <f>IF(H23="","",IF($D$6="Porsche","N/A",IFERROR(H23*0.8,"")))</f>
        <v>N/A</v>
      </c>
      <c r="K23" s="188" t="str">
        <f>IFERROR(IF(J23="","",J23+G23),"N/A")</f>
        <v>N/A</v>
      </c>
      <c r="L23" s="189" t="s">
        <v>222</v>
      </c>
      <c r="M23" s="190">
        <v>25</v>
      </c>
      <c r="N23" s="190">
        <v>26</v>
      </c>
      <c r="O23" s="40">
        <f t="shared" ref="O23:O86" si="3">IF(AND(M23="",N23=""),"",IF(OR(M23="",N23=""),"TBC",M23/N23-1))</f>
        <v>-3.8461538461538436E-2</v>
      </c>
      <c r="P23" s="26" t="s">
        <v>223</v>
      </c>
      <c r="Q23" s="191">
        <f>IF(O23="","",IF(AND($D$5=2025,OR(C23="Used Cars",C23="Aftersales")),-10%,IF(IFERROR(E23*'Fee Summary'!$E$9,"TBC")&lt;30000,"N/A - Campaign Less than €30k",IF(P23="No","N/A - Campaign Excluded",IF($D$6="Porsche",IF(O23="TBC","TBC",IF(O23&lt;-0.5,-0.5,IF(O23&gt;0.6,0.5,IF(O23&lt;0,O23,IF(O23&lt;0.1,0,O23-0.1))))),IF(O23="TBC","TBC",IF(O23&lt;-0.2,-0.2,IF(O23&gt;0.2,0.1,IF(O23&lt;0,O23,IF(O23&lt;0.1,0,O23-0.1))))))))))</f>
        <v>-0.1</v>
      </c>
      <c r="R23" s="192">
        <f t="shared" ref="R23:R86" si="4">IF(Q23="","",IFERROR(Q23*H23,"N/A"))</f>
        <v>-300</v>
      </c>
      <c r="S23" s="192">
        <f>IF($D$6="Porsche",I23,IF(R23="","",IF(R23="N/A",I23,I23+R23)))</f>
        <v>3250</v>
      </c>
      <c r="T23" s="192" t="str">
        <f t="shared" ref="T23:T86" si="5">IFERROR(S23-K23,"")</f>
        <v/>
      </c>
      <c r="U23" s="193" t="s">
        <v>224</v>
      </c>
    </row>
    <row r="24" spans="2:21">
      <c r="B24" s="194" t="s">
        <v>219</v>
      </c>
      <c r="C24" s="26" t="s">
        <v>225</v>
      </c>
      <c r="D24" s="26" t="s">
        <v>221</v>
      </c>
      <c r="E24" s="28">
        <v>1000000</v>
      </c>
      <c r="F24" s="195">
        <f t="shared" si="0"/>
        <v>0.03</v>
      </c>
      <c r="G24" s="187">
        <f t="shared" si="1"/>
        <v>2500</v>
      </c>
      <c r="H24" s="186">
        <f t="shared" si="2"/>
        <v>30000</v>
      </c>
      <c r="I24" s="187">
        <f t="shared" ref="I24:I87" si="6">IFERROR(G24+H24,"")</f>
        <v>32500</v>
      </c>
      <c r="J24" s="186" t="str">
        <f t="shared" ref="J24:J87" si="7">IF(H24="","",IF($D$6="Porsche","N/A",IFERROR(H24*0.8,"")))</f>
        <v>N/A</v>
      </c>
      <c r="K24" s="188" t="str">
        <f t="shared" ref="K24:K87" si="8">IFERROR(IF(J24="","",J24+G24),"N/A")</f>
        <v>N/A</v>
      </c>
      <c r="L24" s="189" t="s">
        <v>226</v>
      </c>
      <c r="M24" s="190">
        <v>12</v>
      </c>
      <c r="N24" s="190">
        <v>11</v>
      </c>
      <c r="O24" s="40">
        <f t="shared" si="3"/>
        <v>9.0909090909090828E-2</v>
      </c>
      <c r="P24" s="26" t="s">
        <v>223</v>
      </c>
      <c r="Q24" s="196">
        <f>IF(O24="","",IF(AND($D$5=2025,OR(C24="Used Cars",C24="Aftersales")),-10%,IF(IFERROR(E24*'Fee Summary'!$E$9,"TBC")&lt;30000,"N/A - Campaign Less than €30k",IF(P24="No","N/A - Campaign Excluded",IF($D$6="Porsche",IF(O24="TBC","TBC",IF(O24&lt;-0.5,-0.5,IF(O24&gt;0.6,0.5,IF(O24&lt;0,O24,IF(O24&lt;0.1,0,O24-0.1))))),IF(O24="TBC","TBC",IF(O24&lt;-0.2,-0.2,IF(O24&gt;0.2,0.1,IF(O24&lt;0,O24,IF(O24&lt;0.1,0,O24-0.1))))))))))</f>
        <v>-0.1</v>
      </c>
      <c r="R24" s="197">
        <f t="shared" si="4"/>
        <v>-3000</v>
      </c>
      <c r="S24" s="197">
        <f>IF(R24="","",IF(R24="N/A",I24,I24+R24))</f>
        <v>29500</v>
      </c>
      <c r="T24" s="197" t="str">
        <f t="shared" si="5"/>
        <v/>
      </c>
      <c r="U24" s="198" t="s">
        <v>224</v>
      </c>
    </row>
    <row r="25" spans="2:21">
      <c r="B25" s="194" t="s">
        <v>219</v>
      </c>
      <c r="C25" s="26" t="s">
        <v>227</v>
      </c>
      <c r="D25" s="26" t="s">
        <v>228</v>
      </c>
      <c r="E25" s="28">
        <v>25000</v>
      </c>
      <c r="F25" s="195">
        <f t="shared" si="0"/>
        <v>4.2500000000000003E-2</v>
      </c>
      <c r="G25" s="187">
        <f t="shared" si="1"/>
        <v>62.5</v>
      </c>
      <c r="H25" s="186">
        <f t="shared" si="2"/>
        <v>1062.5</v>
      </c>
      <c r="I25" s="187">
        <f t="shared" si="6"/>
        <v>1125</v>
      </c>
      <c r="J25" s="186" t="str">
        <f t="shared" si="7"/>
        <v>N/A</v>
      </c>
      <c r="K25" s="188" t="str">
        <f t="shared" si="8"/>
        <v>N/A</v>
      </c>
      <c r="L25" s="189" t="s">
        <v>229</v>
      </c>
      <c r="M25" s="190">
        <v>35</v>
      </c>
      <c r="N25" s="190">
        <v>32</v>
      </c>
      <c r="O25" s="40">
        <f t="shared" si="3"/>
        <v>9.375E-2</v>
      </c>
      <c r="P25" s="26" t="s">
        <v>224</v>
      </c>
      <c r="Q25" s="196" t="str">
        <f>IF(O25="","",IF(AND($D$5=2025,OR(C25="Used Cars",C25="Aftersales")),-10%,IF(IFERROR(E25*'Fee Summary'!$E$9,"TBC")&lt;30000,"N/A - Campaign Less than €30k",IF(P25="No","N/A - Campaign Excluded",IF($D$6="Porsche",IF(O25="TBC","TBC",IF(O25&lt;-0.5,-0.5,IF(O25&gt;0.6,0.5,IF(O25&lt;0,O25,IF(O25&lt;0.1,0,O25-0.1))))),IF(O25="TBC","TBC",IF(O25&lt;-0.2,-0.2,IF(O25&gt;0.2,0.1,IF(O25&lt;0,O25,IF(O25&lt;0.1,0,O25-0.1))))))))))</f>
        <v>N/A - Campaign Less than €30k</v>
      </c>
      <c r="R25" s="197" t="str">
        <f t="shared" si="4"/>
        <v>N/A</v>
      </c>
      <c r="S25" s="197">
        <f t="shared" ref="S25:S88" si="9">IF($D$6="Porsche",I25,IF(R25="","",IF(R25="N/A",I25,I25+R25)))</f>
        <v>1125</v>
      </c>
      <c r="T25" s="197" t="str">
        <f t="shared" si="5"/>
        <v/>
      </c>
      <c r="U25" s="198" t="s">
        <v>223</v>
      </c>
    </row>
    <row r="26" spans="2:21">
      <c r="B26" s="194" t="s">
        <v>219</v>
      </c>
      <c r="C26" s="26" t="s">
        <v>227</v>
      </c>
      <c r="D26" s="26" t="s">
        <v>230</v>
      </c>
      <c r="E26" s="28">
        <v>500000</v>
      </c>
      <c r="F26" s="195">
        <f t="shared" si="0"/>
        <v>0.03</v>
      </c>
      <c r="G26" s="187">
        <f t="shared" si="1"/>
        <v>1250</v>
      </c>
      <c r="H26" s="186">
        <f t="shared" si="2"/>
        <v>15000</v>
      </c>
      <c r="I26" s="187">
        <f t="shared" si="6"/>
        <v>16250</v>
      </c>
      <c r="J26" s="186" t="str">
        <f t="shared" si="7"/>
        <v>N/A</v>
      </c>
      <c r="K26" s="188" t="str">
        <f t="shared" si="8"/>
        <v>N/A</v>
      </c>
      <c r="L26" s="189" t="s">
        <v>222</v>
      </c>
      <c r="M26" s="190">
        <v>33</v>
      </c>
      <c r="N26" s="190">
        <v>30</v>
      </c>
      <c r="O26" s="40">
        <f t="shared" si="3"/>
        <v>0.10000000000000009</v>
      </c>
      <c r="P26" s="26" t="s">
        <v>224</v>
      </c>
      <c r="Q26" s="196">
        <f>IF(O26="","",IF(AND($D$5=2025,OR(C26="Used Cars",C26="Aftersales")),-10%,IF(IFERROR(E26*'Fee Summary'!$E$9,"TBC")&lt;30000,"N/A - Campaign Less than €30k",IF(P26="No","N/A - Campaign Excluded",IF($D$6="Porsche",IF(O26="TBC","TBC",IF(O26&lt;-0.5,-0.5,IF(O26&gt;0.6,0.5,IF(O26&lt;0,O26,IF(O26&lt;0.1,0,O26-0.1))))),IF(O26="TBC","TBC",IF(O26&lt;-0.2,-0.2,IF(O26&gt;0.2,0.1,IF(O26&lt;0,O26,IF(O26&lt;0.1,0,O26-0.1))))))))))</f>
        <v>8.3266726846886741E-17</v>
      </c>
      <c r="R26" s="197">
        <f t="shared" si="4"/>
        <v>1.2490009027033011E-12</v>
      </c>
      <c r="S26" s="197">
        <f t="shared" si="9"/>
        <v>16250</v>
      </c>
      <c r="T26" s="197" t="str">
        <f t="shared" si="5"/>
        <v/>
      </c>
      <c r="U26" s="198" t="s">
        <v>223</v>
      </c>
    </row>
    <row r="27" spans="2:21">
      <c r="B27" s="194"/>
      <c r="C27" s="26"/>
      <c r="D27" s="26"/>
      <c r="E27" s="28"/>
      <c r="F27" s="195" t="str">
        <f t="shared" si="0"/>
        <v/>
      </c>
      <c r="G27" s="187" t="str">
        <f t="shared" si="1"/>
        <v/>
      </c>
      <c r="H27" s="186" t="str">
        <f t="shared" si="2"/>
        <v/>
      </c>
      <c r="I27" s="187" t="str">
        <f t="shared" si="6"/>
        <v/>
      </c>
      <c r="J27" s="186" t="str">
        <f t="shared" si="7"/>
        <v/>
      </c>
      <c r="K27" s="188" t="str">
        <f t="shared" si="8"/>
        <v/>
      </c>
      <c r="L27" s="189"/>
      <c r="M27" s="190"/>
      <c r="N27" s="190"/>
      <c r="O27" s="40" t="str">
        <f t="shared" si="3"/>
        <v/>
      </c>
      <c r="P27" s="26" t="str">
        <f>IF(E27="","",IF($D$6="Porsche","No",IF(IFERROR(E27*'Fee Summary'!$E$9,"TBC")&lt;30000,"No","Yes/No?")))</f>
        <v/>
      </c>
      <c r="Q27" s="196" t="str">
        <f>IF(O27="","",IF(AND($D$5=2025,OR(C27="Used Cars",C27="Aftersales")),-10%,IF(IFERROR(E27*'Fee Summary'!$E$9,"TBC")&lt;30000,"N/A - Campaign Less than €30k",IF(P27="No","N/A - Campaign Excluded",IF($D$6="Porsche",IF(O27="TBC","TBC",IF(O27&lt;-0.5,-0.5,IF(O27&gt;0.6,0.5,IF(O27&lt;0,O27,IF(O27&lt;0.1,0,O27-0.1))))),IF(O27="TBC","TBC",IF(O27&lt;-0.2,-0.2,IF(O27&gt;0.2,0.1,IF(O27&lt;0,O27,IF(O27&lt;0.1,0,O27-0.1))))))))))</f>
        <v/>
      </c>
      <c r="R27" s="197" t="str">
        <f t="shared" si="4"/>
        <v/>
      </c>
      <c r="S27" s="197" t="str">
        <f t="shared" si="9"/>
        <v/>
      </c>
      <c r="T27" s="197" t="str">
        <f t="shared" si="5"/>
        <v/>
      </c>
      <c r="U27" s="198"/>
    </row>
    <row r="28" spans="2:21">
      <c r="B28" s="194"/>
      <c r="C28" s="26"/>
      <c r="D28" s="26"/>
      <c r="E28" s="28"/>
      <c r="F28" s="195" t="str">
        <f t="shared" si="0"/>
        <v/>
      </c>
      <c r="G28" s="187" t="str">
        <f t="shared" si="1"/>
        <v/>
      </c>
      <c r="H28" s="186" t="str">
        <f t="shared" si="2"/>
        <v/>
      </c>
      <c r="I28" s="187" t="str">
        <f t="shared" si="6"/>
        <v/>
      </c>
      <c r="J28" s="186" t="str">
        <f t="shared" si="7"/>
        <v/>
      </c>
      <c r="K28" s="188" t="str">
        <f t="shared" si="8"/>
        <v/>
      </c>
      <c r="L28" s="189"/>
      <c r="M28" s="190"/>
      <c r="N28" s="190"/>
      <c r="O28" s="40" t="str">
        <f t="shared" si="3"/>
        <v/>
      </c>
      <c r="P28" s="26" t="str">
        <f>IF(E28="","",IF($D$6="Porsche","No",IF(IFERROR(E28*'Fee Summary'!$E$9,"TBC")&lt;30000,"No","Yes/No?")))</f>
        <v/>
      </c>
      <c r="Q28" s="196" t="str">
        <f>IF(O28="","",IF(AND($D$5=2025,OR(C28="Used Cars",C28="Aftersales")),-10%,IF(IFERROR(E28*'Fee Summary'!$E$9,"TBC")&lt;30000,"N/A - Campaign Less than €30k",IF(P28="No","N/A - Campaign Excluded",IF($D$6="Porsche",IF(O28="TBC","TBC",IF(O28&lt;-0.5,-0.5,IF(O28&gt;0.6,0.5,IF(O28&lt;0,O28,IF(O28&lt;0.1,0,O28-0.1))))),IF(O28="TBC","TBC",IF(O28&lt;-0.2,-0.2,IF(O28&gt;0.2,0.1,IF(O28&lt;0,O28,IF(O28&lt;0.1,0,O28-0.1))))))))))</f>
        <v/>
      </c>
      <c r="R28" s="197" t="str">
        <f t="shared" si="4"/>
        <v/>
      </c>
      <c r="S28" s="197" t="str">
        <f t="shared" si="9"/>
        <v/>
      </c>
      <c r="T28" s="197" t="str">
        <f t="shared" si="5"/>
        <v/>
      </c>
      <c r="U28" s="198"/>
    </row>
    <row r="29" spans="2:21">
      <c r="B29" s="194"/>
      <c r="C29" s="26"/>
      <c r="D29" s="26"/>
      <c r="E29" s="28"/>
      <c r="F29" s="195" t="str">
        <f t="shared" si="0"/>
        <v/>
      </c>
      <c r="G29" s="187" t="str">
        <f t="shared" si="1"/>
        <v/>
      </c>
      <c r="H29" s="186" t="str">
        <f t="shared" si="2"/>
        <v/>
      </c>
      <c r="I29" s="187" t="str">
        <f t="shared" si="6"/>
        <v/>
      </c>
      <c r="J29" s="186" t="str">
        <f t="shared" si="7"/>
        <v/>
      </c>
      <c r="K29" s="188" t="str">
        <f t="shared" si="8"/>
        <v/>
      </c>
      <c r="L29" s="189"/>
      <c r="M29" s="190"/>
      <c r="N29" s="190"/>
      <c r="O29" s="40" t="str">
        <f t="shared" si="3"/>
        <v/>
      </c>
      <c r="P29" s="26" t="str">
        <f>IF(E29="","",IF($D$6="Porsche","No",IF(IFERROR(E29*'Fee Summary'!$E$9,"TBC")&lt;30000,"No","Yes/No?")))</f>
        <v/>
      </c>
      <c r="Q29" s="196" t="str">
        <f>IF(O29="","",IF(AND($D$5=2025,OR(C29="Used Cars",C29="Aftersales")),-10%,IF(IFERROR(E29*'Fee Summary'!$E$9,"TBC")&lt;30000,"N/A - Campaign Less than €30k",IF(P29="No","N/A - Campaign Excluded",IF($D$6="Porsche",IF(O29="TBC","TBC",IF(O29&lt;-0.5,-0.5,IF(O29&gt;0.6,0.5,IF(O29&lt;0,O29,IF(O29&lt;0.1,0,O29-0.1))))),IF(O29="TBC","TBC",IF(O29&lt;-0.2,-0.2,IF(O29&gt;0.2,0.1,IF(O29&lt;0,O29,IF(O29&lt;0.1,0,O29-0.1))))))))))</f>
        <v/>
      </c>
      <c r="R29" s="197" t="str">
        <f t="shared" si="4"/>
        <v/>
      </c>
      <c r="S29" s="197" t="str">
        <f t="shared" si="9"/>
        <v/>
      </c>
      <c r="T29" s="197" t="str">
        <f t="shared" si="5"/>
        <v/>
      </c>
      <c r="U29" s="198"/>
    </row>
    <row r="30" spans="2:21">
      <c r="B30" s="194"/>
      <c r="C30" s="26"/>
      <c r="D30" s="26"/>
      <c r="E30" s="28"/>
      <c r="F30" s="195" t="str">
        <f t="shared" si="0"/>
        <v/>
      </c>
      <c r="G30" s="187" t="str">
        <f t="shared" si="1"/>
        <v/>
      </c>
      <c r="H30" s="186" t="str">
        <f t="shared" si="2"/>
        <v/>
      </c>
      <c r="I30" s="187" t="str">
        <f t="shared" si="6"/>
        <v/>
      </c>
      <c r="J30" s="186" t="str">
        <f t="shared" si="7"/>
        <v/>
      </c>
      <c r="K30" s="188" t="str">
        <f t="shared" si="8"/>
        <v/>
      </c>
      <c r="L30" s="189"/>
      <c r="M30" s="190"/>
      <c r="N30" s="190"/>
      <c r="O30" s="40" t="str">
        <f t="shared" si="3"/>
        <v/>
      </c>
      <c r="P30" s="26" t="str">
        <f>IF(E30="","",IF($D$6="Porsche","No",IF(IFERROR(E30*'Fee Summary'!$E$9,"TBC")&lt;30000,"No","Yes/No?")))</f>
        <v/>
      </c>
      <c r="Q30" s="196" t="str">
        <f>IF(O30="","",IF(AND($D$5=2025,OR(C30="Used Cars",C30="Aftersales")),-10%,IF(IFERROR(E30*'Fee Summary'!$E$9,"TBC")&lt;30000,"N/A - Campaign Less than €30k",IF(P30="No","N/A - Campaign Excluded",IF($D$6="Porsche",IF(O30="TBC","TBC",IF(O30&lt;-0.5,-0.5,IF(O30&gt;0.6,0.5,IF(O30&lt;0,O30,IF(O30&lt;0.1,0,O30-0.1))))),IF(O30="TBC","TBC",IF(O30&lt;-0.2,-0.2,IF(O30&gt;0.2,0.1,IF(O30&lt;0,O30,IF(O30&lt;0.1,0,O30-0.1))))))))))</f>
        <v/>
      </c>
      <c r="R30" s="197" t="str">
        <f t="shared" si="4"/>
        <v/>
      </c>
      <c r="S30" s="197" t="str">
        <f t="shared" si="9"/>
        <v/>
      </c>
      <c r="T30" s="197" t="str">
        <f t="shared" si="5"/>
        <v/>
      </c>
      <c r="U30" s="198"/>
    </row>
    <row r="31" spans="2:21">
      <c r="B31" s="194"/>
      <c r="C31" s="26"/>
      <c r="D31" s="26"/>
      <c r="E31" s="28"/>
      <c r="F31" s="195" t="str">
        <f t="shared" si="0"/>
        <v/>
      </c>
      <c r="G31" s="187" t="str">
        <f t="shared" si="1"/>
        <v/>
      </c>
      <c r="H31" s="186" t="str">
        <f t="shared" si="2"/>
        <v/>
      </c>
      <c r="I31" s="187" t="str">
        <f t="shared" si="6"/>
        <v/>
      </c>
      <c r="J31" s="186" t="str">
        <f t="shared" si="7"/>
        <v/>
      </c>
      <c r="K31" s="188" t="str">
        <f t="shared" si="8"/>
        <v/>
      </c>
      <c r="L31" s="189"/>
      <c r="M31" s="190"/>
      <c r="N31" s="190"/>
      <c r="O31" s="40" t="str">
        <f t="shared" si="3"/>
        <v/>
      </c>
      <c r="P31" s="26" t="str">
        <f>IF(E31="","",IF($D$6="Porsche","No",IF(IFERROR(E31*'Fee Summary'!$E$9,"TBC")&lt;30000,"No","Yes/No?")))</f>
        <v/>
      </c>
      <c r="Q31" s="196" t="str">
        <f>IF(O31="","",IF(AND($D$5=2025,OR(C31="Used Cars",C31="Aftersales")),-10%,IF(IFERROR(E31*'Fee Summary'!$E$9,"TBC")&lt;30000,"N/A - Campaign Less than €30k",IF(P31="No","N/A - Campaign Excluded",IF($D$6="Porsche",IF(O31="TBC","TBC",IF(O31&lt;-0.5,-0.5,IF(O31&gt;0.6,0.5,IF(O31&lt;0,O31,IF(O31&lt;0.1,0,O31-0.1))))),IF(O31="TBC","TBC",IF(O31&lt;-0.2,-0.2,IF(O31&gt;0.2,0.1,IF(O31&lt;0,O31,IF(O31&lt;0.1,0,O31-0.1))))))))))</f>
        <v/>
      </c>
      <c r="R31" s="197" t="str">
        <f t="shared" si="4"/>
        <v/>
      </c>
      <c r="S31" s="197" t="str">
        <f t="shared" si="9"/>
        <v/>
      </c>
      <c r="T31" s="197" t="str">
        <f t="shared" si="5"/>
        <v/>
      </c>
      <c r="U31" s="198"/>
    </row>
    <row r="32" spans="2:21">
      <c r="B32" s="194"/>
      <c r="C32" s="26"/>
      <c r="D32" s="26"/>
      <c r="E32" s="28"/>
      <c r="F32" s="195" t="str">
        <f t="shared" si="0"/>
        <v/>
      </c>
      <c r="G32" s="187" t="str">
        <f t="shared" si="1"/>
        <v/>
      </c>
      <c r="H32" s="186" t="str">
        <f t="shared" si="2"/>
        <v/>
      </c>
      <c r="I32" s="187" t="str">
        <f t="shared" si="6"/>
        <v/>
      </c>
      <c r="J32" s="186" t="str">
        <f t="shared" si="7"/>
        <v/>
      </c>
      <c r="K32" s="188" t="str">
        <f t="shared" si="8"/>
        <v/>
      </c>
      <c r="L32" s="189"/>
      <c r="M32" s="190"/>
      <c r="N32" s="190"/>
      <c r="O32" s="40" t="str">
        <f t="shared" si="3"/>
        <v/>
      </c>
      <c r="P32" s="26" t="str">
        <f>IF(E32="","",IF($D$6="Porsche","No",IF(IFERROR(E32*'Fee Summary'!$E$9,"TBC")&lt;30000,"No","Yes/No?")))</f>
        <v/>
      </c>
      <c r="Q32" s="196" t="str">
        <f>IF(O32="","",IF(AND($D$5=2025,OR(C32="Used Cars",C32="Aftersales")),-10%,IF(IFERROR(E32*'Fee Summary'!$E$9,"TBC")&lt;30000,"N/A - Campaign Less than €30k",IF(P32="No","N/A - Campaign Excluded",IF($D$6="Porsche",IF(O32="TBC","TBC",IF(O32&lt;-0.5,-0.5,IF(O32&gt;0.6,0.5,IF(O32&lt;0,O32,IF(O32&lt;0.1,0,O32-0.1))))),IF(O32="TBC","TBC",IF(O32&lt;-0.2,-0.2,IF(O32&gt;0.2,0.1,IF(O32&lt;0,O32,IF(O32&lt;0.1,0,O32-0.1))))))))))</f>
        <v/>
      </c>
      <c r="R32" s="197" t="str">
        <f t="shared" si="4"/>
        <v/>
      </c>
      <c r="S32" s="197" t="str">
        <f t="shared" si="9"/>
        <v/>
      </c>
      <c r="T32" s="197" t="str">
        <f t="shared" si="5"/>
        <v/>
      </c>
      <c r="U32" s="198"/>
    </row>
    <row r="33" spans="2:21">
      <c r="B33" s="194"/>
      <c r="C33" s="26"/>
      <c r="D33" s="26"/>
      <c r="E33" s="28"/>
      <c r="F33" s="195" t="str">
        <f t="shared" si="0"/>
        <v/>
      </c>
      <c r="G33" s="187" t="str">
        <f t="shared" si="1"/>
        <v/>
      </c>
      <c r="H33" s="186" t="str">
        <f t="shared" si="2"/>
        <v/>
      </c>
      <c r="I33" s="187" t="str">
        <f t="shared" si="6"/>
        <v/>
      </c>
      <c r="J33" s="186" t="str">
        <f t="shared" si="7"/>
        <v/>
      </c>
      <c r="K33" s="188" t="str">
        <f t="shared" si="8"/>
        <v/>
      </c>
      <c r="L33" s="189"/>
      <c r="M33" s="190"/>
      <c r="N33" s="190"/>
      <c r="O33" s="40" t="str">
        <f t="shared" si="3"/>
        <v/>
      </c>
      <c r="P33" s="26" t="str">
        <f>IF(E33="","",IF($D$6="Porsche","No",IF(IFERROR(E33*'Fee Summary'!$E$9,"TBC")&lt;30000,"No","Yes/No?")))</f>
        <v/>
      </c>
      <c r="Q33" s="196" t="str">
        <f>IF(O33="","",IF(AND($D$5=2025,OR(C33="Used Cars",C33="Aftersales")),-10%,IF(IFERROR(E33*'Fee Summary'!$E$9,"TBC")&lt;30000,"N/A - Campaign Less than €30k",IF(P33="No","N/A - Campaign Excluded",IF($D$6="Porsche",IF(O33="TBC","TBC",IF(O33&lt;-0.5,-0.5,IF(O33&gt;0.6,0.5,IF(O33&lt;0,O33,IF(O33&lt;0.1,0,O33-0.1))))),IF(O33="TBC","TBC",IF(O33&lt;-0.2,-0.2,IF(O33&gt;0.2,0.1,IF(O33&lt;0,O33,IF(O33&lt;0.1,0,O33-0.1))))))))))</f>
        <v/>
      </c>
      <c r="R33" s="197" t="str">
        <f t="shared" si="4"/>
        <v/>
      </c>
      <c r="S33" s="197" t="str">
        <f t="shared" si="9"/>
        <v/>
      </c>
      <c r="T33" s="197" t="str">
        <f t="shared" si="5"/>
        <v/>
      </c>
      <c r="U33" s="198"/>
    </row>
    <row r="34" spans="2:21">
      <c r="B34" s="194"/>
      <c r="C34" s="26"/>
      <c r="D34" s="26"/>
      <c r="E34" s="28"/>
      <c r="F34" s="195" t="str">
        <f t="shared" si="0"/>
        <v/>
      </c>
      <c r="G34" s="187" t="str">
        <f t="shared" si="1"/>
        <v/>
      </c>
      <c r="H34" s="186" t="str">
        <f t="shared" si="2"/>
        <v/>
      </c>
      <c r="I34" s="187" t="str">
        <f t="shared" si="6"/>
        <v/>
      </c>
      <c r="J34" s="186" t="str">
        <f t="shared" si="7"/>
        <v/>
      </c>
      <c r="K34" s="188" t="str">
        <f t="shared" si="8"/>
        <v/>
      </c>
      <c r="L34" s="189"/>
      <c r="M34" s="190"/>
      <c r="N34" s="190"/>
      <c r="O34" s="40" t="str">
        <f t="shared" si="3"/>
        <v/>
      </c>
      <c r="P34" s="26" t="str">
        <f>IF(E34="","",IF($D$6="Porsche","No",IF(IFERROR(E34*'Fee Summary'!$E$9,"TBC")&lt;30000,"No","Yes/No?")))</f>
        <v/>
      </c>
      <c r="Q34" s="196" t="str">
        <f>IF(O34="","",IF(AND($D$5=2025,OR(C34="Used Cars",C34="Aftersales")),-10%,IF(IFERROR(E34*'Fee Summary'!$E$9,"TBC")&lt;30000,"N/A - Campaign Less than €30k",IF(P34="No","N/A - Campaign Excluded",IF($D$6="Porsche",IF(O34="TBC","TBC",IF(O34&lt;-0.5,-0.5,IF(O34&gt;0.6,0.5,IF(O34&lt;0,O34,IF(O34&lt;0.1,0,O34-0.1))))),IF(O34="TBC","TBC",IF(O34&lt;-0.2,-0.2,IF(O34&gt;0.2,0.1,IF(O34&lt;0,O34,IF(O34&lt;0.1,0,O34-0.1))))))))))</f>
        <v/>
      </c>
      <c r="R34" s="197" t="str">
        <f t="shared" si="4"/>
        <v/>
      </c>
      <c r="S34" s="197" t="str">
        <f t="shared" si="9"/>
        <v/>
      </c>
      <c r="T34" s="197" t="str">
        <f t="shared" si="5"/>
        <v/>
      </c>
      <c r="U34" s="198"/>
    </row>
    <row r="35" spans="2:21">
      <c r="B35" s="194"/>
      <c r="C35" s="26"/>
      <c r="D35" s="26"/>
      <c r="E35" s="28"/>
      <c r="F35" s="195" t="str">
        <f t="shared" si="0"/>
        <v/>
      </c>
      <c r="G35" s="187" t="str">
        <f t="shared" si="1"/>
        <v/>
      </c>
      <c r="H35" s="186" t="str">
        <f t="shared" si="2"/>
        <v/>
      </c>
      <c r="I35" s="187" t="str">
        <f t="shared" si="6"/>
        <v/>
      </c>
      <c r="J35" s="186" t="str">
        <f t="shared" si="7"/>
        <v/>
      </c>
      <c r="K35" s="188" t="str">
        <f t="shared" si="8"/>
        <v/>
      </c>
      <c r="L35" s="189"/>
      <c r="M35" s="190"/>
      <c r="N35" s="190"/>
      <c r="O35" s="40" t="str">
        <f t="shared" si="3"/>
        <v/>
      </c>
      <c r="P35" s="26" t="str">
        <f>IF(E35="","",IF($D$6="Porsche","No",IF(IFERROR(E35*'Fee Summary'!$E$9,"TBC")&lt;30000,"No","Yes/No?")))</f>
        <v/>
      </c>
      <c r="Q35" s="196" t="str">
        <f>IF(O35="","",IF(AND($D$5=2025,OR(C35="Used Cars",C35="Aftersales")),-10%,IF(IFERROR(E35*'Fee Summary'!$E$9,"TBC")&lt;30000,"N/A - Campaign Less than €30k",IF(P35="No","N/A - Campaign Excluded",IF($D$6="Porsche",IF(O35="TBC","TBC",IF(O35&lt;-0.5,-0.5,IF(O35&gt;0.6,0.5,IF(O35&lt;0,O35,IF(O35&lt;0.1,0,O35-0.1))))),IF(O35="TBC","TBC",IF(O35&lt;-0.2,-0.2,IF(O35&gt;0.2,0.1,IF(O35&lt;0,O35,IF(O35&lt;0.1,0,O35-0.1))))))))))</f>
        <v/>
      </c>
      <c r="R35" s="197" t="str">
        <f t="shared" si="4"/>
        <v/>
      </c>
      <c r="S35" s="197" t="str">
        <f t="shared" si="9"/>
        <v/>
      </c>
      <c r="T35" s="197" t="str">
        <f t="shared" si="5"/>
        <v/>
      </c>
      <c r="U35" s="198"/>
    </row>
    <row r="36" spans="2:21">
      <c r="B36" s="194"/>
      <c r="C36" s="26"/>
      <c r="D36" s="26"/>
      <c r="E36" s="28"/>
      <c r="F36" s="195" t="str">
        <f t="shared" si="0"/>
        <v/>
      </c>
      <c r="G36" s="187" t="str">
        <f t="shared" si="1"/>
        <v/>
      </c>
      <c r="H36" s="186" t="str">
        <f t="shared" si="2"/>
        <v/>
      </c>
      <c r="I36" s="187" t="str">
        <f t="shared" si="6"/>
        <v/>
      </c>
      <c r="J36" s="186" t="str">
        <f t="shared" si="7"/>
        <v/>
      </c>
      <c r="K36" s="188" t="str">
        <f t="shared" si="8"/>
        <v/>
      </c>
      <c r="L36" s="189"/>
      <c r="M36" s="190"/>
      <c r="N36" s="190"/>
      <c r="O36" s="40" t="str">
        <f t="shared" si="3"/>
        <v/>
      </c>
      <c r="P36" s="26" t="str">
        <f>IF(E36="","",IF($D$6="Porsche","No",IF(IFERROR(E36*'Fee Summary'!$E$9,"TBC")&lt;30000,"No","Yes/No?")))</f>
        <v/>
      </c>
      <c r="Q36" s="196" t="str">
        <f>IF(O36="","",IF(AND($D$5=2025,OR(C36="Used Cars",C36="Aftersales")),-10%,IF(IFERROR(E36*'Fee Summary'!$E$9,"TBC")&lt;30000,"N/A - Campaign Less than €30k",IF(P36="No","N/A - Campaign Excluded",IF($D$6="Porsche",IF(O36="TBC","TBC",IF(O36&lt;-0.5,-0.5,IF(O36&gt;0.6,0.5,IF(O36&lt;0,O36,IF(O36&lt;0.1,0,O36-0.1))))),IF(O36="TBC","TBC",IF(O36&lt;-0.2,-0.2,IF(O36&gt;0.2,0.1,IF(O36&lt;0,O36,IF(O36&lt;0.1,0,O36-0.1))))))))))</f>
        <v/>
      </c>
      <c r="R36" s="197" t="str">
        <f t="shared" si="4"/>
        <v/>
      </c>
      <c r="S36" s="197" t="str">
        <f t="shared" si="9"/>
        <v/>
      </c>
      <c r="T36" s="197" t="str">
        <f t="shared" si="5"/>
        <v/>
      </c>
      <c r="U36" s="198"/>
    </row>
    <row r="37" spans="2:21">
      <c r="B37" s="194"/>
      <c r="C37" s="26"/>
      <c r="D37" s="26"/>
      <c r="E37" s="28"/>
      <c r="F37" s="195" t="str">
        <f t="shared" si="0"/>
        <v/>
      </c>
      <c r="G37" s="187" t="str">
        <f t="shared" si="1"/>
        <v/>
      </c>
      <c r="H37" s="186" t="str">
        <f t="shared" si="2"/>
        <v/>
      </c>
      <c r="I37" s="187" t="str">
        <f t="shared" si="6"/>
        <v/>
      </c>
      <c r="J37" s="186" t="str">
        <f t="shared" si="7"/>
        <v/>
      </c>
      <c r="K37" s="188" t="str">
        <f t="shared" si="8"/>
        <v/>
      </c>
      <c r="L37" s="189"/>
      <c r="M37" s="190"/>
      <c r="N37" s="190"/>
      <c r="O37" s="40" t="str">
        <f t="shared" si="3"/>
        <v/>
      </c>
      <c r="P37" s="26" t="str">
        <f>IF(E37="","",IF($D$6="Porsche","No",IF(IFERROR(E37*'Fee Summary'!$E$9,"TBC")&lt;30000,"No","Yes/No?")))</f>
        <v/>
      </c>
      <c r="Q37" s="196" t="str">
        <f>IF(O37="","",IF(AND($D$5=2025,OR(C37="Used Cars",C37="Aftersales")),-10%,IF(IFERROR(E37*'Fee Summary'!$E$9,"TBC")&lt;30000,"N/A - Campaign Less than €30k",IF(P37="No","N/A - Campaign Excluded",IF($D$6="Porsche",IF(O37="TBC","TBC",IF(O37&lt;-0.5,-0.5,IF(O37&gt;0.6,0.5,IF(O37&lt;0,O37,IF(O37&lt;0.1,0,O37-0.1))))),IF(O37="TBC","TBC",IF(O37&lt;-0.2,-0.2,IF(O37&gt;0.2,0.1,IF(O37&lt;0,O37,IF(O37&lt;0.1,0,O37-0.1))))))))))</f>
        <v/>
      </c>
      <c r="R37" s="197" t="str">
        <f t="shared" si="4"/>
        <v/>
      </c>
      <c r="S37" s="197" t="str">
        <f t="shared" si="9"/>
        <v/>
      </c>
      <c r="T37" s="197" t="str">
        <f t="shared" si="5"/>
        <v/>
      </c>
      <c r="U37" s="198"/>
    </row>
    <row r="38" spans="2:21">
      <c r="B38" s="194"/>
      <c r="C38" s="26"/>
      <c r="D38" s="26"/>
      <c r="E38" s="28"/>
      <c r="F38" s="195" t="str">
        <f t="shared" si="0"/>
        <v/>
      </c>
      <c r="G38" s="187" t="str">
        <f t="shared" si="1"/>
        <v/>
      </c>
      <c r="H38" s="186" t="str">
        <f t="shared" si="2"/>
        <v/>
      </c>
      <c r="I38" s="187" t="str">
        <f t="shared" si="6"/>
        <v/>
      </c>
      <c r="J38" s="186" t="str">
        <f t="shared" si="7"/>
        <v/>
      </c>
      <c r="K38" s="188" t="str">
        <f t="shared" si="8"/>
        <v/>
      </c>
      <c r="L38" s="189"/>
      <c r="M38" s="190"/>
      <c r="N38" s="190"/>
      <c r="O38" s="40" t="str">
        <f t="shared" si="3"/>
        <v/>
      </c>
      <c r="P38" s="26" t="str">
        <f>IF(E38="","",IF($D$6="Porsche","No",IF(IFERROR(E38*'Fee Summary'!$E$9,"TBC")&lt;30000,"No","Yes/No?")))</f>
        <v/>
      </c>
      <c r="Q38" s="196" t="str">
        <f>IF(O38="","",IF(AND($D$5=2025,OR(C38="Used Cars",C38="Aftersales")),-10%,IF(IFERROR(E38*'Fee Summary'!$E$9,"TBC")&lt;30000,"N/A - Campaign Less than €30k",IF(P38="No","N/A - Campaign Excluded",IF($D$6="Porsche",IF(O38="TBC","TBC",IF(O38&lt;-0.5,-0.5,IF(O38&gt;0.6,0.5,IF(O38&lt;0,O38,IF(O38&lt;0.1,0,O38-0.1))))),IF(O38="TBC","TBC",IF(O38&lt;-0.2,-0.2,IF(O38&gt;0.2,0.1,IF(O38&lt;0,O38,IF(O38&lt;0.1,0,O38-0.1))))))))))</f>
        <v/>
      </c>
      <c r="R38" s="197" t="str">
        <f t="shared" si="4"/>
        <v/>
      </c>
      <c r="S38" s="197" t="str">
        <f t="shared" si="9"/>
        <v/>
      </c>
      <c r="T38" s="197" t="str">
        <f t="shared" si="5"/>
        <v/>
      </c>
      <c r="U38" s="198"/>
    </row>
    <row r="39" spans="2:21">
      <c r="B39" s="194"/>
      <c r="C39" s="26"/>
      <c r="D39" s="26"/>
      <c r="E39" s="28"/>
      <c r="F39" s="195" t="str">
        <f t="shared" si="0"/>
        <v/>
      </c>
      <c r="G39" s="187" t="str">
        <f t="shared" si="1"/>
        <v/>
      </c>
      <c r="H39" s="186" t="str">
        <f t="shared" si="2"/>
        <v/>
      </c>
      <c r="I39" s="187" t="str">
        <f t="shared" si="6"/>
        <v/>
      </c>
      <c r="J39" s="186" t="str">
        <f t="shared" si="7"/>
        <v/>
      </c>
      <c r="K39" s="188" t="str">
        <f t="shared" si="8"/>
        <v/>
      </c>
      <c r="L39" s="189"/>
      <c r="M39" s="190"/>
      <c r="N39" s="190"/>
      <c r="O39" s="40" t="str">
        <f t="shared" si="3"/>
        <v/>
      </c>
      <c r="P39" s="26" t="str">
        <f>IF(E39="","",IF($D$6="Porsche","No",IF(IFERROR(E39*'Fee Summary'!$E$9,"TBC")&lt;30000,"No","Yes/No?")))</f>
        <v/>
      </c>
      <c r="Q39" s="196" t="str">
        <f>IF(O39="","",IF(AND($D$5=2025,OR(C39="Used Cars",C39="Aftersales")),-10%,IF(IFERROR(E39*'Fee Summary'!$E$9,"TBC")&lt;30000,"N/A - Campaign Less than €30k",IF(P39="No","N/A - Campaign Excluded",IF($D$6="Porsche",IF(O39="TBC","TBC",IF(O39&lt;-0.5,-0.5,IF(O39&gt;0.6,0.5,IF(O39&lt;0,O39,IF(O39&lt;0.1,0,O39-0.1))))),IF(O39="TBC","TBC",IF(O39&lt;-0.2,-0.2,IF(O39&gt;0.2,0.1,IF(O39&lt;0,O39,IF(O39&lt;0.1,0,O39-0.1))))))))))</f>
        <v/>
      </c>
      <c r="R39" s="197" t="str">
        <f t="shared" si="4"/>
        <v/>
      </c>
      <c r="S39" s="197" t="str">
        <f t="shared" si="9"/>
        <v/>
      </c>
      <c r="T39" s="197" t="str">
        <f t="shared" si="5"/>
        <v/>
      </c>
      <c r="U39" s="198"/>
    </row>
    <row r="40" spans="2:21">
      <c r="B40" s="194"/>
      <c r="C40" s="26"/>
      <c r="D40" s="26"/>
      <c r="E40" s="28"/>
      <c r="F40" s="195" t="str">
        <f t="shared" si="0"/>
        <v/>
      </c>
      <c r="G40" s="187" t="str">
        <f t="shared" si="1"/>
        <v/>
      </c>
      <c r="H40" s="186" t="str">
        <f t="shared" si="2"/>
        <v/>
      </c>
      <c r="I40" s="187" t="str">
        <f t="shared" si="6"/>
        <v/>
      </c>
      <c r="J40" s="186" t="str">
        <f t="shared" si="7"/>
        <v/>
      </c>
      <c r="K40" s="188" t="str">
        <f t="shared" si="8"/>
        <v/>
      </c>
      <c r="L40" s="189"/>
      <c r="M40" s="190"/>
      <c r="N40" s="190"/>
      <c r="O40" s="40" t="str">
        <f t="shared" si="3"/>
        <v/>
      </c>
      <c r="P40" s="26" t="str">
        <f>IF(E40="","",IF($D$6="Porsche","No",IF(IFERROR(E40*'Fee Summary'!$E$9,"TBC")&lt;30000,"No","Yes/No?")))</f>
        <v/>
      </c>
      <c r="Q40" s="196" t="str">
        <f>IF(O40="","",IF(AND($D$5=2025,OR(C40="Used Cars",C40="Aftersales")),-10%,IF(IFERROR(E40*'Fee Summary'!$E$9,"TBC")&lt;30000,"N/A - Campaign Less than €30k",IF(P40="No","N/A - Campaign Excluded",IF($D$6="Porsche",IF(O40="TBC","TBC",IF(O40&lt;-0.5,-0.5,IF(O40&gt;0.6,0.5,IF(O40&lt;0,O40,IF(O40&lt;0.1,0,O40-0.1))))),IF(O40="TBC","TBC",IF(O40&lt;-0.2,-0.2,IF(O40&gt;0.2,0.1,IF(O40&lt;0,O40,IF(O40&lt;0.1,0,O40-0.1))))))))))</f>
        <v/>
      </c>
      <c r="R40" s="197" t="str">
        <f t="shared" si="4"/>
        <v/>
      </c>
      <c r="S40" s="197" t="str">
        <f t="shared" si="9"/>
        <v/>
      </c>
      <c r="T40" s="197" t="str">
        <f t="shared" si="5"/>
        <v/>
      </c>
      <c r="U40" s="198"/>
    </row>
    <row r="41" spans="2:21">
      <c r="B41" s="194"/>
      <c r="C41" s="26"/>
      <c r="D41" s="26"/>
      <c r="E41" s="28"/>
      <c r="F41" s="195" t="str">
        <f t="shared" si="0"/>
        <v/>
      </c>
      <c r="G41" s="187" t="str">
        <f t="shared" si="1"/>
        <v/>
      </c>
      <c r="H41" s="186" t="str">
        <f t="shared" si="2"/>
        <v/>
      </c>
      <c r="I41" s="187" t="str">
        <f t="shared" si="6"/>
        <v/>
      </c>
      <c r="J41" s="186" t="str">
        <f t="shared" si="7"/>
        <v/>
      </c>
      <c r="K41" s="188" t="str">
        <f t="shared" si="8"/>
        <v/>
      </c>
      <c r="L41" s="189"/>
      <c r="M41" s="190"/>
      <c r="N41" s="190"/>
      <c r="O41" s="40" t="str">
        <f t="shared" si="3"/>
        <v/>
      </c>
      <c r="P41" s="26" t="str">
        <f>IF(E41="","",IF($D$6="Porsche","No",IF(IFERROR(E41*'Fee Summary'!$E$9,"TBC")&lt;30000,"No","Yes/No?")))</f>
        <v/>
      </c>
      <c r="Q41" s="196" t="str">
        <f>IF(O41="","",IF(AND($D$5=2025,OR(C41="Used Cars",C41="Aftersales")),-10%,IF(IFERROR(E41*'Fee Summary'!$E$9,"TBC")&lt;30000,"N/A - Campaign Less than €30k",IF(P41="No","N/A - Campaign Excluded",IF($D$6="Porsche",IF(O41="TBC","TBC",IF(O41&lt;-0.5,-0.5,IF(O41&gt;0.6,0.5,IF(O41&lt;0,O41,IF(O41&lt;0.1,0,O41-0.1))))),IF(O41="TBC","TBC",IF(O41&lt;-0.2,-0.2,IF(O41&gt;0.2,0.1,IF(O41&lt;0,O41,IF(O41&lt;0.1,0,O41-0.1))))))))))</f>
        <v/>
      </c>
      <c r="R41" s="197" t="str">
        <f t="shared" si="4"/>
        <v/>
      </c>
      <c r="S41" s="197" t="str">
        <f t="shared" si="9"/>
        <v/>
      </c>
      <c r="T41" s="197" t="str">
        <f t="shared" si="5"/>
        <v/>
      </c>
      <c r="U41" s="198"/>
    </row>
    <row r="42" spans="2:21">
      <c r="B42" s="194"/>
      <c r="C42" s="26"/>
      <c r="D42" s="26"/>
      <c r="E42" s="28"/>
      <c r="F42" s="195" t="str">
        <f t="shared" si="0"/>
        <v/>
      </c>
      <c r="G42" s="187" t="str">
        <f t="shared" si="1"/>
        <v/>
      </c>
      <c r="H42" s="186" t="str">
        <f t="shared" si="2"/>
        <v/>
      </c>
      <c r="I42" s="187" t="str">
        <f t="shared" si="6"/>
        <v/>
      </c>
      <c r="J42" s="186" t="str">
        <f t="shared" si="7"/>
        <v/>
      </c>
      <c r="K42" s="188" t="str">
        <f t="shared" si="8"/>
        <v/>
      </c>
      <c r="L42" s="189"/>
      <c r="M42" s="190"/>
      <c r="N42" s="190"/>
      <c r="O42" s="40" t="str">
        <f t="shared" si="3"/>
        <v/>
      </c>
      <c r="P42" s="26" t="str">
        <f>IF(E42="","",IF($D$6="Porsche","No",IF(IFERROR(E42*'Fee Summary'!$E$9,"TBC")&lt;30000,"No","Yes/No?")))</f>
        <v/>
      </c>
      <c r="Q42" s="196" t="str">
        <f>IF(O42="","",IF(AND($D$5=2025,OR(C42="Used Cars",C42="Aftersales")),-10%,IF(IFERROR(E42*'Fee Summary'!$E$9,"TBC")&lt;30000,"N/A - Campaign Less than €30k",IF(P42="No","N/A - Campaign Excluded",IF($D$6="Porsche",IF(O42="TBC","TBC",IF(O42&lt;-0.5,-0.5,IF(O42&gt;0.6,0.5,IF(O42&lt;0,O42,IF(O42&lt;0.1,0,O42-0.1))))),IF(O42="TBC","TBC",IF(O42&lt;-0.2,-0.2,IF(O42&gt;0.2,0.1,IF(O42&lt;0,O42,IF(O42&lt;0.1,0,O42-0.1))))))))))</f>
        <v/>
      </c>
      <c r="R42" s="197" t="str">
        <f t="shared" si="4"/>
        <v/>
      </c>
      <c r="S42" s="197" t="str">
        <f t="shared" si="9"/>
        <v/>
      </c>
      <c r="T42" s="197" t="str">
        <f t="shared" si="5"/>
        <v/>
      </c>
      <c r="U42" s="198"/>
    </row>
    <row r="43" spans="2:21">
      <c r="B43" s="194"/>
      <c r="C43" s="26"/>
      <c r="D43" s="26"/>
      <c r="E43" s="28"/>
      <c r="F43" s="195" t="str">
        <f t="shared" si="0"/>
        <v/>
      </c>
      <c r="G43" s="187" t="str">
        <f t="shared" si="1"/>
        <v/>
      </c>
      <c r="H43" s="186" t="str">
        <f t="shared" si="2"/>
        <v/>
      </c>
      <c r="I43" s="187" t="str">
        <f t="shared" si="6"/>
        <v/>
      </c>
      <c r="J43" s="186" t="str">
        <f t="shared" si="7"/>
        <v/>
      </c>
      <c r="K43" s="188" t="str">
        <f t="shared" si="8"/>
        <v/>
      </c>
      <c r="L43" s="189"/>
      <c r="M43" s="190"/>
      <c r="N43" s="190"/>
      <c r="O43" s="40" t="str">
        <f t="shared" si="3"/>
        <v/>
      </c>
      <c r="P43" s="26" t="str">
        <f>IF(E43="","",IF($D$6="Porsche","No",IF(IFERROR(E43*'Fee Summary'!$E$9,"TBC")&lt;30000,"No","Yes/No?")))</f>
        <v/>
      </c>
      <c r="Q43" s="196" t="str">
        <f>IF(O43="","",IF(AND($D$5=2025,OR(C43="Used Cars",C43="Aftersales")),-10%,IF(IFERROR(E43*'Fee Summary'!$E$9,"TBC")&lt;30000,"N/A - Campaign Less than €30k",IF(P43="No","N/A - Campaign Excluded",IF($D$6="Porsche",IF(O43="TBC","TBC",IF(O43&lt;-0.5,-0.5,IF(O43&gt;0.6,0.5,IF(O43&lt;0,O43,IF(O43&lt;0.1,0,O43-0.1))))),IF(O43="TBC","TBC",IF(O43&lt;-0.2,-0.2,IF(O43&gt;0.2,0.1,IF(O43&lt;0,O43,IF(O43&lt;0.1,0,O43-0.1))))))))))</f>
        <v/>
      </c>
      <c r="R43" s="197" t="str">
        <f t="shared" si="4"/>
        <v/>
      </c>
      <c r="S43" s="197" t="str">
        <f t="shared" si="9"/>
        <v/>
      </c>
      <c r="T43" s="197" t="str">
        <f t="shared" si="5"/>
        <v/>
      </c>
      <c r="U43" s="198"/>
    </row>
    <row r="44" spans="2:21">
      <c r="B44" s="194"/>
      <c r="C44" s="26"/>
      <c r="D44" s="26"/>
      <c r="E44" s="28"/>
      <c r="F44" s="195" t="str">
        <f t="shared" si="0"/>
        <v/>
      </c>
      <c r="G44" s="187" t="str">
        <f t="shared" si="1"/>
        <v/>
      </c>
      <c r="H44" s="186" t="str">
        <f t="shared" si="2"/>
        <v/>
      </c>
      <c r="I44" s="187" t="str">
        <f t="shared" si="6"/>
        <v/>
      </c>
      <c r="J44" s="186" t="str">
        <f t="shared" si="7"/>
        <v/>
      </c>
      <c r="K44" s="188" t="str">
        <f t="shared" si="8"/>
        <v/>
      </c>
      <c r="L44" s="189"/>
      <c r="M44" s="190"/>
      <c r="N44" s="190"/>
      <c r="O44" s="40" t="str">
        <f t="shared" si="3"/>
        <v/>
      </c>
      <c r="P44" s="26" t="str">
        <f>IF(E44="","",IF($D$6="Porsche","No",IF(IFERROR(E44*'Fee Summary'!$E$9,"TBC")&lt;30000,"No","Yes/No?")))</f>
        <v/>
      </c>
      <c r="Q44" s="196" t="str">
        <f>IF(O44="","",IF(AND($D$5=2025,OR(C44="Used Cars",C44="Aftersales")),-10%,IF(IFERROR(E44*'Fee Summary'!$E$9,"TBC")&lt;30000,"N/A - Campaign Less than €30k",IF(P44="No","N/A - Campaign Excluded",IF($D$6="Porsche",IF(O44="TBC","TBC",IF(O44&lt;-0.5,-0.5,IF(O44&gt;0.6,0.5,IF(O44&lt;0,O44,IF(O44&lt;0.1,0,O44-0.1))))),IF(O44="TBC","TBC",IF(O44&lt;-0.2,-0.2,IF(O44&gt;0.2,0.1,IF(O44&lt;0,O44,IF(O44&lt;0.1,0,O44-0.1))))))))))</f>
        <v/>
      </c>
      <c r="R44" s="197" t="str">
        <f t="shared" si="4"/>
        <v/>
      </c>
      <c r="S44" s="197" t="str">
        <f t="shared" si="9"/>
        <v/>
      </c>
      <c r="T44" s="197" t="str">
        <f t="shared" si="5"/>
        <v/>
      </c>
      <c r="U44" s="198"/>
    </row>
    <row r="45" spans="2:21">
      <c r="B45" s="194"/>
      <c r="C45" s="26"/>
      <c r="D45" s="26"/>
      <c r="E45" s="28"/>
      <c r="F45" s="195" t="str">
        <f t="shared" si="0"/>
        <v/>
      </c>
      <c r="G45" s="187" t="str">
        <f t="shared" si="1"/>
        <v/>
      </c>
      <c r="H45" s="186" t="str">
        <f t="shared" si="2"/>
        <v/>
      </c>
      <c r="I45" s="187" t="str">
        <f t="shared" si="6"/>
        <v/>
      </c>
      <c r="J45" s="186" t="str">
        <f t="shared" si="7"/>
        <v/>
      </c>
      <c r="K45" s="188" t="str">
        <f t="shared" si="8"/>
        <v/>
      </c>
      <c r="L45" s="189"/>
      <c r="M45" s="190"/>
      <c r="N45" s="190"/>
      <c r="O45" s="40" t="str">
        <f t="shared" si="3"/>
        <v/>
      </c>
      <c r="P45" s="26" t="str">
        <f>IF(E45="","",IF($D$6="Porsche","No",IF(IFERROR(E45*'Fee Summary'!$E$9,"TBC")&lt;30000,"No","Yes/No?")))</f>
        <v/>
      </c>
      <c r="Q45" s="196" t="str">
        <f>IF(O45="","",IF(AND($D$5=2025,OR(C45="Used Cars",C45="Aftersales")),-10%,IF(IFERROR(E45*'Fee Summary'!$E$9,"TBC")&lt;30000,"N/A - Campaign Less than €30k",IF(P45="No","N/A - Campaign Excluded",IF($D$6="Porsche",IF(O45="TBC","TBC",IF(O45&lt;-0.5,-0.5,IF(O45&gt;0.6,0.5,IF(O45&lt;0,O45,IF(O45&lt;0.1,0,O45-0.1))))),IF(O45="TBC","TBC",IF(O45&lt;-0.2,-0.2,IF(O45&gt;0.2,0.1,IF(O45&lt;0,O45,IF(O45&lt;0.1,0,O45-0.1))))))))))</f>
        <v/>
      </c>
      <c r="R45" s="197" t="str">
        <f t="shared" si="4"/>
        <v/>
      </c>
      <c r="S45" s="197" t="str">
        <f t="shared" si="9"/>
        <v/>
      </c>
      <c r="T45" s="197" t="str">
        <f t="shared" si="5"/>
        <v/>
      </c>
      <c r="U45" s="198"/>
    </row>
    <row r="46" spans="2:21">
      <c r="B46" s="194"/>
      <c r="C46" s="26"/>
      <c r="D46" s="26"/>
      <c r="E46" s="28"/>
      <c r="F46" s="195" t="str">
        <f t="shared" si="0"/>
        <v/>
      </c>
      <c r="G46" s="187" t="str">
        <f t="shared" si="1"/>
        <v/>
      </c>
      <c r="H46" s="186" t="str">
        <f t="shared" si="2"/>
        <v/>
      </c>
      <c r="I46" s="187" t="str">
        <f t="shared" si="6"/>
        <v/>
      </c>
      <c r="J46" s="186" t="str">
        <f t="shared" si="7"/>
        <v/>
      </c>
      <c r="K46" s="188" t="str">
        <f t="shared" si="8"/>
        <v/>
      </c>
      <c r="L46" s="189"/>
      <c r="M46" s="190"/>
      <c r="N46" s="190"/>
      <c r="O46" s="40" t="str">
        <f t="shared" si="3"/>
        <v/>
      </c>
      <c r="P46" s="26" t="str">
        <f>IF(E46="","",IF($D$6="Porsche","No",IF(IFERROR(E46*'Fee Summary'!$E$9,"TBC")&lt;30000,"No","Yes/No?")))</f>
        <v/>
      </c>
      <c r="Q46" s="196" t="str">
        <f>IF(O46="","",IF(AND($D$5=2025,OR(C46="Used Cars",C46="Aftersales")),-10%,IF(IFERROR(E46*'Fee Summary'!$E$9,"TBC")&lt;30000,"N/A - Campaign Less than €30k",IF(P46="No","N/A - Campaign Excluded",IF($D$6="Porsche",IF(O46="TBC","TBC",IF(O46&lt;-0.5,-0.5,IF(O46&gt;0.6,0.5,IF(O46&lt;0,O46,IF(O46&lt;0.1,0,O46-0.1))))),IF(O46="TBC","TBC",IF(O46&lt;-0.2,-0.2,IF(O46&gt;0.2,0.1,IF(O46&lt;0,O46,IF(O46&lt;0.1,0,O46-0.1))))))))))</f>
        <v/>
      </c>
      <c r="R46" s="197" t="str">
        <f t="shared" si="4"/>
        <v/>
      </c>
      <c r="S46" s="197" t="str">
        <f t="shared" si="9"/>
        <v/>
      </c>
      <c r="T46" s="197" t="str">
        <f t="shared" si="5"/>
        <v/>
      </c>
      <c r="U46" s="198"/>
    </row>
    <row r="47" spans="2:21">
      <c r="B47" s="194"/>
      <c r="C47" s="26"/>
      <c r="D47" s="26"/>
      <c r="E47" s="28"/>
      <c r="F47" s="195" t="str">
        <f t="shared" si="0"/>
        <v/>
      </c>
      <c r="G47" s="187" t="str">
        <f t="shared" si="1"/>
        <v/>
      </c>
      <c r="H47" s="186" t="str">
        <f t="shared" si="2"/>
        <v/>
      </c>
      <c r="I47" s="187" t="str">
        <f t="shared" si="6"/>
        <v/>
      </c>
      <c r="J47" s="186" t="str">
        <f t="shared" si="7"/>
        <v/>
      </c>
      <c r="K47" s="188" t="str">
        <f t="shared" si="8"/>
        <v/>
      </c>
      <c r="L47" s="189"/>
      <c r="M47" s="190"/>
      <c r="N47" s="190"/>
      <c r="O47" s="40" t="str">
        <f t="shared" si="3"/>
        <v/>
      </c>
      <c r="P47" s="26" t="str">
        <f>IF(E47="","",IF($D$6="Porsche","No",IF(IFERROR(E47*'Fee Summary'!$E$9,"TBC")&lt;30000,"No","Yes/No?")))</f>
        <v/>
      </c>
      <c r="Q47" s="196" t="str">
        <f>IF(O47="","",IF(AND($D$5=2025,OR(C47="Used Cars",C47="Aftersales")),-10%,IF(IFERROR(E47*'Fee Summary'!$E$9,"TBC")&lt;30000,"N/A - Campaign Less than €30k",IF(P47="No","N/A - Campaign Excluded",IF($D$6="Porsche",IF(O47="TBC","TBC",IF(O47&lt;-0.5,-0.5,IF(O47&gt;0.6,0.5,IF(O47&lt;0,O47,IF(O47&lt;0.1,0,O47-0.1))))),IF(O47="TBC","TBC",IF(O47&lt;-0.2,-0.2,IF(O47&gt;0.2,0.1,IF(O47&lt;0,O47,IF(O47&lt;0.1,0,O47-0.1))))))))))</f>
        <v/>
      </c>
      <c r="R47" s="197" t="str">
        <f t="shared" si="4"/>
        <v/>
      </c>
      <c r="S47" s="197" t="str">
        <f t="shared" si="9"/>
        <v/>
      </c>
      <c r="T47" s="197" t="str">
        <f t="shared" si="5"/>
        <v/>
      </c>
      <c r="U47" s="198"/>
    </row>
    <row r="48" spans="2:21">
      <c r="B48" s="194"/>
      <c r="C48" s="26"/>
      <c r="D48" s="26"/>
      <c r="E48" s="28"/>
      <c r="F48" s="195" t="str">
        <f t="shared" si="0"/>
        <v/>
      </c>
      <c r="G48" s="187" t="str">
        <f t="shared" si="1"/>
        <v/>
      </c>
      <c r="H48" s="186" t="str">
        <f t="shared" si="2"/>
        <v/>
      </c>
      <c r="I48" s="187" t="str">
        <f t="shared" si="6"/>
        <v/>
      </c>
      <c r="J48" s="186" t="str">
        <f t="shared" si="7"/>
        <v/>
      </c>
      <c r="K48" s="188" t="str">
        <f t="shared" si="8"/>
        <v/>
      </c>
      <c r="L48" s="189"/>
      <c r="M48" s="190"/>
      <c r="N48" s="190"/>
      <c r="O48" s="40" t="str">
        <f t="shared" si="3"/>
        <v/>
      </c>
      <c r="P48" s="26" t="str">
        <f>IF(E48="","",IF($D$6="Porsche","No",IF(IFERROR(E48*'Fee Summary'!$E$9,"TBC")&lt;30000,"No","Yes/No?")))</f>
        <v/>
      </c>
      <c r="Q48" s="196" t="str">
        <f>IF(O48="","",IF(AND($D$5=2025,OR(C48="Used Cars",C48="Aftersales")),-10%,IF(IFERROR(E48*'Fee Summary'!$E$9,"TBC")&lt;30000,"N/A - Campaign Less than €30k",IF(P48="No","N/A - Campaign Excluded",IF($D$6="Porsche",IF(O48="TBC","TBC",IF(O48&lt;-0.5,-0.5,IF(O48&gt;0.6,0.5,IF(O48&lt;0,O48,IF(O48&lt;0.1,0,O48-0.1))))),IF(O48="TBC","TBC",IF(O48&lt;-0.2,-0.2,IF(O48&gt;0.2,0.1,IF(O48&lt;0,O48,IF(O48&lt;0.1,0,O48-0.1))))))))))</f>
        <v/>
      </c>
      <c r="R48" s="197" t="str">
        <f t="shared" si="4"/>
        <v/>
      </c>
      <c r="S48" s="197" t="str">
        <f t="shared" si="9"/>
        <v/>
      </c>
      <c r="T48" s="197" t="str">
        <f t="shared" si="5"/>
        <v/>
      </c>
      <c r="U48" s="198"/>
    </row>
    <row r="49" spans="2:21">
      <c r="B49" s="194"/>
      <c r="C49" s="26"/>
      <c r="D49" s="26"/>
      <c r="E49" s="28"/>
      <c r="F49" s="195" t="str">
        <f t="shared" si="0"/>
        <v/>
      </c>
      <c r="G49" s="187" t="str">
        <f t="shared" si="1"/>
        <v/>
      </c>
      <c r="H49" s="186" t="str">
        <f t="shared" si="2"/>
        <v/>
      </c>
      <c r="I49" s="187" t="str">
        <f t="shared" si="6"/>
        <v/>
      </c>
      <c r="J49" s="186" t="str">
        <f t="shared" si="7"/>
        <v/>
      </c>
      <c r="K49" s="188" t="str">
        <f t="shared" si="8"/>
        <v/>
      </c>
      <c r="L49" s="189"/>
      <c r="M49" s="190"/>
      <c r="N49" s="190"/>
      <c r="O49" s="40" t="str">
        <f t="shared" si="3"/>
        <v/>
      </c>
      <c r="P49" s="26" t="str">
        <f>IF(E49="","",IF($D$6="Porsche","No",IF(IFERROR(E49*'Fee Summary'!$E$9,"TBC")&lt;30000,"No","Yes/No?")))</f>
        <v/>
      </c>
      <c r="Q49" s="196" t="str">
        <f>IF(O49="","",IF(AND($D$5=2025,OR(C49="Used Cars",C49="Aftersales")),-10%,IF(IFERROR(E49*'Fee Summary'!$E$9,"TBC")&lt;30000,"N/A - Campaign Less than €30k",IF(P49="No","N/A - Campaign Excluded",IF($D$6="Porsche",IF(O49="TBC","TBC",IF(O49&lt;-0.5,-0.5,IF(O49&gt;0.6,0.5,IF(O49&lt;0,O49,IF(O49&lt;0.1,0,O49-0.1))))),IF(O49="TBC","TBC",IF(O49&lt;-0.2,-0.2,IF(O49&gt;0.2,0.1,IF(O49&lt;0,O49,IF(O49&lt;0.1,0,O49-0.1))))))))))</f>
        <v/>
      </c>
      <c r="R49" s="197" t="str">
        <f t="shared" si="4"/>
        <v/>
      </c>
      <c r="S49" s="197" t="str">
        <f t="shared" si="9"/>
        <v/>
      </c>
      <c r="T49" s="197" t="str">
        <f t="shared" si="5"/>
        <v/>
      </c>
      <c r="U49" s="198"/>
    </row>
    <row r="50" spans="2:21">
      <c r="B50" s="194"/>
      <c r="C50" s="26"/>
      <c r="D50" s="26"/>
      <c r="E50" s="28"/>
      <c r="F50" s="195" t="str">
        <f t="shared" si="0"/>
        <v/>
      </c>
      <c r="G50" s="187" t="str">
        <f t="shared" si="1"/>
        <v/>
      </c>
      <c r="H50" s="186" t="str">
        <f t="shared" si="2"/>
        <v/>
      </c>
      <c r="I50" s="187" t="str">
        <f t="shared" si="6"/>
        <v/>
      </c>
      <c r="J50" s="186" t="str">
        <f t="shared" si="7"/>
        <v/>
      </c>
      <c r="K50" s="188" t="str">
        <f t="shared" si="8"/>
        <v/>
      </c>
      <c r="L50" s="189"/>
      <c r="M50" s="190"/>
      <c r="N50" s="190"/>
      <c r="O50" s="40" t="str">
        <f t="shared" si="3"/>
        <v/>
      </c>
      <c r="P50" s="26" t="str">
        <f>IF(E50="","",IF($D$6="Porsche","No",IF(IFERROR(E50*'Fee Summary'!$E$9,"TBC")&lt;30000,"No","Yes/No?")))</f>
        <v/>
      </c>
      <c r="Q50" s="196" t="str">
        <f>IF(O50="","",IF(AND($D$5=2025,OR(C50="Used Cars",C50="Aftersales")),-10%,IF(IFERROR(E50*'Fee Summary'!$E$9,"TBC")&lt;30000,"N/A - Campaign Less than €30k",IF(P50="No","N/A - Campaign Excluded",IF($D$6="Porsche",IF(O50="TBC","TBC",IF(O50&lt;-0.5,-0.5,IF(O50&gt;0.6,0.5,IF(O50&lt;0,O50,IF(O50&lt;0.1,0,O50-0.1))))),IF(O50="TBC","TBC",IF(O50&lt;-0.2,-0.2,IF(O50&gt;0.2,0.1,IF(O50&lt;0,O50,IF(O50&lt;0.1,0,O50-0.1))))))))))</f>
        <v/>
      </c>
      <c r="R50" s="197" t="str">
        <f t="shared" si="4"/>
        <v/>
      </c>
      <c r="S50" s="197" t="str">
        <f t="shared" si="9"/>
        <v/>
      </c>
      <c r="T50" s="197" t="str">
        <f t="shared" si="5"/>
        <v/>
      </c>
      <c r="U50" s="198"/>
    </row>
    <row r="51" spans="2:21">
      <c r="B51" s="194"/>
      <c r="C51" s="26"/>
      <c r="D51" s="26"/>
      <c r="E51" s="28"/>
      <c r="F51" s="195" t="str">
        <f t="shared" si="0"/>
        <v/>
      </c>
      <c r="G51" s="187" t="str">
        <f t="shared" si="1"/>
        <v/>
      </c>
      <c r="H51" s="186" t="str">
        <f t="shared" si="2"/>
        <v/>
      </c>
      <c r="I51" s="187" t="str">
        <f t="shared" si="6"/>
        <v/>
      </c>
      <c r="J51" s="186" t="str">
        <f t="shared" si="7"/>
        <v/>
      </c>
      <c r="K51" s="188" t="str">
        <f t="shared" si="8"/>
        <v/>
      </c>
      <c r="L51" s="189"/>
      <c r="M51" s="190"/>
      <c r="N51" s="190"/>
      <c r="O51" s="40" t="str">
        <f t="shared" si="3"/>
        <v/>
      </c>
      <c r="P51" s="26" t="str">
        <f>IF(E51="","",IF($D$6="Porsche","No",IF(IFERROR(E51*'Fee Summary'!$E$9,"TBC")&lt;30000,"No","Yes/No?")))</f>
        <v/>
      </c>
      <c r="Q51" s="196" t="str">
        <f>IF(O51="","",IF(AND($D$5=2025,OR(C51="Used Cars",C51="Aftersales")),-10%,IF(IFERROR(E51*'Fee Summary'!$E$9,"TBC")&lt;30000,"N/A - Campaign Less than €30k",IF(P51="No","N/A - Campaign Excluded",IF($D$6="Porsche",IF(O51="TBC","TBC",IF(O51&lt;-0.5,-0.5,IF(O51&gt;0.6,0.5,IF(O51&lt;0,O51,IF(O51&lt;0.1,0,O51-0.1))))),IF(O51="TBC","TBC",IF(O51&lt;-0.2,-0.2,IF(O51&gt;0.2,0.1,IF(O51&lt;0,O51,IF(O51&lt;0.1,0,O51-0.1))))))))))</f>
        <v/>
      </c>
      <c r="R51" s="197" t="str">
        <f t="shared" si="4"/>
        <v/>
      </c>
      <c r="S51" s="197" t="str">
        <f t="shared" si="9"/>
        <v/>
      </c>
      <c r="T51" s="197" t="str">
        <f t="shared" si="5"/>
        <v/>
      </c>
      <c r="U51" s="198"/>
    </row>
    <row r="52" spans="2:21">
      <c r="B52" s="194"/>
      <c r="C52" s="26"/>
      <c r="D52" s="26"/>
      <c r="E52" s="28"/>
      <c r="F52" s="195" t="str">
        <f t="shared" si="0"/>
        <v/>
      </c>
      <c r="G52" s="187" t="str">
        <f t="shared" si="1"/>
        <v/>
      </c>
      <c r="H52" s="186" t="str">
        <f t="shared" si="2"/>
        <v/>
      </c>
      <c r="I52" s="187" t="str">
        <f t="shared" si="6"/>
        <v/>
      </c>
      <c r="J52" s="186" t="str">
        <f t="shared" si="7"/>
        <v/>
      </c>
      <c r="K52" s="188" t="str">
        <f t="shared" si="8"/>
        <v/>
      </c>
      <c r="L52" s="189"/>
      <c r="M52" s="190"/>
      <c r="N52" s="190"/>
      <c r="O52" s="40" t="str">
        <f t="shared" si="3"/>
        <v/>
      </c>
      <c r="P52" s="26" t="str">
        <f>IF(E52="","",IF($D$6="Porsche","No",IF(IFERROR(E52*'Fee Summary'!$E$9,"TBC")&lt;30000,"No","Yes/No?")))</f>
        <v/>
      </c>
      <c r="Q52" s="196" t="str">
        <f>IF(O52="","",IF(AND($D$5=2025,OR(C52="Used Cars",C52="Aftersales")),-10%,IF(IFERROR(E52*'Fee Summary'!$E$9,"TBC")&lt;30000,"N/A - Campaign Less than €30k",IF(P52="No","N/A - Campaign Excluded",IF($D$6="Porsche",IF(O52="TBC","TBC",IF(O52&lt;-0.5,-0.5,IF(O52&gt;0.6,0.5,IF(O52&lt;0,O52,IF(O52&lt;0.1,0,O52-0.1))))),IF(O52="TBC","TBC",IF(O52&lt;-0.2,-0.2,IF(O52&gt;0.2,0.1,IF(O52&lt;0,O52,IF(O52&lt;0.1,0,O52-0.1))))))))))</f>
        <v/>
      </c>
      <c r="R52" s="197" t="str">
        <f t="shared" si="4"/>
        <v/>
      </c>
      <c r="S52" s="197" t="str">
        <f t="shared" si="9"/>
        <v/>
      </c>
      <c r="T52" s="197" t="str">
        <f t="shared" si="5"/>
        <v/>
      </c>
      <c r="U52" s="198"/>
    </row>
    <row r="53" spans="2:21">
      <c r="B53" s="194"/>
      <c r="C53" s="26"/>
      <c r="D53" s="26"/>
      <c r="E53" s="28"/>
      <c r="F53" s="195" t="str">
        <f t="shared" si="0"/>
        <v/>
      </c>
      <c r="G53" s="187" t="str">
        <f t="shared" si="1"/>
        <v/>
      </c>
      <c r="H53" s="186" t="str">
        <f t="shared" si="2"/>
        <v/>
      </c>
      <c r="I53" s="187" t="str">
        <f t="shared" si="6"/>
        <v/>
      </c>
      <c r="J53" s="186" t="str">
        <f t="shared" si="7"/>
        <v/>
      </c>
      <c r="K53" s="188" t="str">
        <f t="shared" si="8"/>
        <v/>
      </c>
      <c r="L53" s="189"/>
      <c r="M53" s="190"/>
      <c r="N53" s="190"/>
      <c r="O53" s="40" t="str">
        <f t="shared" si="3"/>
        <v/>
      </c>
      <c r="P53" s="26" t="str">
        <f>IF(E53="","",IF($D$6="Porsche","No",IF(IFERROR(E53*'Fee Summary'!$E$9,"TBC")&lt;30000,"No","Yes/No?")))</f>
        <v/>
      </c>
      <c r="Q53" s="196" t="str">
        <f>IF(O53="","",IF(AND($D$5=2025,OR(C53="Used Cars",C53="Aftersales")),-10%,IF(IFERROR(E53*'Fee Summary'!$E$9,"TBC")&lt;30000,"N/A - Campaign Less than €30k",IF(P53="No","N/A - Campaign Excluded",IF($D$6="Porsche",IF(O53="TBC","TBC",IF(O53&lt;-0.5,-0.5,IF(O53&gt;0.6,0.5,IF(O53&lt;0,O53,IF(O53&lt;0.1,0,O53-0.1))))),IF(O53="TBC","TBC",IF(O53&lt;-0.2,-0.2,IF(O53&gt;0.2,0.1,IF(O53&lt;0,O53,IF(O53&lt;0.1,0,O53-0.1))))))))))</f>
        <v/>
      </c>
      <c r="R53" s="197" t="str">
        <f t="shared" si="4"/>
        <v/>
      </c>
      <c r="S53" s="197" t="str">
        <f t="shared" si="9"/>
        <v/>
      </c>
      <c r="T53" s="197" t="str">
        <f t="shared" si="5"/>
        <v/>
      </c>
      <c r="U53" s="198"/>
    </row>
    <row r="54" spans="2:21">
      <c r="B54" s="194"/>
      <c r="C54" s="26"/>
      <c r="D54" s="26"/>
      <c r="E54" s="28"/>
      <c r="F54" s="195" t="str">
        <f t="shared" si="0"/>
        <v/>
      </c>
      <c r="G54" s="187" t="str">
        <f t="shared" si="1"/>
        <v/>
      </c>
      <c r="H54" s="186" t="str">
        <f t="shared" si="2"/>
        <v/>
      </c>
      <c r="I54" s="187" t="str">
        <f t="shared" si="6"/>
        <v/>
      </c>
      <c r="J54" s="186" t="str">
        <f t="shared" si="7"/>
        <v/>
      </c>
      <c r="K54" s="188" t="str">
        <f t="shared" si="8"/>
        <v/>
      </c>
      <c r="L54" s="189"/>
      <c r="M54" s="190"/>
      <c r="N54" s="190"/>
      <c r="O54" s="40" t="str">
        <f t="shared" si="3"/>
        <v/>
      </c>
      <c r="P54" s="26" t="str">
        <f>IF(E54="","",IF($D$6="Porsche","No",IF(IFERROR(E54*'Fee Summary'!$E$9,"TBC")&lt;30000,"No","Yes/No?")))</f>
        <v/>
      </c>
      <c r="Q54" s="196" t="str">
        <f>IF(O54="","",IF(AND($D$5=2025,OR(C54="Used Cars",C54="Aftersales")),-10%,IF(IFERROR(E54*'Fee Summary'!$E$9,"TBC")&lt;30000,"N/A - Campaign Less than €30k",IF(P54="No","N/A - Campaign Excluded",IF($D$6="Porsche",IF(O54="TBC","TBC",IF(O54&lt;-0.5,-0.5,IF(O54&gt;0.6,0.5,IF(O54&lt;0,O54,IF(O54&lt;0.1,0,O54-0.1))))),IF(O54="TBC","TBC",IF(O54&lt;-0.2,-0.2,IF(O54&gt;0.2,0.1,IF(O54&lt;0,O54,IF(O54&lt;0.1,0,O54-0.1))))))))))</f>
        <v/>
      </c>
      <c r="R54" s="197" t="str">
        <f t="shared" si="4"/>
        <v/>
      </c>
      <c r="S54" s="197" t="str">
        <f t="shared" si="9"/>
        <v/>
      </c>
      <c r="T54" s="197" t="str">
        <f t="shared" si="5"/>
        <v/>
      </c>
      <c r="U54" s="198"/>
    </row>
    <row r="55" spans="2:21">
      <c r="B55" s="194"/>
      <c r="C55" s="26"/>
      <c r="D55" s="26"/>
      <c r="E55" s="28"/>
      <c r="F55" s="195" t="str">
        <f t="shared" si="0"/>
        <v/>
      </c>
      <c r="G55" s="187" t="str">
        <f t="shared" si="1"/>
        <v/>
      </c>
      <c r="H55" s="186" t="str">
        <f t="shared" si="2"/>
        <v/>
      </c>
      <c r="I55" s="187" t="str">
        <f t="shared" si="6"/>
        <v/>
      </c>
      <c r="J55" s="186" t="str">
        <f t="shared" si="7"/>
        <v/>
      </c>
      <c r="K55" s="188" t="str">
        <f t="shared" si="8"/>
        <v/>
      </c>
      <c r="L55" s="189"/>
      <c r="M55" s="190"/>
      <c r="N55" s="190"/>
      <c r="O55" s="40" t="str">
        <f t="shared" si="3"/>
        <v/>
      </c>
      <c r="P55" s="26" t="str">
        <f>IF(E55="","",IF($D$6="Porsche","No",IF(IFERROR(E55*'Fee Summary'!$E$9,"TBC")&lt;30000,"No","Yes/No?")))</f>
        <v/>
      </c>
      <c r="Q55" s="196" t="str">
        <f>IF(O55="","",IF(AND($D$5=2025,OR(C55="Used Cars",C55="Aftersales")),-10%,IF(IFERROR(E55*'Fee Summary'!$E$9,"TBC")&lt;30000,"N/A - Campaign Less than €30k",IF(P55="No","N/A - Campaign Excluded",IF($D$6="Porsche",IF(O55="TBC","TBC",IF(O55&lt;-0.5,-0.5,IF(O55&gt;0.6,0.5,IF(O55&lt;0,O55,IF(O55&lt;0.1,0,O55-0.1))))),IF(O55="TBC","TBC",IF(O55&lt;-0.2,-0.2,IF(O55&gt;0.2,0.1,IF(O55&lt;0,O55,IF(O55&lt;0.1,0,O55-0.1))))))))))</f>
        <v/>
      </c>
      <c r="R55" s="197" t="str">
        <f t="shared" si="4"/>
        <v/>
      </c>
      <c r="S55" s="197" t="str">
        <f t="shared" si="9"/>
        <v/>
      </c>
      <c r="T55" s="197" t="str">
        <f t="shared" si="5"/>
        <v/>
      </c>
      <c r="U55" s="198"/>
    </row>
    <row r="56" spans="2:21">
      <c r="B56" s="194"/>
      <c r="C56" s="26"/>
      <c r="D56" s="26"/>
      <c r="E56" s="28"/>
      <c r="F56" s="195" t="str">
        <f t="shared" si="0"/>
        <v/>
      </c>
      <c r="G56" s="187" t="str">
        <f t="shared" si="1"/>
        <v/>
      </c>
      <c r="H56" s="186" t="str">
        <f t="shared" si="2"/>
        <v/>
      </c>
      <c r="I56" s="187" t="str">
        <f t="shared" si="6"/>
        <v/>
      </c>
      <c r="J56" s="186" t="str">
        <f t="shared" si="7"/>
        <v/>
      </c>
      <c r="K56" s="188" t="str">
        <f t="shared" si="8"/>
        <v/>
      </c>
      <c r="L56" s="189"/>
      <c r="M56" s="190"/>
      <c r="N56" s="190"/>
      <c r="O56" s="40" t="str">
        <f t="shared" si="3"/>
        <v/>
      </c>
      <c r="P56" s="26" t="str">
        <f>IF(E56="","",IF($D$6="Porsche","No",IF(IFERROR(E56*'Fee Summary'!$E$9,"TBC")&lt;30000,"No","Yes/No?")))</f>
        <v/>
      </c>
      <c r="Q56" s="196" t="str">
        <f>IF(O56="","",IF(AND($D$5=2025,OR(C56="Used Cars",C56="Aftersales")),-10%,IF(IFERROR(E56*'Fee Summary'!$E$9,"TBC")&lt;30000,"N/A - Campaign Less than €30k",IF(P56="No","N/A - Campaign Excluded",IF($D$6="Porsche",IF(O56="TBC","TBC",IF(O56&lt;-0.5,-0.5,IF(O56&gt;0.6,0.5,IF(O56&lt;0,O56,IF(O56&lt;0.1,0,O56-0.1))))),IF(O56="TBC","TBC",IF(O56&lt;-0.2,-0.2,IF(O56&gt;0.2,0.1,IF(O56&lt;0,O56,IF(O56&lt;0.1,0,O56-0.1))))))))))</f>
        <v/>
      </c>
      <c r="R56" s="197" t="str">
        <f t="shared" si="4"/>
        <v/>
      </c>
      <c r="S56" s="197" t="str">
        <f t="shared" si="9"/>
        <v/>
      </c>
      <c r="T56" s="197" t="str">
        <f t="shared" si="5"/>
        <v/>
      </c>
      <c r="U56" s="198"/>
    </row>
    <row r="57" spans="2:21">
      <c r="B57" s="194"/>
      <c r="C57" s="26"/>
      <c r="D57" s="26"/>
      <c r="E57" s="28"/>
      <c r="F57" s="195" t="str">
        <f t="shared" si="0"/>
        <v/>
      </c>
      <c r="G57" s="187" t="str">
        <f t="shared" si="1"/>
        <v/>
      </c>
      <c r="H57" s="186" t="str">
        <f t="shared" si="2"/>
        <v/>
      </c>
      <c r="I57" s="187" t="str">
        <f t="shared" si="6"/>
        <v/>
      </c>
      <c r="J57" s="186" t="str">
        <f t="shared" si="7"/>
        <v/>
      </c>
      <c r="K57" s="188" t="str">
        <f t="shared" si="8"/>
        <v/>
      </c>
      <c r="L57" s="189"/>
      <c r="M57" s="190"/>
      <c r="N57" s="190"/>
      <c r="O57" s="40" t="str">
        <f t="shared" si="3"/>
        <v/>
      </c>
      <c r="P57" s="26" t="str">
        <f>IF(E57="","",IF($D$6="Porsche","No",IF(IFERROR(E57*'Fee Summary'!$E$9,"TBC")&lt;30000,"No","Yes/No?")))</f>
        <v/>
      </c>
      <c r="Q57" s="196" t="str">
        <f>IF(O57="","",IF(AND($D$5=2025,OR(C57="Used Cars",C57="Aftersales")),-10%,IF(IFERROR(E57*'Fee Summary'!$E$9,"TBC")&lt;30000,"N/A - Campaign Less than €30k",IF(P57="No","N/A - Campaign Excluded",IF($D$6="Porsche",IF(O57="TBC","TBC",IF(O57&lt;-0.5,-0.5,IF(O57&gt;0.6,0.5,IF(O57&lt;0,O57,IF(O57&lt;0.1,0,O57-0.1))))),IF(O57="TBC","TBC",IF(O57&lt;-0.2,-0.2,IF(O57&gt;0.2,0.1,IF(O57&lt;0,O57,IF(O57&lt;0.1,0,O57-0.1))))))))))</f>
        <v/>
      </c>
      <c r="R57" s="197" t="str">
        <f t="shared" si="4"/>
        <v/>
      </c>
      <c r="S57" s="197" t="str">
        <f t="shared" si="9"/>
        <v/>
      </c>
      <c r="T57" s="197" t="str">
        <f t="shared" si="5"/>
        <v/>
      </c>
      <c r="U57" s="198"/>
    </row>
    <row r="58" spans="2:21">
      <c r="B58" s="194"/>
      <c r="C58" s="26"/>
      <c r="D58" s="26"/>
      <c r="E58" s="28"/>
      <c r="F58" s="195" t="str">
        <f t="shared" si="0"/>
        <v/>
      </c>
      <c r="G58" s="187" t="str">
        <f t="shared" si="1"/>
        <v/>
      </c>
      <c r="H58" s="186" t="str">
        <f t="shared" si="2"/>
        <v/>
      </c>
      <c r="I58" s="187" t="str">
        <f t="shared" si="6"/>
        <v/>
      </c>
      <c r="J58" s="186" t="str">
        <f t="shared" si="7"/>
        <v/>
      </c>
      <c r="K58" s="188" t="str">
        <f t="shared" si="8"/>
        <v/>
      </c>
      <c r="L58" s="189"/>
      <c r="M58" s="190"/>
      <c r="N58" s="190"/>
      <c r="O58" s="40" t="str">
        <f t="shared" si="3"/>
        <v/>
      </c>
      <c r="P58" s="26" t="str">
        <f>IF(E58="","",IF($D$6="Porsche","No",IF(IFERROR(E58*'Fee Summary'!$E$9,"TBC")&lt;30000,"No","Yes/No?")))</f>
        <v/>
      </c>
      <c r="Q58" s="196" t="str">
        <f>IF(O58="","",IF(AND($D$5=2025,OR(C58="Used Cars",C58="Aftersales")),-10%,IF(IFERROR(E58*'Fee Summary'!$E$9,"TBC")&lt;30000,"N/A - Campaign Less than €30k",IF(P58="No","N/A - Campaign Excluded",IF($D$6="Porsche",IF(O58="TBC","TBC",IF(O58&lt;-0.5,-0.5,IF(O58&gt;0.6,0.5,IF(O58&lt;0,O58,IF(O58&lt;0.1,0,O58-0.1))))),IF(O58="TBC","TBC",IF(O58&lt;-0.2,-0.2,IF(O58&gt;0.2,0.1,IF(O58&lt;0,O58,IF(O58&lt;0.1,0,O58-0.1))))))))))</f>
        <v/>
      </c>
      <c r="R58" s="197" t="str">
        <f t="shared" si="4"/>
        <v/>
      </c>
      <c r="S58" s="197" t="str">
        <f t="shared" si="9"/>
        <v/>
      </c>
      <c r="T58" s="197" t="str">
        <f t="shared" si="5"/>
        <v/>
      </c>
      <c r="U58" s="198"/>
    </row>
    <row r="59" spans="2:21">
      <c r="B59" s="194"/>
      <c r="C59" s="26"/>
      <c r="D59" s="26"/>
      <c r="E59" s="28"/>
      <c r="F59" s="195" t="str">
        <f t="shared" si="0"/>
        <v/>
      </c>
      <c r="G59" s="187" t="str">
        <f t="shared" si="1"/>
        <v/>
      </c>
      <c r="H59" s="186" t="str">
        <f t="shared" si="2"/>
        <v/>
      </c>
      <c r="I59" s="187" t="str">
        <f t="shared" si="6"/>
        <v/>
      </c>
      <c r="J59" s="186" t="str">
        <f t="shared" si="7"/>
        <v/>
      </c>
      <c r="K59" s="188" t="str">
        <f t="shared" si="8"/>
        <v/>
      </c>
      <c r="L59" s="189"/>
      <c r="M59" s="190"/>
      <c r="N59" s="190"/>
      <c r="O59" s="40" t="str">
        <f t="shared" si="3"/>
        <v/>
      </c>
      <c r="P59" s="26" t="str">
        <f>IF(E59="","",IF($D$6="Porsche","No",IF(IFERROR(E59*'Fee Summary'!$E$9,"TBC")&lt;30000,"No","Yes/No?")))</f>
        <v/>
      </c>
      <c r="Q59" s="196" t="str">
        <f>IF(O59="","",IF(AND($D$5=2025,OR(C59="Used Cars",C59="Aftersales")),-10%,IF(IFERROR(E59*'Fee Summary'!$E$9,"TBC")&lt;30000,"N/A - Campaign Less than €30k",IF(P59="No","N/A - Campaign Excluded",IF($D$6="Porsche",IF(O59="TBC","TBC",IF(O59&lt;-0.5,-0.5,IF(O59&gt;0.6,0.5,IF(O59&lt;0,O59,IF(O59&lt;0.1,0,O59-0.1))))),IF(O59="TBC","TBC",IF(O59&lt;-0.2,-0.2,IF(O59&gt;0.2,0.1,IF(O59&lt;0,O59,IF(O59&lt;0.1,0,O59-0.1))))))))))</f>
        <v/>
      </c>
      <c r="R59" s="197" t="str">
        <f t="shared" si="4"/>
        <v/>
      </c>
      <c r="S59" s="197" t="str">
        <f t="shared" si="9"/>
        <v/>
      </c>
      <c r="T59" s="197" t="str">
        <f t="shared" si="5"/>
        <v/>
      </c>
      <c r="U59" s="198"/>
    </row>
    <row r="60" spans="2:21">
      <c r="B60" s="194"/>
      <c r="C60" s="26"/>
      <c r="D60" s="26"/>
      <c r="E60" s="28"/>
      <c r="F60" s="195" t="str">
        <f t="shared" si="0"/>
        <v/>
      </c>
      <c r="G60" s="187" t="str">
        <f t="shared" si="1"/>
        <v/>
      </c>
      <c r="H60" s="186" t="str">
        <f t="shared" si="2"/>
        <v/>
      </c>
      <c r="I60" s="187" t="str">
        <f t="shared" si="6"/>
        <v/>
      </c>
      <c r="J60" s="186" t="str">
        <f t="shared" si="7"/>
        <v/>
      </c>
      <c r="K60" s="188" t="str">
        <f t="shared" si="8"/>
        <v/>
      </c>
      <c r="L60" s="189"/>
      <c r="M60" s="190"/>
      <c r="N60" s="190"/>
      <c r="O60" s="40" t="str">
        <f t="shared" si="3"/>
        <v/>
      </c>
      <c r="P60" s="26" t="str">
        <f>IF(E60="","",IF($D$6="Porsche","No",IF(IFERROR(E60*'Fee Summary'!$E$9,"TBC")&lt;30000,"No","Yes/No?")))</f>
        <v/>
      </c>
      <c r="Q60" s="196" t="str">
        <f>IF(O60="","",IF(AND($D$5=2025,OR(C60="Used Cars",C60="Aftersales")),-10%,IF(IFERROR(E60*'Fee Summary'!$E$9,"TBC")&lt;30000,"N/A - Campaign Less than €30k",IF(P60="No","N/A - Campaign Excluded",IF($D$6="Porsche",IF(O60="TBC","TBC",IF(O60&lt;-0.5,-0.5,IF(O60&gt;0.6,0.5,IF(O60&lt;0,O60,IF(O60&lt;0.1,0,O60-0.1))))),IF(O60="TBC","TBC",IF(O60&lt;-0.2,-0.2,IF(O60&gt;0.2,0.1,IF(O60&lt;0,O60,IF(O60&lt;0.1,0,O60-0.1))))))))))</f>
        <v/>
      </c>
      <c r="R60" s="197" t="str">
        <f t="shared" si="4"/>
        <v/>
      </c>
      <c r="S60" s="197" t="str">
        <f t="shared" si="9"/>
        <v/>
      </c>
      <c r="T60" s="197" t="str">
        <f t="shared" si="5"/>
        <v/>
      </c>
      <c r="U60" s="198"/>
    </row>
    <row r="61" spans="2:21">
      <c r="B61" s="194"/>
      <c r="C61" s="26"/>
      <c r="D61" s="26"/>
      <c r="E61" s="28"/>
      <c r="F61" s="195" t="str">
        <f t="shared" si="0"/>
        <v/>
      </c>
      <c r="G61" s="187" t="str">
        <f t="shared" si="1"/>
        <v/>
      </c>
      <c r="H61" s="186" t="str">
        <f t="shared" si="2"/>
        <v/>
      </c>
      <c r="I61" s="187" t="str">
        <f t="shared" si="6"/>
        <v/>
      </c>
      <c r="J61" s="186" t="str">
        <f t="shared" si="7"/>
        <v/>
      </c>
      <c r="K61" s="188" t="str">
        <f t="shared" si="8"/>
        <v/>
      </c>
      <c r="L61" s="189"/>
      <c r="M61" s="190"/>
      <c r="N61" s="190"/>
      <c r="O61" s="40" t="str">
        <f t="shared" si="3"/>
        <v/>
      </c>
      <c r="P61" s="26" t="str">
        <f>IF(E61="","",IF($D$6="Porsche","No",IF(IFERROR(E61*'Fee Summary'!$E$9,"TBC")&lt;30000,"No","Yes/No?")))</f>
        <v/>
      </c>
      <c r="Q61" s="196" t="str">
        <f>IF(O61="","",IF(AND($D$5=2025,OR(C61="Used Cars",C61="Aftersales")),-10%,IF(IFERROR(E61*'Fee Summary'!$E$9,"TBC")&lt;30000,"N/A - Campaign Less than €30k",IF(P61="No","N/A - Campaign Excluded",IF($D$6="Porsche",IF(O61="TBC","TBC",IF(O61&lt;-0.5,-0.5,IF(O61&gt;0.6,0.5,IF(O61&lt;0,O61,IF(O61&lt;0.1,0,O61-0.1))))),IF(O61="TBC","TBC",IF(O61&lt;-0.2,-0.2,IF(O61&gt;0.2,0.1,IF(O61&lt;0,O61,IF(O61&lt;0.1,0,O61-0.1))))))))))</f>
        <v/>
      </c>
      <c r="R61" s="197" t="str">
        <f t="shared" si="4"/>
        <v/>
      </c>
      <c r="S61" s="197" t="str">
        <f t="shared" si="9"/>
        <v/>
      </c>
      <c r="T61" s="197" t="str">
        <f t="shared" si="5"/>
        <v/>
      </c>
      <c r="U61" s="198"/>
    </row>
    <row r="62" spans="2:21">
      <c r="B62" s="194"/>
      <c r="C62" s="26"/>
      <c r="D62" s="26"/>
      <c r="E62" s="28"/>
      <c r="F62" s="195" t="str">
        <f t="shared" si="0"/>
        <v/>
      </c>
      <c r="G62" s="187" t="str">
        <f t="shared" si="1"/>
        <v/>
      </c>
      <c r="H62" s="186" t="str">
        <f t="shared" si="2"/>
        <v/>
      </c>
      <c r="I62" s="187" t="str">
        <f t="shared" si="6"/>
        <v/>
      </c>
      <c r="J62" s="186" t="str">
        <f t="shared" si="7"/>
        <v/>
      </c>
      <c r="K62" s="188" t="str">
        <f t="shared" si="8"/>
        <v/>
      </c>
      <c r="L62" s="189"/>
      <c r="M62" s="190"/>
      <c r="N62" s="190"/>
      <c r="O62" s="40" t="str">
        <f t="shared" si="3"/>
        <v/>
      </c>
      <c r="P62" s="26" t="str">
        <f>IF(E62="","",IF($D$6="Porsche","No",IF(IFERROR(E62*'Fee Summary'!$E$9,"TBC")&lt;30000,"No","Yes/No?")))</f>
        <v/>
      </c>
      <c r="Q62" s="196" t="str">
        <f>IF(O62="","",IF(AND($D$5=2025,OR(C62="Used Cars",C62="Aftersales")),-10%,IF(IFERROR(E62*'Fee Summary'!$E$9,"TBC")&lt;30000,"N/A - Campaign Less than €30k",IF(P62="No","N/A - Campaign Excluded",IF($D$6="Porsche",IF(O62="TBC","TBC",IF(O62&lt;-0.5,-0.5,IF(O62&gt;0.6,0.5,IF(O62&lt;0,O62,IF(O62&lt;0.1,0,O62-0.1))))),IF(O62="TBC","TBC",IF(O62&lt;-0.2,-0.2,IF(O62&gt;0.2,0.1,IF(O62&lt;0,O62,IF(O62&lt;0.1,0,O62-0.1))))))))))</f>
        <v/>
      </c>
      <c r="R62" s="197" t="str">
        <f t="shared" si="4"/>
        <v/>
      </c>
      <c r="S62" s="197" t="str">
        <f t="shared" si="9"/>
        <v/>
      </c>
      <c r="T62" s="197" t="str">
        <f t="shared" si="5"/>
        <v/>
      </c>
      <c r="U62" s="198"/>
    </row>
    <row r="63" spans="2:21">
      <c r="B63" s="194"/>
      <c r="C63" s="26"/>
      <c r="D63" s="26"/>
      <c r="E63" s="28"/>
      <c r="F63" s="195" t="str">
        <f t="shared" si="0"/>
        <v/>
      </c>
      <c r="G63" s="187" t="str">
        <f t="shared" si="1"/>
        <v/>
      </c>
      <c r="H63" s="186" t="str">
        <f t="shared" si="2"/>
        <v/>
      </c>
      <c r="I63" s="187" t="str">
        <f t="shared" si="6"/>
        <v/>
      </c>
      <c r="J63" s="186" t="str">
        <f t="shared" si="7"/>
        <v/>
      </c>
      <c r="K63" s="188" t="str">
        <f t="shared" si="8"/>
        <v/>
      </c>
      <c r="L63" s="189"/>
      <c r="M63" s="190"/>
      <c r="N63" s="190"/>
      <c r="O63" s="40" t="str">
        <f t="shared" si="3"/>
        <v/>
      </c>
      <c r="P63" s="26" t="str">
        <f>IF(E63="","",IF($D$6="Porsche","No",IF(IFERROR(E63*'Fee Summary'!$E$9,"TBC")&lt;30000,"No","Yes/No?")))</f>
        <v/>
      </c>
      <c r="Q63" s="196" t="str">
        <f>IF(O63="","",IF(AND($D$5=2025,OR(C63="Used Cars",C63="Aftersales")),-10%,IF(IFERROR(E63*'Fee Summary'!$E$9,"TBC")&lt;30000,"N/A - Campaign Less than €30k",IF(P63="No","N/A - Campaign Excluded",IF($D$6="Porsche",IF(O63="TBC","TBC",IF(O63&lt;-0.5,-0.5,IF(O63&gt;0.6,0.5,IF(O63&lt;0,O63,IF(O63&lt;0.1,0,O63-0.1))))),IF(O63="TBC","TBC",IF(O63&lt;-0.2,-0.2,IF(O63&gt;0.2,0.1,IF(O63&lt;0,O63,IF(O63&lt;0.1,0,O63-0.1))))))))))</f>
        <v/>
      </c>
      <c r="R63" s="197" t="str">
        <f t="shared" si="4"/>
        <v/>
      </c>
      <c r="S63" s="197" t="str">
        <f t="shared" si="9"/>
        <v/>
      </c>
      <c r="T63" s="197" t="str">
        <f t="shared" si="5"/>
        <v/>
      </c>
      <c r="U63" s="198"/>
    </row>
    <row r="64" spans="2:21">
      <c r="B64" s="194"/>
      <c r="C64" s="26"/>
      <c r="D64" s="26"/>
      <c r="E64" s="28"/>
      <c r="F64" s="195" t="str">
        <f t="shared" si="0"/>
        <v/>
      </c>
      <c r="G64" s="187" t="str">
        <f t="shared" si="1"/>
        <v/>
      </c>
      <c r="H64" s="186" t="str">
        <f t="shared" si="2"/>
        <v/>
      </c>
      <c r="I64" s="187" t="str">
        <f t="shared" si="6"/>
        <v/>
      </c>
      <c r="J64" s="186" t="str">
        <f t="shared" si="7"/>
        <v/>
      </c>
      <c r="K64" s="188" t="str">
        <f t="shared" si="8"/>
        <v/>
      </c>
      <c r="L64" s="189"/>
      <c r="M64" s="190"/>
      <c r="N64" s="190"/>
      <c r="O64" s="40" t="str">
        <f t="shared" si="3"/>
        <v/>
      </c>
      <c r="P64" s="26" t="str">
        <f>IF(E64="","",IF($D$6="Porsche","No",IF(IFERROR(E64*'Fee Summary'!$E$9,"TBC")&lt;30000,"No","Yes/No?")))</f>
        <v/>
      </c>
      <c r="Q64" s="196" t="str">
        <f>IF(O64="","",IF(AND($D$5=2025,OR(C64="Used Cars",C64="Aftersales")),-10%,IF(IFERROR(E64*'Fee Summary'!$E$9,"TBC")&lt;30000,"N/A - Campaign Less than €30k",IF(P64="No","N/A - Campaign Excluded",IF($D$6="Porsche",IF(O64="TBC","TBC",IF(O64&lt;-0.5,-0.5,IF(O64&gt;0.6,0.5,IF(O64&lt;0,O64,IF(O64&lt;0.1,0,O64-0.1))))),IF(O64="TBC","TBC",IF(O64&lt;-0.2,-0.2,IF(O64&gt;0.2,0.1,IF(O64&lt;0,O64,IF(O64&lt;0.1,0,O64-0.1))))))))))</f>
        <v/>
      </c>
      <c r="R64" s="197" t="str">
        <f t="shared" si="4"/>
        <v/>
      </c>
      <c r="S64" s="197" t="str">
        <f t="shared" si="9"/>
        <v/>
      </c>
      <c r="T64" s="197" t="str">
        <f t="shared" si="5"/>
        <v/>
      </c>
      <c r="U64" s="198"/>
    </row>
    <row r="65" spans="2:21">
      <c r="B65" s="194"/>
      <c r="C65" s="26"/>
      <c r="D65" s="26"/>
      <c r="E65" s="28"/>
      <c r="F65" s="195" t="str">
        <f t="shared" si="0"/>
        <v/>
      </c>
      <c r="G65" s="187" t="str">
        <f t="shared" si="1"/>
        <v/>
      </c>
      <c r="H65" s="186" t="str">
        <f t="shared" si="2"/>
        <v/>
      </c>
      <c r="I65" s="187" t="str">
        <f t="shared" si="6"/>
        <v/>
      </c>
      <c r="J65" s="186" t="str">
        <f t="shared" si="7"/>
        <v/>
      </c>
      <c r="K65" s="188" t="str">
        <f t="shared" si="8"/>
        <v/>
      </c>
      <c r="L65" s="189"/>
      <c r="M65" s="190"/>
      <c r="N65" s="190"/>
      <c r="O65" s="40" t="str">
        <f t="shared" si="3"/>
        <v/>
      </c>
      <c r="P65" s="26" t="str">
        <f>IF(E65="","",IF($D$6="Porsche","No",IF(IFERROR(E65*'Fee Summary'!$E$9,"TBC")&lt;30000,"No","Yes/No?")))</f>
        <v/>
      </c>
      <c r="Q65" s="196" t="str">
        <f>IF(O65="","",IF(AND($D$5=2025,OR(C65="Used Cars",C65="Aftersales")),-10%,IF(IFERROR(E65*'Fee Summary'!$E$9,"TBC")&lt;30000,"N/A - Campaign Less than €30k",IF(P65="No","N/A - Campaign Excluded",IF($D$6="Porsche",IF(O65="TBC","TBC",IF(O65&lt;-0.5,-0.5,IF(O65&gt;0.6,0.5,IF(O65&lt;0,O65,IF(O65&lt;0.1,0,O65-0.1))))),IF(O65="TBC","TBC",IF(O65&lt;-0.2,-0.2,IF(O65&gt;0.2,0.1,IF(O65&lt;0,O65,IF(O65&lt;0.1,0,O65-0.1))))))))))</f>
        <v/>
      </c>
      <c r="R65" s="197" t="str">
        <f t="shared" si="4"/>
        <v/>
      </c>
      <c r="S65" s="197" t="str">
        <f t="shared" si="9"/>
        <v/>
      </c>
      <c r="T65" s="197" t="str">
        <f t="shared" si="5"/>
        <v/>
      </c>
      <c r="U65" s="198"/>
    </row>
    <row r="66" spans="2:21">
      <c r="B66" s="194"/>
      <c r="C66" s="26"/>
      <c r="D66" s="26"/>
      <c r="E66" s="28"/>
      <c r="F66" s="195" t="str">
        <f t="shared" si="0"/>
        <v/>
      </c>
      <c r="G66" s="187" t="str">
        <f t="shared" si="1"/>
        <v/>
      </c>
      <c r="H66" s="186" t="str">
        <f t="shared" si="2"/>
        <v/>
      </c>
      <c r="I66" s="187" t="str">
        <f t="shared" si="6"/>
        <v/>
      </c>
      <c r="J66" s="186" t="str">
        <f t="shared" si="7"/>
        <v/>
      </c>
      <c r="K66" s="188" t="str">
        <f t="shared" si="8"/>
        <v/>
      </c>
      <c r="L66" s="189"/>
      <c r="M66" s="190"/>
      <c r="N66" s="190"/>
      <c r="O66" s="40" t="str">
        <f t="shared" si="3"/>
        <v/>
      </c>
      <c r="P66" s="26" t="str">
        <f>IF(E66="","",IF($D$6="Porsche","No",IF(IFERROR(E66*'Fee Summary'!$E$9,"TBC")&lt;30000,"No","Yes/No?")))</f>
        <v/>
      </c>
      <c r="Q66" s="196" t="str">
        <f>IF(O66="","",IF(AND($D$5=2025,OR(C66="Used Cars",C66="Aftersales")),-10%,IF(IFERROR(E66*'Fee Summary'!$E$9,"TBC")&lt;30000,"N/A - Campaign Less than €30k",IF(P66="No","N/A - Campaign Excluded",IF($D$6="Porsche",IF(O66="TBC","TBC",IF(O66&lt;-0.5,-0.5,IF(O66&gt;0.6,0.5,IF(O66&lt;0,O66,IF(O66&lt;0.1,0,O66-0.1))))),IF(O66="TBC","TBC",IF(O66&lt;-0.2,-0.2,IF(O66&gt;0.2,0.1,IF(O66&lt;0,O66,IF(O66&lt;0.1,0,O66-0.1))))))))))</f>
        <v/>
      </c>
      <c r="R66" s="197" t="str">
        <f t="shared" si="4"/>
        <v/>
      </c>
      <c r="S66" s="197" t="str">
        <f t="shared" si="9"/>
        <v/>
      </c>
      <c r="T66" s="197" t="str">
        <f t="shared" si="5"/>
        <v/>
      </c>
      <c r="U66" s="198"/>
    </row>
    <row r="67" spans="2:21">
      <c r="B67" s="194"/>
      <c r="C67" s="26"/>
      <c r="D67" s="26"/>
      <c r="E67" s="28"/>
      <c r="F67" s="195" t="str">
        <f t="shared" si="0"/>
        <v/>
      </c>
      <c r="G67" s="187" t="str">
        <f t="shared" si="1"/>
        <v/>
      </c>
      <c r="H67" s="186" t="str">
        <f t="shared" si="2"/>
        <v/>
      </c>
      <c r="I67" s="187" t="str">
        <f t="shared" si="6"/>
        <v/>
      </c>
      <c r="J67" s="186" t="str">
        <f t="shared" si="7"/>
        <v/>
      </c>
      <c r="K67" s="188" t="str">
        <f t="shared" si="8"/>
        <v/>
      </c>
      <c r="L67" s="189"/>
      <c r="M67" s="190"/>
      <c r="N67" s="190"/>
      <c r="O67" s="40" t="str">
        <f t="shared" si="3"/>
        <v/>
      </c>
      <c r="P67" s="26" t="str">
        <f>IF(E67="","",IF($D$6="Porsche","No",IF(IFERROR(E67*'Fee Summary'!$E$9,"TBC")&lt;30000,"No","Yes/No?")))</f>
        <v/>
      </c>
      <c r="Q67" s="196" t="str">
        <f>IF(O67="","",IF(AND($D$5=2025,OR(C67="Used Cars",C67="Aftersales")),-10%,IF(IFERROR(E67*'Fee Summary'!$E$9,"TBC")&lt;30000,"N/A - Campaign Less than €30k",IF(P67="No","N/A - Campaign Excluded",IF($D$6="Porsche",IF(O67="TBC","TBC",IF(O67&lt;-0.5,-0.5,IF(O67&gt;0.6,0.5,IF(O67&lt;0,O67,IF(O67&lt;0.1,0,O67-0.1))))),IF(O67="TBC","TBC",IF(O67&lt;-0.2,-0.2,IF(O67&gt;0.2,0.1,IF(O67&lt;0,O67,IF(O67&lt;0.1,0,O67-0.1))))))))))</f>
        <v/>
      </c>
      <c r="R67" s="197" t="str">
        <f t="shared" si="4"/>
        <v/>
      </c>
      <c r="S67" s="197" t="str">
        <f t="shared" si="9"/>
        <v/>
      </c>
      <c r="T67" s="197" t="str">
        <f t="shared" si="5"/>
        <v/>
      </c>
      <c r="U67" s="198"/>
    </row>
    <row r="68" spans="2:21">
      <c r="B68" s="194"/>
      <c r="C68" s="26"/>
      <c r="D68" s="26"/>
      <c r="E68" s="28"/>
      <c r="F68" s="195" t="str">
        <f t="shared" si="0"/>
        <v/>
      </c>
      <c r="G68" s="187" t="str">
        <f t="shared" si="1"/>
        <v/>
      </c>
      <c r="H68" s="186" t="str">
        <f t="shared" si="2"/>
        <v/>
      </c>
      <c r="I68" s="187" t="str">
        <f t="shared" si="6"/>
        <v/>
      </c>
      <c r="J68" s="186" t="str">
        <f t="shared" si="7"/>
        <v/>
      </c>
      <c r="K68" s="188" t="str">
        <f t="shared" si="8"/>
        <v/>
      </c>
      <c r="L68" s="189"/>
      <c r="M68" s="190"/>
      <c r="N68" s="190"/>
      <c r="O68" s="40" t="str">
        <f t="shared" si="3"/>
        <v/>
      </c>
      <c r="P68" s="26" t="str">
        <f>IF(E68="","",IF($D$6="Porsche","No",IF(IFERROR(E68*'Fee Summary'!$E$9,"TBC")&lt;30000,"No","Yes/No?")))</f>
        <v/>
      </c>
      <c r="Q68" s="196" t="str">
        <f>IF(O68="","",IF(AND($D$5=2025,OR(C68="Used Cars",C68="Aftersales")),-10%,IF(IFERROR(E68*'Fee Summary'!$E$9,"TBC")&lt;30000,"N/A - Campaign Less than €30k",IF(P68="No","N/A - Campaign Excluded",IF($D$6="Porsche",IF(O68="TBC","TBC",IF(O68&lt;-0.5,-0.5,IF(O68&gt;0.6,0.5,IF(O68&lt;0,O68,IF(O68&lt;0.1,0,O68-0.1))))),IF(O68="TBC","TBC",IF(O68&lt;-0.2,-0.2,IF(O68&gt;0.2,0.1,IF(O68&lt;0,O68,IF(O68&lt;0.1,0,O68-0.1))))))))))</f>
        <v/>
      </c>
      <c r="R68" s="197" t="str">
        <f t="shared" si="4"/>
        <v/>
      </c>
      <c r="S68" s="197" t="str">
        <f t="shared" si="9"/>
        <v/>
      </c>
      <c r="T68" s="197" t="str">
        <f t="shared" si="5"/>
        <v/>
      </c>
      <c r="U68" s="198"/>
    </row>
    <row r="69" spans="2:21">
      <c r="B69" s="194"/>
      <c r="C69" s="26"/>
      <c r="D69" s="26"/>
      <c r="E69" s="28"/>
      <c r="F69" s="195" t="str">
        <f t="shared" si="0"/>
        <v/>
      </c>
      <c r="G69" s="187" t="str">
        <f t="shared" si="1"/>
        <v/>
      </c>
      <c r="H69" s="186" t="str">
        <f t="shared" si="2"/>
        <v/>
      </c>
      <c r="I69" s="187" t="str">
        <f t="shared" si="6"/>
        <v/>
      </c>
      <c r="J69" s="186" t="str">
        <f t="shared" si="7"/>
        <v/>
      </c>
      <c r="K69" s="188" t="str">
        <f t="shared" si="8"/>
        <v/>
      </c>
      <c r="L69" s="189"/>
      <c r="M69" s="190"/>
      <c r="N69" s="190"/>
      <c r="O69" s="40" t="str">
        <f t="shared" si="3"/>
        <v/>
      </c>
      <c r="P69" s="26" t="str">
        <f>IF(E69="","",IF($D$6="Porsche","No",IF(IFERROR(E69*'Fee Summary'!$E$9,"TBC")&lt;30000,"No","Yes/No?")))</f>
        <v/>
      </c>
      <c r="Q69" s="196" t="str">
        <f>IF(O69="","",IF(AND($D$5=2025,OR(C69="Used Cars",C69="Aftersales")),-10%,IF(IFERROR(E69*'Fee Summary'!$E$9,"TBC")&lt;30000,"N/A - Campaign Less than €30k",IF(P69="No","N/A - Campaign Excluded",IF($D$6="Porsche",IF(O69="TBC","TBC",IF(O69&lt;-0.5,-0.5,IF(O69&gt;0.6,0.5,IF(O69&lt;0,O69,IF(O69&lt;0.1,0,O69-0.1))))),IF(O69="TBC","TBC",IF(O69&lt;-0.2,-0.2,IF(O69&gt;0.2,0.1,IF(O69&lt;0,O69,IF(O69&lt;0.1,0,O69-0.1))))))))))</f>
        <v/>
      </c>
      <c r="R69" s="197" t="str">
        <f t="shared" si="4"/>
        <v/>
      </c>
      <c r="S69" s="197" t="str">
        <f t="shared" si="9"/>
        <v/>
      </c>
      <c r="T69" s="197" t="str">
        <f t="shared" si="5"/>
        <v/>
      </c>
      <c r="U69" s="198"/>
    </row>
    <row r="70" spans="2:21">
      <c r="B70" s="194"/>
      <c r="C70" s="26"/>
      <c r="D70" s="26"/>
      <c r="E70" s="28"/>
      <c r="F70" s="195" t="str">
        <f t="shared" si="0"/>
        <v/>
      </c>
      <c r="G70" s="187" t="str">
        <f t="shared" si="1"/>
        <v/>
      </c>
      <c r="H70" s="186" t="str">
        <f t="shared" si="2"/>
        <v/>
      </c>
      <c r="I70" s="187" t="str">
        <f t="shared" si="6"/>
        <v/>
      </c>
      <c r="J70" s="186" t="str">
        <f t="shared" si="7"/>
        <v/>
      </c>
      <c r="K70" s="188" t="str">
        <f t="shared" si="8"/>
        <v/>
      </c>
      <c r="L70" s="189"/>
      <c r="M70" s="190"/>
      <c r="N70" s="190"/>
      <c r="O70" s="40" t="str">
        <f t="shared" si="3"/>
        <v/>
      </c>
      <c r="P70" s="26" t="str">
        <f>IF(E70="","",IF($D$6="Porsche","No",IF(IFERROR(E70*'Fee Summary'!$E$9,"TBC")&lt;30000,"No","Yes/No?")))</f>
        <v/>
      </c>
      <c r="Q70" s="196" t="str">
        <f>IF(O70="","",IF(AND($D$5=2025,OR(C70="Used Cars",C70="Aftersales")),-10%,IF(IFERROR(E70*'Fee Summary'!$E$9,"TBC")&lt;30000,"N/A - Campaign Less than €30k",IF(P70="No","N/A - Campaign Excluded",IF($D$6="Porsche",IF(O70="TBC","TBC",IF(O70&lt;-0.5,-0.5,IF(O70&gt;0.6,0.5,IF(O70&lt;0,O70,IF(O70&lt;0.1,0,O70-0.1))))),IF(O70="TBC","TBC",IF(O70&lt;-0.2,-0.2,IF(O70&gt;0.2,0.1,IF(O70&lt;0,O70,IF(O70&lt;0.1,0,O70-0.1))))))))))</f>
        <v/>
      </c>
      <c r="R70" s="197" t="str">
        <f t="shared" si="4"/>
        <v/>
      </c>
      <c r="S70" s="197" t="str">
        <f t="shared" si="9"/>
        <v/>
      </c>
      <c r="T70" s="197" t="str">
        <f t="shared" si="5"/>
        <v/>
      </c>
      <c r="U70" s="198"/>
    </row>
    <row r="71" spans="2:21">
      <c r="B71" s="194"/>
      <c r="C71" s="26"/>
      <c r="D71" s="26"/>
      <c r="E71" s="28"/>
      <c r="F71" s="195" t="str">
        <f t="shared" si="0"/>
        <v/>
      </c>
      <c r="G71" s="187" t="str">
        <f t="shared" si="1"/>
        <v/>
      </c>
      <c r="H71" s="186" t="str">
        <f t="shared" si="2"/>
        <v/>
      </c>
      <c r="I71" s="187" t="str">
        <f t="shared" si="6"/>
        <v/>
      </c>
      <c r="J71" s="186" t="str">
        <f t="shared" si="7"/>
        <v/>
      </c>
      <c r="K71" s="188" t="str">
        <f t="shared" si="8"/>
        <v/>
      </c>
      <c r="L71" s="189"/>
      <c r="M71" s="190"/>
      <c r="N71" s="190"/>
      <c r="O71" s="40" t="str">
        <f t="shared" si="3"/>
        <v/>
      </c>
      <c r="P71" s="26" t="str">
        <f>IF(E71="","",IF($D$6="Porsche","No",IF(IFERROR(E71*'Fee Summary'!$E$9,"TBC")&lt;30000,"No","Yes/No?")))</f>
        <v/>
      </c>
      <c r="Q71" s="196" t="str">
        <f>IF(O71="","",IF(AND($D$5=2025,OR(C71="Used Cars",C71="Aftersales")),-10%,IF(IFERROR(E71*'Fee Summary'!$E$9,"TBC")&lt;30000,"N/A - Campaign Less than €30k",IF(P71="No","N/A - Campaign Excluded",IF($D$6="Porsche",IF(O71="TBC","TBC",IF(O71&lt;-0.5,-0.5,IF(O71&gt;0.6,0.5,IF(O71&lt;0,O71,IF(O71&lt;0.1,0,O71-0.1))))),IF(O71="TBC","TBC",IF(O71&lt;-0.2,-0.2,IF(O71&gt;0.2,0.1,IF(O71&lt;0,O71,IF(O71&lt;0.1,0,O71-0.1))))))))))</f>
        <v/>
      </c>
      <c r="R71" s="197" t="str">
        <f t="shared" si="4"/>
        <v/>
      </c>
      <c r="S71" s="197" t="str">
        <f t="shared" si="9"/>
        <v/>
      </c>
      <c r="T71" s="197" t="str">
        <f t="shared" si="5"/>
        <v/>
      </c>
      <c r="U71" s="198"/>
    </row>
    <row r="72" spans="2:21">
      <c r="B72" s="194"/>
      <c r="C72" s="26"/>
      <c r="D72" s="26"/>
      <c r="E72" s="28"/>
      <c r="F72" s="195" t="str">
        <f t="shared" si="0"/>
        <v/>
      </c>
      <c r="G72" s="187" t="str">
        <f t="shared" si="1"/>
        <v/>
      </c>
      <c r="H72" s="186" t="str">
        <f t="shared" si="2"/>
        <v/>
      </c>
      <c r="I72" s="187" t="str">
        <f t="shared" si="6"/>
        <v/>
      </c>
      <c r="J72" s="186" t="str">
        <f t="shared" si="7"/>
        <v/>
      </c>
      <c r="K72" s="188" t="str">
        <f t="shared" si="8"/>
        <v/>
      </c>
      <c r="L72" s="189"/>
      <c r="M72" s="190"/>
      <c r="N72" s="190"/>
      <c r="O72" s="40" t="str">
        <f t="shared" si="3"/>
        <v/>
      </c>
      <c r="P72" s="26" t="str">
        <f>IF(E72="","",IF($D$6="Porsche","No",IF(IFERROR(E72*'Fee Summary'!$E$9,"TBC")&lt;30000,"No","Yes/No?")))</f>
        <v/>
      </c>
      <c r="Q72" s="196" t="str">
        <f>IF(O72="","",IF(AND($D$5=2025,OR(C72="Used Cars",C72="Aftersales")),-10%,IF(IFERROR(E72*'Fee Summary'!$E$9,"TBC")&lt;30000,"N/A - Campaign Less than €30k",IF(P72="No","N/A - Campaign Excluded",IF($D$6="Porsche",IF(O72="TBC","TBC",IF(O72&lt;-0.5,-0.5,IF(O72&gt;0.6,0.5,IF(O72&lt;0,O72,IF(O72&lt;0.1,0,O72-0.1))))),IF(O72="TBC","TBC",IF(O72&lt;-0.2,-0.2,IF(O72&gt;0.2,0.1,IF(O72&lt;0,O72,IF(O72&lt;0.1,0,O72-0.1))))))))))</f>
        <v/>
      </c>
      <c r="R72" s="197" t="str">
        <f t="shared" si="4"/>
        <v/>
      </c>
      <c r="S72" s="197" t="str">
        <f t="shared" si="9"/>
        <v/>
      </c>
      <c r="T72" s="197" t="str">
        <f t="shared" si="5"/>
        <v/>
      </c>
      <c r="U72" s="198"/>
    </row>
    <row r="73" spans="2:21">
      <c r="B73" s="194"/>
      <c r="C73" s="26"/>
      <c r="D73" s="26"/>
      <c r="E73" s="28"/>
      <c r="F73" s="195" t="str">
        <f t="shared" si="0"/>
        <v/>
      </c>
      <c r="G73" s="187" t="str">
        <f t="shared" si="1"/>
        <v/>
      </c>
      <c r="H73" s="186" t="str">
        <f t="shared" si="2"/>
        <v/>
      </c>
      <c r="I73" s="187" t="str">
        <f t="shared" si="6"/>
        <v/>
      </c>
      <c r="J73" s="186" t="str">
        <f t="shared" si="7"/>
        <v/>
      </c>
      <c r="K73" s="188" t="str">
        <f t="shared" si="8"/>
        <v/>
      </c>
      <c r="L73" s="189"/>
      <c r="M73" s="190"/>
      <c r="N73" s="190"/>
      <c r="O73" s="40" t="str">
        <f t="shared" si="3"/>
        <v/>
      </c>
      <c r="P73" s="26" t="str">
        <f>IF(E73="","",IF($D$6="Porsche","No",IF(IFERROR(E73*'Fee Summary'!$E$9,"TBC")&lt;30000,"No","Yes/No?")))</f>
        <v/>
      </c>
      <c r="Q73" s="196" t="str">
        <f>IF(O73="","",IF(AND($D$5=2025,OR(C73="Used Cars",C73="Aftersales")),-10%,IF(IFERROR(E73*'Fee Summary'!$E$9,"TBC")&lt;30000,"N/A - Campaign Less than €30k",IF(P73="No","N/A - Campaign Excluded",IF($D$6="Porsche",IF(O73="TBC","TBC",IF(O73&lt;-0.5,-0.5,IF(O73&gt;0.6,0.5,IF(O73&lt;0,O73,IF(O73&lt;0.1,0,O73-0.1))))),IF(O73="TBC","TBC",IF(O73&lt;-0.2,-0.2,IF(O73&gt;0.2,0.1,IF(O73&lt;0,O73,IF(O73&lt;0.1,0,O73-0.1))))))))))</f>
        <v/>
      </c>
      <c r="R73" s="197" t="str">
        <f t="shared" si="4"/>
        <v/>
      </c>
      <c r="S73" s="197" t="str">
        <f t="shared" si="9"/>
        <v/>
      </c>
      <c r="T73" s="197" t="str">
        <f t="shared" si="5"/>
        <v/>
      </c>
      <c r="U73" s="198"/>
    </row>
    <row r="74" spans="2:21">
      <c r="B74" s="194"/>
      <c r="C74" s="26"/>
      <c r="D74" s="26"/>
      <c r="E74" s="28"/>
      <c r="F74" s="195" t="str">
        <f t="shared" si="0"/>
        <v/>
      </c>
      <c r="G74" s="187" t="str">
        <f t="shared" si="1"/>
        <v/>
      </c>
      <c r="H74" s="186" t="str">
        <f t="shared" si="2"/>
        <v/>
      </c>
      <c r="I74" s="187" t="str">
        <f t="shared" si="6"/>
        <v/>
      </c>
      <c r="J74" s="186" t="str">
        <f t="shared" si="7"/>
        <v/>
      </c>
      <c r="K74" s="188" t="str">
        <f t="shared" si="8"/>
        <v/>
      </c>
      <c r="L74" s="189"/>
      <c r="M74" s="190"/>
      <c r="N74" s="190"/>
      <c r="O74" s="40" t="str">
        <f t="shared" si="3"/>
        <v/>
      </c>
      <c r="P74" s="26" t="str">
        <f>IF(E74="","",IF($D$6="Porsche","No",IF(IFERROR(E74*'Fee Summary'!$E$9,"TBC")&lt;30000,"No","Yes/No?")))</f>
        <v/>
      </c>
      <c r="Q74" s="196" t="str">
        <f>IF(O74="","",IF(AND($D$5=2025,OR(C74="Used Cars",C74="Aftersales")),-10%,IF(IFERROR(E74*'Fee Summary'!$E$9,"TBC")&lt;30000,"N/A - Campaign Less than €30k",IF(P74="No","N/A - Campaign Excluded",IF($D$6="Porsche",IF(O74="TBC","TBC",IF(O74&lt;-0.5,-0.5,IF(O74&gt;0.6,0.5,IF(O74&lt;0,O74,IF(O74&lt;0.1,0,O74-0.1))))),IF(O74="TBC","TBC",IF(O74&lt;-0.2,-0.2,IF(O74&gt;0.2,0.1,IF(O74&lt;0,O74,IF(O74&lt;0.1,0,O74-0.1))))))))))</f>
        <v/>
      </c>
      <c r="R74" s="197" t="str">
        <f t="shared" si="4"/>
        <v/>
      </c>
      <c r="S74" s="197" t="str">
        <f t="shared" si="9"/>
        <v/>
      </c>
      <c r="T74" s="197" t="str">
        <f t="shared" si="5"/>
        <v/>
      </c>
      <c r="U74" s="198"/>
    </row>
    <row r="75" spans="2:21">
      <c r="B75" s="194"/>
      <c r="C75" s="26"/>
      <c r="D75" s="26"/>
      <c r="E75" s="28"/>
      <c r="F75" s="195" t="str">
        <f t="shared" si="0"/>
        <v/>
      </c>
      <c r="G75" s="187" t="str">
        <f t="shared" si="1"/>
        <v/>
      </c>
      <c r="H75" s="186" t="str">
        <f t="shared" si="2"/>
        <v/>
      </c>
      <c r="I75" s="187" t="str">
        <f t="shared" si="6"/>
        <v/>
      </c>
      <c r="J75" s="186" t="str">
        <f t="shared" si="7"/>
        <v/>
      </c>
      <c r="K75" s="188" t="str">
        <f t="shared" si="8"/>
        <v/>
      </c>
      <c r="L75" s="189"/>
      <c r="M75" s="190"/>
      <c r="N75" s="190"/>
      <c r="O75" s="40" t="str">
        <f t="shared" si="3"/>
        <v/>
      </c>
      <c r="P75" s="26" t="str">
        <f>IF(E75="","",IF($D$6="Porsche","No",IF(IFERROR(E75*'Fee Summary'!$E$9,"TBC")&lt;30000,"No","Yes/No?")))</f>
        <v/>
      </c>
      <c r="Q75" s="196" t="str">
        <f>IF(O75="","",IF(AND($D$5=2025,OR(C75="Used Cars",C75="Aftersales")),-10%,IF(IFERROR(E75*'Fee Summary'!$E$9,"TBC")&lt;30000,"N/A - Campaign Less than €30k",IF(P75="No","N/A - Campaign Excluded",IF($D$6="Porsche",IF(O75="TBC","TBC",IF(O75&lt;-0.5,-0.5,IF(O75&gt;0.6,0.5,IF(O75&lt;0,O75,IF(O75&lt;0.1,0,O75-0.1))))),IF(O75="TBC","TBC",IF(O75&lt;-0.2,-0.2,IF(O75&gt;0.2,0.1,IF(O75&lt;0,O75,IF(O75&lt;0.1,0,O75-0.1))))))))))</f>
        <v/>
      </c>
      <c r="R75" s="197" t="str">
        <f t="shared" si="4"/>
        <v/>
      </c>
      <c r="S75" s="197" t="str">
        <f t="shared" si="9"/>
        <v/>
      </c>
      <c r="T75" s="197" t="str">
        <f t="shared" si="5"/>
        <v/>
      </c>
      <c r="U75" s="198"/>
    </row>
    <row r="76" spans="2:21">
      <c r="B76" s="194"/>
      <c r="C76" s="26"/>
      <c r="D76" s="26"/>
      <c r="E76" s="28"/>
      <c r="F76" s="195" t="str">
        <f t="shared" si="0"/>
        <v/>
      </c>
      <c r="G76" s="187" t="str">
        <f t="shared" si="1"/>
        <v/>
      </c>
      <c r="H76" s="186" t="str">
        <f t="shared" si="2"/>
        <v/>
      </c>
      <c r="I76" s="187" t="str">
        <f t="shared" si="6"/>
        <v/>
      </c>
      <c r="J76" s="186" t="str">
        <f t="shared" si="7"/>
        <v/>
      </c>
      <c r="K76" s="188" t="str">
        <f t="shared" si="8"/>
        <v/>
      </c>
      <c r="L76" s="189"/>
      <c r="M76" s="190"/>
      <c r="N76" s="190"/>
      <c r="O76" s="40" t="str">
        <f t="shared" si="3"/>
        <v/>
      </c>
      <c r="P76" s="26" t="str">
        <f>IF(E76="","",IF($D$6="Porsche","No",IF(IFERROR(E76*'Fee Summary'!$E$9,"TBC")&lt;30000,"No","Yes/No?")))</f>
        <v/>
      </c>
      <c r="Q76" s="196" t="str">
        <f>IF(O76="","",IF(AND($D$5=2025,OR(C76="Used Cars",C76="Aftersales")),-10%,IF(IFERROR(E76*'Fee Summary'!$E$9,"TBC")&lt;30000,"N/A - Campaign Less than €30k",IF(P76="No","N/A - Campaign Excluded",IF($D$6="Porsche",IF(O76="TBC","TBC",IF(O76&lt;-0.5,-0.5,IF(O76&gt;0.6,0.5,IF(O76&lt;0,O76,IF(O76&lt;0.1,0,O76-0.1))))),IF(O76="TBC","TBC",IF(O76&lt;-0.2,-0.2,IF(O76&gt;0.2,0.1,IF(O76&lt;0,O76,IF(O76&lt;0.1,0,O76-0.1))))))))))</f>
        <v/>
      </c>
      <c r="R76" s="197" t="str">
        <f t="shared" si="4"/>
        <v/>
      </c>
      <c r="S76" s="197" t="str">
        <f t="shared" si="9"/>
        <v/>
      </c>
      <c r="T76" s="197" t="str">
        <f t="shared" si="5"/>
        <v/>
      </c>
      <c r="U76" s="198"/>
    </row>
    <row r="77" spans="2:21">
      <c r="B77" s="194"/>
      <c r="C77" s="26"/>
      <c r="D77" s="26"/>
      <c r="E77" s="28"/>
      <c r="F77" s="195" t="str">
        <f t="shared" si="0"/>
        <v/>
      </c>
      <c r="G77" s="187" t="str">
        <f t="shared" si="1"/>
        <v/>
      </c>
      <c r="H77" s="186" t="str">
        <f t="shared" si="2"/>
        <v/>
      </c>
      <c r="I77" s="187" t="str">
        <f t="shared" si="6"/>
        <v/>
      </c>
      <c r="J77" s="186" t="str">
        <f t="shared" si="7"/>
        <v/>
      </c>
      <c r="K77" s="188" t="str">
        <f t="shared" si="8"/>
        <v/>
      </c>
      <c r="L77" s="189"/>
      <c r="M77" s="190"/>
      <c r="N77" s="190"/>
      <c r="O77" s="40" t="str">
        <f t="shared" si="3"/>
        <v/>
      </c>
      <c r="P77" s="26" t="str">
        <f>IF(E77="","",IF($D$6="Porsche","No",IF(IFERROR(E77*'Fee Summary'!$E$9,"TBC")&lt;30000,"No","Yes/No?")))</f>
        <v/>
      </c>
      <c r="Q77" s="196" t="str">
        <f>IF(O77="","",IF(AND($D$5=2025,OR(C77="Used Cars",C77="Aftersales")),-10%,IF(IFERROR(E77*'Fee Summary'!$E$9,"TBC")&lt;30000,"N/A - Campaign Less than €30k",IF(P77="No","N/A - Campaign Excluded",IF($D$6="Porsche",IF(O77="TBC","TBC",IF(O77&lt;-0.5,-0.5,IF(O77&gt;0.6,0.5,IF(O77&lt;0,O77,IF(O77&lt;0.1,0,O77-0.1))))),IF(O77="TBC","TBC",IF(O77&lt;-0.2,-0.2,IF(O77&gt;0.2,0.1,IF(O77&lt;0,O77,IF(O77&lt;0.1,0,O77-0.1))))))))))</f>
        <v/>
      </c>
      <c r="R77" s="197" t="str">
        <f t="shared" si="4"/>
        <v/>
      </c>
      <c r="S77" s="197" t="str">
        <f t="shared" si="9"/>
        <v/>
      </c>
      <c r="T77" s="197" t="str">
        <f t="shared" si="5"/>
        <v/>
      </c>
      <c r="U77" s="198"/>
    </row>
    <row r="78" spans="2:21">
      <c r="B78" s="194"/>
      <c r="C78" s="26"/>
      <c r="D78" s="26"/>
      <c r="E78" s="28"/>
      <c r="F78" s="195" t="str">
        <f t="shared" si="0"/>
        <v/>
      </c>
      <c r="G78" s="187" t="str">
        <f t="shared" si="1"/>
        <v/>
      </c>
      <c r="H78" s="186" t="str">
        <f t="shared" si="2"/>
        <v/>
      </c>
      <c r="I78" s="187" t="str">
        <f t="shared" si="6"/>
        <v/>
      </c>
      <c r="J78" s="186" t="str">
        <f t="shared" si="7"/>
        <v/>
      </c>
      <c r="K78" s="188" t="str">
        <f t="shared" si="8"/>
        <v/>
      </c>
      <c r="L78" s="189"/>
      <c r="M78" s="190"/>
      <c r="N78" s="190"/>
      <c r="O78" s="40" t="str">
        <f t="shared" si="3"/>
        <v/>
      </c>
      <c r="P78" s="26" t="str">
        <f>IF(E78="","",IF($D$6="Porsche","No",IF(IFERROR(E78*'Fee Summary'!$E$9,"TBC")&lt;30000,"No","Yes/No?")))</f>
        <v/>
      </c>
      <c r="Q78" s="196" t="str">
        <f>IF(O78="","",IF(AND($D$5=2025,OR(C78="Used Cars",C78="Aftersales")),-10%,IF(IFERROR(E78*'Fee Summary'!$E$9,"TBC")&lt;30000,"N/A - Campaign Less than €30k",IF(P78="No","N/A - Campaign Excluded",IF($D$6="Porsche",IF(O78="TBC","TBC",IF(O78&lt;-0.5,-0.5,IF(O78&gt;0.6,0.5,IF(O78&lt;0,O78,IF(O78&lt;0.1,0,O78-0.1))))),IF(O78="TBC","TBC",IF(O78&lt;-0.2,-0.2,IF(O78&gt;0.2,0.1,IF(O78&lt;0,O78,IF(O78&lt;0.1,0,O78-0.1))))))))))</f>
        <v/>
      </c>
      <c r="R78" s="197" t="str">
        <f t="shared" si="4"/>
        <v/>
      </c>
      <c r="S78" s="197" t="str">
        <f t="shared" si="9"/>
        <v/>
      </c>
      <c r="T78" s="197" t="str">
        <f t="shared" si="5"/>
        <v/>
      </c>
      <c r="U78" s="198"/>
    </row>
    <row r="79" spans="2:21">
      <c r="B79" s="194"/>
      <c r="C79" s="26"/>
      <c r="D79" s="26"/>
      <c r="E79" s="28"/>
      <c r="F79" s="195" t="str">
        <f t="shared" si="0"/>
        <v/>
      </c>
      <c r="G79" s="187" t="str">
        <f t="shared" si="1"/>
        <v/>
      </c>
      <c r="H79" s="186" t="str">
        <f t="shared" si="2"/>
        <v/>
      </c>
      <c r="I79" s="187" t="str">
        <f t="shared" si="6"/>
        <v/>
      </c>
      <c r="J79" s="186" t="str">
        <f t="shared" si="7"/>
        <v/>
      </c>
      <c r="K79" s="188" t="str">
        <f t="shared" si="8"/>
        <v/>
      </c>
      <c r="L79" s="189"/>
      <c r="M79" s="190"/>
      <c r="N79" s="190"/>
      <c r="O79" s="40" t="str">
        <f t="shared" si="3"/>
        <v/>
      </c>
      <c r="P79" s="26" t="str">
        <f>IF(E79="","",IF($D$6="Porsche","No",IF(IFERROR(E79*'Fee Summary'!$E$9,"TBC")&lt;30000,"No","Yes/No?")))</f>
        <v/>
      </c>
      <c r="Q79" s="196" t="str">
        <f>IF(O79="","",IF(AND($D$5=2025,OR(C79="Used Cars",C79="Aftersales")),-10%,IF(IFERROR(E79*'Fee Summary'!$E$9,"TBC")&lt;30000,"N/A - Campaign Less than €30k",IF(P79="No","N/A - Campaign Excluded",IF($D$6="Porsche",IF(O79="TBC","TBC",IF(O79&lt;-0.5,-0.5,IF(O79&gt;0.6,0.5,IF(O79&lt;0,O79,IF(O79&lt;0.1,0,O79-0.1))))),IF(O79="TBC","TBC",IF(O79&lt;-0.2,-0.2,IF(O79&gt;0.2,0.1,IF(O79&lt;0,O79,IF(O79&lt;0.1,0,O79-0.1))))))))))</f>
        <v/>
      </c>
      <c r="R79" s="197" t="str">
        <f t="shared" si="4"/>
        <v/>
      </c>
      <c r="S79" s="197" t="str">
        <f t="shared" si="9"/>
        <v/>
      </c>
      <c r="T79" s="197" t="str">
        <f t="shared" si="5"/>
        <v/>
      </c>
      <c r="U79" s="198"/>
    </row>
    <row r="80" spans="2:21">
      <c r="B80" s="194"/>
      <c r="C80" s="26"/>
      <c r="D80" s="26"/>
      <c r="E80" s="28"/>
      <c r="F80" s="195" t="str">
        <f t="shared" si="0"/>
        <v/>
      </c>
      <c r="G80" s="187" t="str">
        <f t="shared" si="1"/>
        <v/>
      </c>
      <c r="H80" s="186" t="str">
        <f t="shared" si="2"/>
        <v/>
      </c>
      <c r="I80" s="187" t="str">
        <f t="shared" si="6"/>
        <v/>
      </c>
      <c r="J80" s="186" t="str">
        <f t="shared" si="7"/>
        <v/>
      </c>
      <c r="K80" s="188" t="str">
        <f t="shared" si="8"/>
        <v/>
      </c>
      <c r="L80" s="189"/>
      <c r="M80" s="190"/>
      <c r="N80" s="190"/>
      <c r="O80" s="40" t="str">
        <f t="shared" si="3"/>
        <v/>
      </c>
      <c r="P80" s="26" t="str">
        <f>IF(E80="","",IF($D$6="Porsche","No",IF(IFERROR(E80*'Fee Summary'!$E$9,"TBC")&lt;30000,"No","Yes/No?")))</f>
        <v/>
      </c>
      <c r="Q80" s="196" t="str">
        <f>IF(O80="","",IF(AND($D$5=2025,OR(C80="Used Cars",C80="Aftersales")),-10%,IF(IFERROR(E80*'Fee Summary'!$E$9,"TBC")&lt;30000,"N/A - Campaign Less than €30k",IF(P80="No","N/A - Campaign Excluded",IF($D$6="Porsche",IF(O80="TBC","TBC",IF(O80&lt;-0.5,-0.5,IF(O80&gt;0.6,0.5,IF(O80&lt;0,O80,IF(O80&lt;0.1,0,O80-0.1))))),IF(O80="TBC","TBC",IF(O80&lt;-0.2,-0.2,IF(O80&gt;0.2,0.1,IF(O80&lt;0,O80,IF(O80&lt;0.1,0,O80-0.1))))))))))</f>
        <v/>
      </c>
      <c r="R80" s="197" t="str">
        <f t="shared" si="4"/>
        <v/>
      </c>
      <c r="S80" s="197" t="str">
        <f t="shared" si="9"/>
        <v/>
      </c>
      <c r="T80" s="197" t="str">
        <f t="shared" si="5"/>
        <v/>
      </c>
      <c r="U80" s="198"/>
    </row>
    <row r="81" spans="2:21">
      <c r="B81" s="194"/>
      <c r="C81" s="26"/>
      <c r="D81" s="26"/>
      <c r="E81" s="28"/>
      <c r="F81" s="195" t="str">
        <f t="shared" si="0"/>
        <v/>
      </c>
      <c r="G81" s="187" t="str">
        <f t="shared" si="1"/>
        <v/>
      </c>
      <c r="H81" s="186" t="str">
        <f t="shared" si="2"/>
        <v/>
      </c>
      <c r="I81" s="187" t="str">
        <f t="shared" si="6"/>
        <v/>
      </c>
      <c r="J81" s="186" t="str">
        <f t="shared" si="7"/>
        <v/>
      </c>
      <c r="K81" s="188" t="str">
        <f t="shared" si="8"/>
        <v/>
      </c>
      <c r="L81" s="189"/>
      <c r="M81" s="190"/>
      <c r="N81" s="190"/>
      <c r="O81" s="40" t="str">
        <f t="shared" si="3"/>
        <v/>
      </c>
      <c r="P81" s="26" t="str">
        <f>IF(E81="","",IF($D$6="Porsche","No",IF(IFERROR(E81*'Fee Summary'!$E$9,"TBC")&lt;30000,"No","Yes/No?")))</f>
        <v/>
      </c>
      <c r="Q81" s="196" t="str">
        <f>IF(O81="","",IF(AND($D$5=2025,OR(C81="Used Cars",C81="Aftersales")),-10%,IF(IFERROR(E81*'Fee Summary'!$E$9,"TBC")&lt;30000,"N/A - Campaign Less than €30k",IF(P81="No","N/A - Campaign Excluded",IF($D$6="Porsche",IF(O81="TBC","TBC",IF(O81&lt;-0.5,-0.5,IF(O81&gt;0.6,0.5,IF(O81&lt;0,O81,IF(O81&lt;0.1,0,O81-0.1))))),IF(O81="TBC","TBC",IF(O81&lt;-0.2,-0.2,IF(O81&gt;0.2,0.1,IF(O81&lt;0,O81,IF(O81&lt;0.1,0,O81-0.1))))))))))</f>
        <v/>
      </c>
      <c r="R81" s="197" t="str">
        <f t="shared" si="4"/>
        <v/>
      </c>
      <c r="S81" s="197" t="str">
        <f t="shared" si="9"/>
        <v/>
      </c>
      <c r="T81" s="197" t="str">
        <f t="shared" si="5"/>
        <v/>
      </c>
      <c r="U81" s="198"/>
    </row>
    <row r="82" spans="2:21">
      <c r="B82" s="194"/>
      <c r="C82" s="26"/>
      <c r="D82" s="26"/>
      <c r="E82" s="28"/>
      <c r="F82" s="195" t="str">
        <f t="shared" si="0"/>
        <v/>
      </c>
      <c r="G82" s="187" t="str">
        <f t="shared" si="1"/>
        <v/>
      </c>
      <c r="H82" s="186" t="str">
        <f t="shared" si="2"/>
        <v/>
      </c>
      <c r="I82" s="187" t="str">
        <f t="shared" si="6"/>
        <v/>
      </c>
      <c r="J82" s="186" t="str">
        <f t="shared" si="7"/>
        <v/>
      </c>
      <c r="K82" s="188" t="str">
        <f t="shared" si="8"/>
        <v/>
      </c>
      <c r="L82" s="189"/>
      <c r="M82" s="190"/>
      <c r="N82" s="190"/>
      <c r="O82" s="40" t="str">
        <f t="shared" si="3"/>
        <v/>
      </c>
      <c r="P82" s="26" t="str">
        <f>IF(E82="","",IF($D$6="Porsche","No",IF(IFERROR(E82*'Fee Summary'!$E$9,"TBC")&lt;30000,"No","Yes/No?")))</f>
        <v/>
      </c>
      <c r="Q82" s="196" t="str">
        <f>IF(O82="","",IF(AND($D$5=2025,OR(C82="Used Cars",C82="Aftersales")),-10%,IF(IFERROR(E82*'Fee Summary'!$E$9,"TBC")&lt;30000,"N/A - Campaign Less than €30k",IF(P82="No","N/A - Campaign Excluded",IF($D$6="Porsche",IF(O82="TBC","TBC",IF(O82&lt;-0.5,-0.5,IF(O82&gt;0.6,0.5,IF(O82&lt;0,O82,IF(O82&lt;0.1,0,O82-0.1))))),IF(O82="TBC","TBC",IF(O82&lt;-0.2,-0.2,IF(O82&gt;0.2,0.1,IF(O82&lt;0,O82,IF(O82&lt;0.1,0,O82-0.1))))))))))</f>
        <v/>
      </c>
      <c r="R82" s="197" t="str">
        <f t="shared" si="4"/>
        <v/>
      </c>
      <c r="S82" s="197" t="str">
        <f t="shared" si="9"/>
        <v/>
      </c>
      <c r="T82" s="197" t="str">
        <f t="shared" si="5"/>
        <v/>
      </c>
      <c r="U82" s="198"/>
    </row>
    <row r="83" spans="2:21">
      <c r="B83" s="194"/>
      <c r="C83" s="26"/>
      <c r="D83" s="26"/>
      <c r="E83" s="28"/>
      <c r="F83" s="195" t="str">
        <f t="shared" si="0"/>
        <v/>
      </c>
      <c r="G83" s="187" t="str">
        <f t="shared" si="1"/>
        <v/>
      </c>
      <c r="H83" s="186" t="str">
        <f t="shared" si="2"/>
        <v/>
      </c>
      <c r="I83" s="187" t="str">
        <f t="shared" si="6"/>
        <v/>
      </c>
      <c r="J83" s="186" t="str">
        <f t="shared" si="7"/>
        <v/>
      </c>
      <c r="K83" s="188" t="str">
        <f t="shared" si="8"/>
        <v/>
      </c>
      <c r="L83" s="189"/>
      <c r="M83" s="190"/>
      <c r="N83" s="190"/>
      <c r="O83" s="40" t="str">
        <f t="shared" si="3"/>
        <v/>
      </c>
      <c r="P83" s="26" t="str">
        <f>IF(E83="","",IF($D$6="Porsche","No",IF(IFERROR(E83*'Fee Summary'!$E$9,"TBC")&lt;30000,"No","Yes/No?")))</f>
        <v/>
      </c>
      <c r="Q83" s="196" t="str">
        <f>IF(O83="","",IF(AND($D$5=2025,OR(C83="Used Cars",C83="Aftersales")),-10%,IF(IFERROR(E83*'Fee Summary'!$E$9,"TBC")&lt;30000,"N/A - Campaign Less than €30k",IF(P83="No","N/A - Campaign Excluded",IF($D$6="Porsche",IF(O83="TBC","TBC",IF(O83&lt;-0.5,-0.5,IF(O83&gt;0.6,0.5,IF(O83&lt;0,O83,IF(O83&lt;0.1,0,O83-0.1))))),IF(O83="TBC","TBC",IF(O83&lt;-0.2,-0.2,IF(O83&gt;0.2,0.1,IF(O83&lt;0,O83,IF(O83&lt;0.1,0,O83-0.1))))))))))</f>
        <v/>
      </c>
      <c r="R83" s="197" t="str">
        <f t="shared" si="4"/>
        <v/>
      </c>
      <c r="S83" s="197" t="str">
        <f t="shared" si="9"/>
        <v/>
      </c>
      <c r="T83" s="197" t="str">
        <f t="shared" si="5"/>
        <v/>
      </c>
      <c r="U83" s="198"/>
    </row>
    <row r="84" spans="2:21">
      <c r="B84" s="194"/>
      <c r="C84" s="26"/>
      <c r="D84" s="26"/>
      <c r="E84" s="28"/>
      <c r="F84" s="195" t="str">
        <f t="shared" si="0"/>
        <v/>
      </c>
      <c r="G84" s="187" t="str">
        <f t="shared" si="1"/>
        <v/>
      </c>
      <c r="H84" s="186" t="str">
        <f t="shared" si="2"/>
        <v/>
      </c>
      <c r="I84" s="187" t="str">
        <f t="shared" si="6"/>
        <v/>
      </c>
      <c r="J84" s="186" t="str">
        <f t="shared" si="7"/>
        <v/>
      </c>
      <c r="K84" s="188" t="str">
        <f t="shared" si="8"/>
        <v/>
      </c>
      <c r="L84" s="189"/>
      <c r="M84" s="190"/>
      <c r="N84" s="190"/>
      <c r="O84" s="40" t="str">
        <f t="shared" si="3"/>
        <v/>
      </c>
      <c r="P84" s="26" t="str">
        <f>IF(E84="","",IF($D$6="Porsche","No",IF(IFERROR(E84*'Fee Summary'!$E$9,"TBC")&lt;30000,"No","Yes/No?")))</f>
        <v/>
      </c>
      <c r="Q84" s="196" t="str">
        <f>IF(O84="","",IF(AND($D$5=2025,OR(C84="Used Cars",C84="Aftersales")),-10%,IF(IFERROR(E84*'Fee Summary'!$E$9,"TBC")&lt;30000,"N/A - Campaign Less than €30k",IF(P84="No","N/A - Campaign Excluded",IF($D$6="Porsche",IF(O84="TBC","TBC",IF(O84&lt;-0.5,-0.5,IF(O84&gt;0.6,0.5,IF(O84&lt;0,O84,IF(O84&lt;0.1,0,O84-0.1))))),IF(O84="TBC","TBC",IF(O84&lt;-0.2,-0.2,IF(O84&gt;0.2,0.1,IF(O84&lt;0,O84,IF(O84&lt;0.1,0,O84-0.1))))))))))</f>
        <v/>
      </c>
      <c r="R84" s="197" t="str">
        <f t="shared" si="4"/>
        <v/>
      </c>
      <c r="S84" s="197" t="str">
        <f t="shared" si="9"/>
        <v/>
      </c>
      <c r="T84" s="197" t="str">
        <f t="shared" si="5"/>
        <v/>
      </c>
      <c r="U84" s="198"/>
    </row>
    <row r="85" spans="2:21">
      <c r="B85" s="194"/>
      <c r="C85" s="26"/>
      <c r="D85" s="26"/>
      <c r="E85" s="28"/>
      <c r="F85" s="195" t="str">
        <f t="shared" si="0"/>
        <v/>
      </c>
      <c r="G85" s="187" t="str">
        <f t="shared" si="1"/>
        <v/>
      </c>
      <c r="H85" s="186" t="str">
        <f t="shared" si="2"/>
        <v/>
      </c>
      <c r="I85" s="187" t="str">
        <f t="shared" si="6"/>
        <v/>
      </c>
      <c r="J85" s="186" t="str">
        <f t="shared" si="7"/>
        <v/>
      </c>
      <c r="K85" s="188" t="str">
        <f t="shared" si="8"/>
        <v/>
      </c>
      <c r="L85" s="189"/>
      <c r="M85" s="190"/>
      <c r="N85" s="190"/>
      <c r="O85" s="40" t="str">
        <f t="shared" si="3"/>
        <v/>
      </c>
      <c r="P85" s="26" t="str">
        <f>IF(E85="","",IF($D$6="Porsche","No",IF(IFERROR(E85*'Fee Summary'!$E$9,"TBC")&lt;30000,"No","Yes/No?")))</f>
        <v/>
      </c>
      <c r="Q85" s="196" t="str">
        <f>IF(O85="","",IF(AND($D$5=2025,OR(C85="Used Cars",C85="Aftersales")),-10%,IF(IFERROR(E85*'Fee Summary'!$E$9,"TBC")&lt;30000,"N/A - Campaign Less than €30k",IF(P85="No","N/A - Campaign Excluded",IF($D$6="Porsche",IF(O85="TBC","TBC",IF(O85&lt;-0.5,-0.5,IF(O85&gt;0.6,0.5,IF(O85&lt;0,O85,IF(O85&lt;0.1,0,O85-0.1))))),IF(O85="TBC","TBC",IF(O85&lt;-0.2,-0.2,IF(O85&gt;0.2,0.1,IF(O85&lt;0,O85,IF(O85&lt;0.1,0,O85-0.1))))))))))</f>
        <v/>
      </c>
      <c r="R85" s="197" t="str">
        <f t="shared" si="4"/>
        <v/>
      </c>
      <c r="S85" s="197" t="str">
        <f t="shared" si="9"/>
        <v/>
      </c>
      <c r="T85" s="197" t="str">
        <f t="shared" si="5"/>
        <v/>
      </c>
      <c r="U85" s="198"/>
    </row>
    <row r="86" spans="2:21">
      <c r="B86" s="194"/>
      <c r="C86" s="26"/>
      <c r="D86" s="26"/>
      <c r="E86" s="28"/>
      <c r="F86" s="195" t="str">
        <f t="shared" si="0"/>
        <v/>
      </c>
      <c r="G86" s="187" t="str">
        <f t="shared" si="1"/>
        <v/>
      </c>
      <c r="H86" s="186" t="str">
        <f t="shared" si="2"/>
        <v/>
      </c>
      <c r="I86" s="187" t="str">
        <f t="shared" si="6"/>
        <v/>
      </c>
      <c r="J86" s="186" t="str">
        <f t="shared" si="7"/>
        <v/>
      </c>
      <c r="K86" s="188" t="str">
        <f t="shared" si="8"/>
        <v/>
      </c>
      <c r="L86" s="189"/>
      <c r="M86" s="190"/>
      <c r="N86" s="190"/>
      <c r="O86" s="40" t="str">
        <f t="shared" si="3"/>
        <v/>
      </c>
      <c r="P86" s="26" t="str">
        <f>IF(E86="","",IF($D$6="Porsche","No",IF(IFERROR(E86*'Fee Summary'!$E$9,"TBC")&lt;30000,"No","Yes/No?")))</f>
        <v/>
      </c>
      <c r="Q86" s="196" t="str">
        <f>IF(O86="","",IF(AND($D$5=2025,OR(C86="Used Cars",C86="Aftersales")),-10%,IF(IFERROR(E86*'Fee Summary'!$E$9,"TBC")&lt;30000,"N/A - Campaign Less than €30k",IF(P86="No","N/A - Campaign Excluded",IF($D$6="Porsche",IF(O86="TBC","TBC",IF(O86&lt;-0.5,-0.5,IF(O86&gt;0.6,0.5,IF(O86&lt;0,O86,IF(O86&lt;0.1,0,O86-0.1))))),IF(O86="TBC","TBC",IF(O86&lt;-0.2,-0.2,IF(O86&gt;0.2,0.1,IF(O86&lt;0,O86,IF(O86&lt;0.1,0,O86-0.1))))))))))</f>
        <v/>
      </c>
      <c r="R86" s="197" t="str">
        <f t="shared" si="4"/>
        <v/>
      </c>
      <c r="S86" s="197" t="str">
        <f t="shared" si="9"/>
        <v/>
      </c>
      <c r="T86" s="197" t="str">
        <f t="shared" si="5"/>
        <v/>
      </c>
      <c r="U86" s="198"/>
    </row>
    <row r="87" spans="2:21">
      <c r="B87" s="194"/>
      <c r="C87" s="26"/>
      <c r="D87" s="26"/>
      <c r="E87" s="28"/>
      <c r="F87" s="195" t="str">
        <f t="shared" ref="F87:F122" si="10">IF(E87="","",IF(D87="Paid Search",$D$11,IF(D87="Paid Social",$D$10,$D$12)))</f>
        <v/>
      </c>
      <c r="G87" s="187" t="str">
        <f t="shared" ref="G87:G122" si="11">IFERROR(IF(E87="","",E87*0.25%),"")</f>
        <v/>
      </c>
      <c r="H87" s="186" t="str">
        <f t="shared" ref="H87:H122" si="12">IFERROR(F87*E87,"")</f>
        <v/>
      </c>
      <c r="I87" s="187" t="str">
        <f t="shared" si="6"/>
        <v/>
      </c>
      <c r="J87" s="186" t="str">
        <f t="shared" si="7"/>
        <v/>
      </c>
      <c r="K87" s="188" t="str">
        <f t="shared" si="8"/>
        <v/>
      </c>
      <c r="L87" s="189"/>
      <c r="M87" s="190"/>
      <c r="N87" s="190"/>
      <c r="O87" s="40" t="str">
        <f t="shared" ref="O87:O122" si="13">IF(AND(M87="",N87=""),"",IF(OR(M87="",N87=""),"TBC",M87/N87-1))</f>
        <v/>
      </c>
      <c r="P87" s="26" t="str">
        <f>IF(E87="","",IF($D$6="Porsche","No",IF(IFERROR(E87*'Fee Summary'!$E$9,"TBC")&lt;30000,"No","Yes/No?")))</f>
        <v/>
      </c>
      <c r="Q87" s="196" t="str">
        <f>IF(O87="","",IF(AND($D$5=2025,OR(C87="Used Cars",C87="Aftersales")),-10%,IF(IFERROR(E87*'Fee Summary'!$E$9,"TBC")&lt;30000,"N/A - Campaign Less than €30k",IF(P87="No","N/A - Campaign Excluded",IF($D$6="Porsche",IF(O87="TBC","TBC",IF(O87&lt;-0.5,-0.5,IF(O87&gt;0.6,0.5,IF(O87&lt;0,O87,IF(O87&lt;0.1,0,O87-0.1))))),IF(O87="TBC","TBC",IF(O87&lt;-0.2,-0.2,IF(O87&gt;0.2,0.1,IF(O87&lt;0,O87,IF(O87&lt;0.1,0,O87-0.1))))))))))</f>
        <v/>
      </c>
      <c r="R87" s="197" t="str">
        <f t="shared" ref="R87:R122" si="14">IF(Q87="","",IFERROR(Q87*H87,"N/A"))</f>
        <v/>
      </c>
      <c r="S87" s="197" t="str">
        <f t="shared" si="9"/>
        <v/>
      </c>
      <c r="T87" s="197" t="str">
        <f t="shared" ref="T87:T122" si="15">IFERROR(S87-K87,"")</f>
        <v/>
      </c>
      <c r="U87" s="198"/>
    </row>
    <row r="88" spans="2:21">
      <c r="B88" s="194"/>
      <c r="C88" s="26"/>
      <c r="D88" s="26"/>
      <c r="E88" s="28"/>
      <c r="F88" s="195" t="str">
        <f t="shared" si="10"/>
        <v/>
      </c>
      <c r="G88" s="187" t="str">
        <f t="shared" si="11"/>
        <v/>
      </c>
      <c r="H88" s="186" t="str">
        <f t="shared" si="12"/>
        <v/>
      </c>
      <c r="I88" s="187" t="str">
        <f t="shared" ref="I88:I122" si="16">IFERROR(G88+H88,"")</f>
        <v/>
      </c>
      <c r="J88" s="186" t="str">
        <f t="shared" ref="J88:J122" si="17">IF(H88="","",IF($D$6="Porsche","N/A",IFERROR(H88*0.8,"")))</f>
        <v/>
      </c>
      <c r="K88" s="188" t="str">
        <f t="shared" ref="K88:K122" si="18">IFERROR(IF(J88="","",J88+G88),"N/A")</f>
        <v/>
      </c>
      <c r="L88" s="189"/>
      <c r="M88" s="190"/>
      <c r="N88" s="190"/>
      <c r="O88" s="40" t="str">
        <f t="shared" si="13"/>
        <v/>
      </c>
      <c r="P88" s="26" t="str">
        <f>IF(E88="","",IF($D$6="Porsche","No",IF(IFERROR(E88*'Fee Summary'!$E$9,"TBC")&lt;30000,"No","Yes/No?")))</f>
        <v/>
      </c>
      <c r="Q88" s="196" t="str">
        <f>IF(O88="","",IF(AND($D$5=2025,OR(C88="Used Cars",C88="Aftersales")),-10%,IF(IFERROR(E88*'Fee Summary'!$E$9,"TBC")&lt;30000,"N/A - Campaign Less than €30k",IF(P88="No","N/A - Campaign Excluded",IF($D$6="Porsche",IF(O88="TBC","TBC",IF(O88&lt;-0.5,-0.5,IF(O88&gt;0.6,0.5,IF(O88&lt;0,O88,IF(O88&lt;0.1,0,O88-0.1))))),IF(O88="TBC","TBC",IF(O88&lt;-0.2,-0.2,IF(O88&gt;0.2,0.1,IF(O88&lt;0,O88,IF(O88&lt;0.1,0,O88-0.1))))))))))</f>
        <v/>
      </c>
      <c r="R88" s="197" t="str">
        <f t="shared" si="14"/>
        <v/>
      </c>
      <c r="S88" s="197" t="str">
        <f t="shared" si="9"/>
        <v/>
      </c>
      <c r="T88" s="197" t="str">
        <f t="shared" si="15"/>
        <v/>
      </c>
      <c r="U88" s="198"/>
    </row>
    <row r="89" spans="2:21">
      <c r="B89" s="194"/>
      <c r="C89" s="26"/>
      <c r="D89" s="26"/>
      <c r="E89" s="28"/>
      <c r="F89" s="195" t="str">
        <f t="shared" si="10"/>
        <v/>
      </c>
      <c r="G89" s="187" t="str">
        <f t="shared" si="11"/>
        <v/>
      </c>
      <c r="H89" s="186" t="str">
        <f t="shared" si="12"/>
        <v/>
      </c>
      <c r="I89" s="187" t="str">
        <f t="shared" si="16"/>
        <v/>
      </c>
      <c r="J89" s="186" t="str">
        <f t="shared" si="17"/>
        <v/>
      </c>
      <c r="K89" s="188" t="str">
        <f t="shared" si="18"/>
        <v/>
      </c>
      <c r="L89" s="189"/>
      <c r="M89" s="190"/>
      <c r="N89" s="190"/>
      <c r="O89" s="40" t="str">
        <f t="shared" si="13"/>
        <v/>
      </c>
      <c r="P89" s="26" t="str">
        <f>IF(E89="","",IF($D$6="Porsche","No",IF(IFERROR(E89*'Fee Summary'!$E$9,"TBC")&lt;30000,"No","Yes/No?")))</f>
        <v/>
      </c>
      <c r="Q89" s="196" t="str">
        <f>IF(O89="","",IF(AND($D$5=2025,OR(C89="Used Cars",C89="Aftersales")),-10%,IF(IFERROR(E89*'Fee Summary'!$E$9,"TBC")&lt;30000,"N/A - Campaign Less than €30k",IF(P89="No","N/A - Campaign Excluded",IF($D$6="Porsche",IF(O89="TBC","TBC",IF(O89&lt;-0.5,-0.5,IF(O89&gt;0.6,0.5,IF(O89&lt;0,O89,IF(O89&lt;0.1,0,O89-0.1))))),IF(O89="TBC","TBC",IF(O89&lt;-0.2,-0.2,IF(O89&gt;0.2,0.1,IF(O89&lt;0,O89,IF(O89&lt;0.1,0,O89-0.1))))))))))</f>
        <v/>
      </c>
      <c r="R89" s="197" t="str">
        <f t="shared" si="14"/>
        <v/>
      </c>
      <c r="S89" s="197" t="str">
        <f t="shared" ref="S89:S122" si="19">IF($D$6="Porsche",I89,IF(R89="","",IF(R89="N/A",I89,I89+R89)))</f>
        <v/>
      </c>
      <c r="T89" s="197" t="str">
        <f t="shared" si="15"/>
        <v/>
      </c>
      <c r="U89" s="198"/>
    </row>
    <row r="90" spans="2:21">
      <c r="B90" s="194"/>
      <c r="C90" s="26"/>
      <c r="D90" s="26"/>
      <c r="E90" s="28"/>
      <c r="F90" s="195" t="str">
        <f t="shared" si="10"/>
        <v/>
      </c>
      <c r="G90" s="187" t="str">
        <f t="shared" si="11"/>
        <v/>
      </c>
      <c r="H90" s="186" t="str">
        <f t="shared" si="12"/>
        <v/>
      </c>
      <c r="I90" s="187" t="str">
        <f t="shared" si="16"/>
        <v/>
      </c>
      <c r="J90" s="186" t="str">
        <f t="shared" si="17"/>
        <v/>
      </c>
      <c r="K90" s="188" t="str">
        <f t="shared" si="18"/>
        <v/>
      </c>
      <c r="L90" s="189"/>
      <c r="M90" s="190"/>
      <c r="N90" s="190"/>
      <c r="O90" s="40" t="str">
        <f t="shared" si="13"/>
        <v/>
      </c>
      <c r="P90" s="26" t="str">
        <f>IF(E90="","",IF($D$6="Porsche","No",IF(IFERROR(E90*'Fee Summary'!$E$9,"TBC")&lt;30000,"No","Yes/No?")))</f>
        <v/>
      </c>
      <c r="Q90" s="196" t="str">
        <f>IF(O90="","",IF(AND($D$5=2025,OR(C90="Used Cars",C90="Aftersales")),-10%,IF(IFERROR(E90*'Fee Summary'!$E$9,"TBC")&lt;30000,"N/A - Campaign Less than €30k",IF(P90="No","N/A - Campaign Excluded",IF($D$6="Porsche",IF(O90="TBC","TBC",IF(O90&lt;-0.5,-0.5,IF(O90&gt;0.6,0.5,IF(O90&lt;0,O90,IF(O90&lt;0.1,0,O90-0.1))))),IF(O90="TBC","TBC",IF(O90&lt;-0.2,-0.2,IF(O90&gt;0.2,0.1,IF(O90&lt;0,O90,IF(O90&lt;0.1,0,O90-0.1))))))))))</f>
        <v/>
      </c>
      <c r="R90" s="197" t="str">
        <f t="shared" si="14"/>
        <v/>
      </c>
      <c r="S90" s="197" t="str">
        <f t="shared" si="19"/>
        <v/>
      </c>
      <c r="T90" s="197" t="str">
        <f t="shared" si="15"/>
        <v/>
      </c>
      <c r="U90" s="198"/>
    </row>
    <row r="91" spans="2:21">
      <c r="B91" s="194"/>
      <c r="C91" s="26"/>
      <c r="D91" s="26"/>
      <c r="E91" s="28"/>
      <c r="F91" s="195" t="str">
        <f t="shared" si="10"/>
        <v/>
      </c>
      <c r="G91" s="187" t="str">
        <f t="shared" si="11"/>
        <v/>
      </c>
      <c r="H91" s="186" t="str">
        <f t="shared" si="12"/>
        <v/>
      </c>
      <c r="I91" s="187" t="str">
        <f t="shared" si="16"/>
        <v/>
      </c>
      <c r="J91" s="186" t="str">
        <f t="shared" si="17"/>
        <v/>
      </c>
      <c r="K91" s="188" t="str">
        <f t="shared" si="18"/>
        <v/>
      </c>
      <c r="L91" s="189"/>
      <c r="M91" s="190"/>
      <c r="N91" s="190"/>
      <c r="O91" s="40" t="str">
        <f t="shared" si="13"/>
        <v/>
      </c>
      <c r="P91" s="26" t="str">
        <f>IF(E91="","",IF($D$6="Porsche","No",IF(IFERROR(E91*'Fee Summary'!$E$9,"TBC")&lt;30000,"No","Yes/No?")))</f>
        <v/>
      </c>
      <c r="Q91" s="196" t="str">
        <f>IF(O91="","",IF(AND($D$5=2025,OR(C91="Used Cars",C91="Aftersales")),-10%,IF(IFERROR(E91*'Fee Summary'!$E$9,"TBC")&lt;30000,"N/A - Campaign Less than €30k",IF(P91="No","N/A - Campaign Excluded",IF($D$6="Porsche",IF(O91="TBC","TBC",IF(O91&lt;-0.5,-0.5,IF(O91&gt;0.6,0.5,IF(O91&lt;0,O91,IF(O91&lt;0.1,0,O91-0.1))))),IF(O91="TBC","TBC",IF(O91&lt;-0.2,-0.2,IF(O91&gt;0.2,0.1,IF(O91&lt;0,O91,IF(O91&lt;0.1,0,O91-0.1))))))))))</f>
        <v/>
      </c>
      <c r="R91" s="197" t="str">
        <f t="shared" si="14"/>
        <v/>
      </c>
      <c r="S91" s="197" t="str">
        <f t="shared" si="19"/>
        <v/>
      </c>
      <c r="T91" s="197" t="str">
        <f t="shared" si="15"/>
        <v/>
      </c>
      <c r="U91" s="198"/>
    </row>
    <row r="92" spans="2:21">
      <c r="B92" s="194"/>
      <c r="C92" s="26"/>
      <c r="D92" s="26"/>
      <c r="E92" s="28"/>
      <c r="F92" s="195" t="str">
        <f t="shared" si="10"/>
        <v/>
      </c>
      <c r="G92" s="187" t="str">
        <f t="shared" si="11"/>
        <v/>
      </c>
      <c r="H92" s="186" t="str">
        <f t="shared" si="12"/>
        <v/>
      </c>
      <c r="I92" s="187" t="str">
        <f t="shared" si="16"/>
        <v/>
      </c>
      <c r="J92" s="186" t="str">
        <f t="shared" si="17"/>
        <v/>
      </c>
      <c r="K92" s="188" t="str">
        <f t="shared" si="18"/>
        <v/>
      </c>
      <c r="L92" s="189"/>
      <c r="M92" s="190"/>
      <c r="N92" s="190"/>
      <c r="O92" s="40" t="str">
        <f t="shared" si="13"/>
        <v/>
      </c>
      <c r="P92" s="26" t="str">
        <f>IF(E92="","",IF($D$6="Porsche","No",IF(IFERROR(E92*'Fee Summary'!$E$9,"TBC")&lt;30000,"No","Yes/No?")))</f>
        <v/>
      </c>
      <c r="Q92" s="196" t="str">
        <f>IF(O92="","",IF(AND($D$5=2025,OR(C92="Used Cars",C92="Aftersales")),-10%,IF(IFERROR(E92*'Fee Summary'!$E$9,"TBC")&lt;30000,"N/A - Campaign Less than €30k",IF(P92="No","N/A - Campaign Excluded",IF($D$6="Porsche",IF(O92="TBC","TBC",IF(O92&lt;-0.5,-0.5,IF(O92&gt;0.6,0.5,IF(O92&lt;0,O92,IF(O92&lt;0.1,0,O92-0.1))))),IF(O92="TBC","TBC",IF(O92&lt;-0.2,-0.2,IF(O92&gt;0.2,0.1,IF(O92&lt;0,O92,IF(O92&lt;0.1,0,O92-0.1))))))))))</f>
        <v/>
      </c>
      <c r="R92" s="197" t="str">
        <f t="shared" si="14"/>
        <v/>
      </c>
      <c r="S92" s="197" t="str">
        <f t="shared" si="19"/>
        <v/>
      </c>
      <c r="T92" s="197" t="str">
        <f t="shared" si="15"/>
        <v/>
      </c>
      <c r="U92" s="198"/>
    </row>
    <row r="93" spans="2:21">
      <c r="B93" s="194"/>
      <c r="C93" s="26"/>
      <c r="D93" s="26"/>
      <c r="E93" s="28"/>
      <c r="F93" s="195" t="str">
        <f t="shared" si="10"/>
        <v/>
      </c>
      <c r="G93" s="187" t="str">
        <f t="shared" si="11"/>
        <v/>
      </c>
      <c r="H93" s="186" t="str">
        <f t="shared" si="12"/>
        <v/>
      </c>
      <c r="I93" s="187" t="str">
        <f t="shared" si="16"/>
        <v/>
      </c>
      <c r="J93" s="186" t="str">
        <f t="shared" si="17"/>
        <v/>
      </c>
      <c r="K93" s="188" t="str">
        <f t="shared" si="18"/>
        <v/>
      </c>
      <c r="L93" s="189"/>
      <c r="M93" s="190"/>
      <c r="N93" s="190"/>
      <c r="O93" s="40" t="str">
        <f t="shared" si="13"/>
        <v/>
      </c>
      <c r="P93" s="26" t="str">
        <f>IF(E93="","",IF($D$6="Porsche","No",IF(IFERROR(E93*'Fee Summary'!$E$9,"TBC")&lt;30000,"No","Yes/No?")))</f>
        <v/>
      </c>
      <c r="Q93" s="196" t="str">
        <f>IF(O93="","",IF(AND($D$5=2025,OR(C93="Used Cars",C93="Aftersales")),-10%,IF(IFERROR(E93*'Fee Summary'!$E$9,"TBC")&lt;30000,"N/A - Campaign Less than €30k",IF(P93="No","N/A - Campaign Excluded",IF($D$6="Porsche",IF(O93="TBC","TBC",IF(O93&lt;-0.5,-0.5,IF(O93&gt;0.6,0.5,IF(O93&lt;0,O93,IF(O93&lt;0.1,0,O93-0.1))))),IF(O93="TBC","TBC",IF(O93&lt;-0.2,-0.2,IF(O93&gt;0.2,0.1,IF(O93&lt;0,O93,IF(O93&lt;0.1,0,O93-0.1))))))))))</f>
        <v/>
      </c>
      <c r="R93" s="197" t="str">
        <f t="shared" si="14"/>
        <v/>
      </c>
      <c r="S93" s="197" t="str">
        <f t="shared" si="19"/>
        <v/>
      </c>
      <c r="T93" s="197" t="str">
        <f t="shared" si="15"/>
        <v/>
      </c>
      <c r="U93" s="198"/>
    </row>
    <row r="94" spans="2:21">
      <c r="B94" s="194"/>
      <c r="C94" s="26"/>
      <c r="D94" s="26"/>
      <c r="E94" s="28"/>
      <c r="F94" s="195" t="str">
        <f t="shared" si="10"/>
        <v/>
      </c>
      <c r="G94" s="187" t="str">
        <f t="shared" si="11"/>
        <v/>
      </c>
      <c r="H94" s="186" t="str">
        <f t="shared" si="12"/>
        <v/>
      </c>
      <c r="I94" s="187" t="str">
        <f t="shared" si="16"/>
        <v/>
      </c>
      <c r="J94" s="186" t="str">
        <f t="shared" si="17"/>
        <v/>
      </c>
      <c r="K94" s="188" t="str">
        <f t="shared" si="18"/>
        <v/>
      </c>
      <c r="L94" s="189"/>
      <c r="M94" s="190"/>
      <c r="N94" s="190"/>
      <c r="O94" s="40" t="str">
        <f t="shared" si="13"/>
        <v/>
      </c>
      <c r="P94" s="26" t="str">
        <f>IF(E94="","",IF($D$6="Porsche","No",IF(IFERROR(E94*'Fee Summary'!$E$9,"TBC")&lt;30000,"No","Yes/No?")))</f>
        <v/>
      </c>
      <c r="Q94" s="196" t="str">
        <f>IF(O94="","",IF(AND($D$5=2025,OR(C94="Used Cars",C94="Aftersales")),-10%,IF(IFERROR(E94*'Fee Summary'!$E$9,"TBC")&lt;30000,"N/A - Campaign Less than €30k",IF(P94="No","N/A - Campaign Excluded",IF($D$6="Porsche",IF(O94="TBC","TBC",IF(O94&lt;-0.5,-0.5,IF(O94&gt;0.6,0.5,IF(O94&lt;0,O94,IF(O94&lt;0.1,0,O94-0.1))))),IF(O94="TBC","TBC",IF(O94&lt;-0.2,-0.2,IF(O94&gt;0.2,0.1,IF(O94&lt;0,O94,IF(O94&lt;0.1,0,O94-0.1))))))))))</f>
        <v/>
      </c>
      <c r="R94" s="197" t="str">
        <f t="shared" si="14"/>
        <v/>
      </c>
      <c r="S94" s="197" t="str">
        <f t="shared" si="19"/>
        <v/>
      </c>
      <c r="T94" s="197" t="str">
        <f t="shared" si="15"/>
        <v/>
      </c>
      <c r="U94" s="198"/>
    </row>
    <row r="95" spans="2:21">
      <c r="B95" s="194"/>
      <c r="C95" s="26"/>
      <c r="D95" s="26"/>
      <c r="E95" s="28"/>
      <c r="F95" s="195" t="str">
        <f t="shared" si="10"/>
        <v/>
      </c>
      <c r="G95" s="187" t="str">
        <f t="shared" si="11"/>
        <v/>
      </c>
      <c r="H95" s="186" t="str">
        <f t="shared" si="12"/>
        <v/>
      </c>
      <c r="I95" s="187" t="str">
        <f t="shared" si="16"/>
        <v/>
      </c>
      <c r="J95" s="186" t="str">
        <f t="shared" si="17"/>
        <v/>
      </c>
      <c r="K95" s="188" t="str">
        <f t="shared" si="18"/>
        <v/>
      </c>
      <c r="L95" s="189"/>
      <c r="M95" s="190"/>
      <c r="N95" s="190"/>
      <c r="O95" s="40" t="str">
        <f t="shared" si="13"/>
        <v/>
      </c>
      <c r="P95" s="26" t="str">
        <f>IF(E95="","",IF($D$6="Porsche","No",IF(IFERROR(E95*'Fee Summary'!$E$9,"TBC")&lt;30000,"No","Yes/No?")))</f>
        <v/>
      </c>
      <c r="Q95" s="196" t="str">
        <f>IF(O95="","",IF(AND($D$5=2025,OR(C95="Used Cars",C95="Aftersales")),-10%,IF(IFERROR(E95*'Fee Summary'!$E$9,"TBC")&lt;30000,"N/A - Campaign Less than €30k",IF(P95="No","N/A - Campaign Excluded",IF($D$6="Porsche",IF(O95="TBC","TBC",IF(O95&lt;-0.5,-0.5,IF(O95&gt;0.6,0.5,IF(O95&lt;0,O95,IF(O95&lt;0.1,0,O95-0.1))))),IF(O95="TBC","TBC",IF(O95&lt;-0.2,-0.2,IF(O95&gt;0.2,0.1,IF(O95&lt;0,O95,IF(O95&lt;0.1,0,O95-0.1))))))))))</f>
        <v/>
      </c>
      <c r="R95" s="197" t="str">
        <f t="shared" si="14"/>
        <v/>
      </c>
      <c r="S95" s="197" t="str">
        <f t="shared" si="19"/>
        <v/>
      </c>
      <c r="T95" s="197" t="str">
        <f t="shared" si="15"/>
        <v/>
      </c>
      <c r="U95" s="198"/>
    </row>
    <row r="96" spans="2:21">
      <c r="B96" s="194"/>
      <c r="C96" s="26"/>
      <c r="D96" s="26"/>
      <c r="E96" s="28"/>
      <c r="F96" s="195" t="str">
        <f t="shared" si="10"/>
        <v/>
      </c>
      <c r="G96" s="187" t="str">
        <f t="shared" si="11"/>
        <v/>
      </c>
      <c r="H96" s="186" t="str">
        <f t="shared" si="12"/>
        <v/>
      </c>
      <c r="I96" s="187" t="str">
        <f t="shared" si="16"/>
        <v/>
      </c>
      <c r="J96" s="186" t="str">
        <f t="shared" si="17"/>
        <v/>
      </c>
      <c r="K96" s="188" t="str">
        <f t="shared" si="18"/>
        <v/>
      </c>
      <c r="L96" s="189"/>
      <c r="M96" s="190"/>
      <c r="N96" s="190"/>
      <c r="O96" s="40" t="str">
        <f t="shared" si="13"/>
        <v/>
      </c>
      <c r="P96" s="26" t="str">
        <f>IF(E96="","",IF($D$6="Porsche","No",IF(IFERROR(E96*'Fee Summary'!$E$9,"TBC")&lt;30000,"No","Yes/No?")))</f>
        <v/>
      </c>
      <c r="Q96" s="196" t="str">
        <f>IF(O96="","",IF(AND($D$5=2025,OR(C96="Used Cars",C96="Aftersales")),-10%,IF(IFERROR(E96*'Fee Summary'!$E$9,"TBC")&lt;30000,"N/A - Campaign Less than €30k",IF(P96="No","N/A - Campaign Excluded",IF($D$6="Porsche",IF(O96="TBC","TBC",IF(O96&lt;-0.5,-0.5,IF(O96&gt;0.6,0.5,IF(O96&lt;0,O96,IF(O96&lt;0.1,0,O96-0.1))))),IF(O96="TBC","TBC",IF(O96&lt;-0.2,-0.2,IF(O96&gt;0.2,0.1,IF(O96&lt;0,O96,IF(O96&lt;0.1,0,O96-0.1))))))))))</f>
        <v/>
      </c>
      <c r="R96" s="197" t="str">
        <f t="shared" si="14"/>
        <v/>
      </c>
      <c r="S96" s="197" t="str">
        <f t="shared" si="19"/>
        <v/>
      </c>
      <c r="T96" s="197" t="str">
        <f t="shared" si="15"/>
        <v/>
      </c>
      <c r="U96" s="198"/>
    </row>
    <row r="97" spans="2:21">
      <c r="B97" s="194"/>
      <c r="C97" s="26"/>
      <c r="D97" s="26"/>
      <c r="E97" s="28"/>
      <c r="F97" s="195" t="str">
        <f t="shared" si="10"/>
        <v/>
      </c>
      <c r="G97" s="187" t="str">
        <f t="shared" si="11"/>
        <v/>
      </c>
      <c r="H97" s="186" t="str">
        <f t="shared" si="12"/>
        <v/>
      </c>
      <c r="I97" s="187" t="str">
        <f t="shared" si="16"/>
        <v/>
      </c>
      <c r="J97" s="186" t="str">
        <f t="shared" si="17"/>
        <v/>
      </c>
      <c r="K97" s="188" t="str">
        <f t="shared" si="18"/>
        <v/>
      </c>
      <c r="L97" s="189"/>
      <c r="M97" s="190"/>
      <c r="N97" s="190"/>
      <c r="O97" s="40" t="str">
        <f t="shared" si="13"/>
        <v/>
      </c>
      <c r="P97" s="26" t="str">
        <f>IF(E97="","",IF($D$6="Porsche","No",IF(IFERROR(E97*'Fee Summary'!$E$9,"TBC")&lt;30000,"No","Yes/No?")))</f>
        <v/>
      </c>
      <c r="Q97" s="196" t="str">
        <f>IF(O97="","",IF(AND($D$5=2025,OR(C97="Used Cars",C97="Aftersales")),-10%,IF(IFERROR(E97*'Fee Summary'!$E$9,"TBC")&lt;30000,"N/A - Campaign Less than €30k",IF(P97="No","N/A - Campaign Excluded",IF($D$6="Porsche",IF(O97="TBC","TBC",IF(O97&lt;-0.5,-0.5,IF(O97&gt;0.6,0.5,IF(O97&lt;0,O97,IF(O97&lt;0.1,0,O97-0.1))))),IF(O97="TBC","TBC",IF(O97&lt;-0.2,-0.2,IF(O97&gt;0.2,0.1,IF(O97&lt;0,O97,IF(O97&lt;0.1,0,O97-0.1))))))))))</f>
        <v/>
      </c>
      <c r="R97" s="197" t="str">
        <f t="shared" si="14"/>
        <v/>
      </c>
      <c r="S97" s="197" t="str">
        <f t="shared" si="19"/>
        <v/>
      </c>
      <c r="T97" s="197" t="str">
        <f t="shared" si="15"/>
        <v/>
      </c>
      <c r="U97" s="198"/>
    </row>
    <row r="98" spans="2:21">
      <c r="B98" s="194"/>
      <c r="C98" s="26"/>
      <c r="D98" s="26"/>
      <c r="E98" s="28"/>
      <c r="F98" s="195" t="str">
        <f t="shared" si="10"/>
        <v/>
      </c>
      <c r="G98" s="187" t="str">
        <f t="shared" si="11"/>
        <v/>
      </c>
      <c r="H98" s="186" t="str">
        <f t="shared" si="12"/>
        <v/>
      </c>
      <c r="I98" s="187" t="str">
        <f t="shared" si="16"/>
        <v/>
      </c>
      <c r="J98" s="186" t="str">
        <f t="shared" si="17"/>
        <v/>
      </c>
      <c r="K98" s="188" t="str">
        <f t="shared" si="18"/>
        <v/>
      </c>
      <c r="L98" s="189"/>
      <c r="M98" s="190"/>
      <c r="N98" s="190"/>
      <c r="O98" s="40" t="str">
        <f t="shared" si="13"/>
        <v/>
      </c>
      <c r="P98" s="26" t="str">
        <f>IF(E98="","",IF($D$6="Porsche","No",IF(IFERROR(E98*'Fee Summary'!$E$9,"TBC")&lt;30000,"No","Yes/No?")))</f>
        <v/>
      </c>
      <c r="Q98" s="196" t="str">
        <f>IF(O98="","",IF(AND($D$5=2025,OR(C98="Used Cars",C98="Aftersales")),-10%,IF(IFERROR(E98*'Fee Summary'!$E$9,"TBC")&lt;30000,"N/A - Campaign Less than €30k",IF(P98="No","N/A - Campaign Excluded",IF($D$6="Porsche",IF(O98="TBC","TBC",IF(O98&lt;-0.5,-0.5,IF(O98&gt;0.6,0.5,IF(O98&lt;0,O98,IF(O98&lt;0.1,0,O98-0.1))))),IF(O98="TBC","TBC",IF(O98&lt;-0.2,-0.2,IF(O98&gt;0.2,0.1,IF(O98&lt;0,O98,IF(O98&lt;0.1,0,O98-0.1))))))))))</f>
        <v/>
      </c>
      <c r="R98" s="197" t="str">
        <f t="shared" si="14"/>
        <v/>
      </c>
      <c r="S98" s="197" t="str">
        <f t="shared" si="19"/>
        <v/>
      </c>
      <c r="T98" s="197" t="str">
        <f t="shared" si="15"/>
        <v/>
      </c>
      <c r="U98" s="198"/>
    </row>
    <row r="99" spans="2:21">
      <c r="B99" s="194"/>
      <c r="C99" s="26"/>
      <c r="D99" s="26"/>
      <c r="E99" s="28"/>
      <c r="F99" s="195" t="str">
        <f t="shared" si="10"/>
        <v/>
      </c>
      <c r="G99" s="187" t="str">
        <f t="shared" si="11"/>
        <v/>
      </c>
      <c r="H99" s="186" t="str">
        <f t="shared" si="12"/>
        <v/>
      </c>
      <c r="I99" s="187" t="str">
        <f t="shared" si="16"/>
        <v/>
      </c>
      <c r="J99" s="186" t="str">
        <f t="shared" si="17"/>
        <v/>
      </c>
      <c r="K99" s="188" t="str">
        <f t="shared" si="18"/>
        <v/>
      </c>
      <c r="L99" s="189"/>
      <c r="M99" s="190"/>
      <c r="N99" s="190"/>
      <c r="O99" s="40" t="str">
        <f t="shared" si="13"/>
        <v/>
      </c>
      <c r="P99" s="26" t="str">
        <f>IF(E99="","",IF($D$6="Porsche","No",IF(IFERROR(E99*'Fee Summary'!$E$9,"TBC")&lt;30000,"No","Yes/No?")))</f>
        <v/>
      </c>
      <c r="Q99" s="196" t="str">
        <f>IF(O99="","",IF(AND($D$5=2025,OR(C99="Used Cars",C99="Aftersales")),-10%,IF(IFERROR(E99*'Fee Summary'!$E$9,"TBC")&lt;30000,"N/A - Campaign Less than €30k",IF(P99="No","N/A - Campaign Excluded",IF($D$6="Porsche",IF(O99="TBC","TBC",IF(O99&lt;-0.5,-0.5,IF(O99&gt;0.6,0.5,IF(O99&lt;0,O99,IF(O99&lt;0.1,0,O99-0.1))))),IF(O99="TBC","TBC",IF(O99&lt;-0.2,-0.2,IF(O99&gt;0.2,0.1,IF(O99&lt;0,O99,IF(O99&lt;0.1,0,O99-0.1))))))))))</f>
        <v/>
      </c>
      <c r="R99" s="197" t="str">
        <f t="shared" si="14"/>
        <v/>
      </c>
      <c r="S99" s="197" t="str">
        <f t="shared" si="19"/>
        <v/>
      </c>
      <c r="T99" s="197" t="str">
        <f t="shared" si="15"/>
        <v/>
      </c>
      <c r="U99" s="198"/>
    </row>
    <row r="100" spans="2:21">
      <c r="B100" s="194"/>
      <c r="C100" s="26"/>
      <c r="D100" s="26"/>
      <c r="E100" s="28"/>
      <c r="F100" s="195" t="str">
        <f t="shared" si="10"/>
        <v/>
      </c>
      <c r="G100" s="187" t="str">
        <f t="shared" si="11"/>
        <v/>
      </c>
      <c r="H100" s="186" t="str">
        <f t="shared" si="12"/>
        <v/>
      </c>
      <c r="I100" s="187" t="str">
        <f t="shared" si="16"/>
        <v/>
      </c>
      <c r="J100" s="186" t="str">
        <f t="shared" si="17"/>
        <v/>
      </c>
      <c r="K100" s="188" t="str">
        <f t="shared" si="18"/>
        <v/>
      </c>
      <c r="L100" s="189"/>
      <c r="M100" s="190"/>
      <c r="N100" s="190"/>
      <c r="O100" s="40" t="str">
        <f t="shared" si="13"/>
        <v/>
      </c>
      <c r="P100" s="26" t="str">
        <f>IF(E100="","",IF($D$6="Porsche","No",IF(IFERROR(E100*'Fee Summary'!$E$9,"TBC")&lt;30000,"No","Yes/No?")))</f>
        <v/>
      </c>
      <c r="Q100" s="196" t="str">
        <f>IF(O100="","",IF(AND($D$5=2025,OR(C100="Used Cars",C100="Aftersales")),-10%,IF(IFERROR(E100*'Fee Summary'!$E$9,"TBC")&lt;30000,"N/A - Campaign Less than €30k",IF(P100="No","N/A - Campaign Excluded",IF($D$6="Porsche",IF(O100="TBC","TBC",IF(O100&lt;-0.5,-0.5,IF(O100&gt;0.6,0.5,IF(O100&lt;0,O100,IF(O100&lt;0.1,0,O100-0.1))))),IF(O100="TBC","TBC",IF(O100&lt;-0.2,-0.2,IF(O100&gt;0.2,0.1,IF(O100&lt;0,O100,IF(O100&lt;0.1,0,O100-0.1))))))))))</f>
        <v/>
      </c>
      <c r="R100" s="197" t="str">
        <f t="shared" si="14"/>
        <v/>
      </c>
      <c r="S100" s="197" t="str">
        <f t="shared" si="19"/>
        <v/>
      </c>
      <c r="T100" s="197" t="str">
        <f t="shared" si="15"/>
        <v/>
      </c>
      <c r="U100" s="198"/>
    </row>
    <row r="101" spans="2:21">
      <c r="B101" s="194"/>
      <c r="C101" s="26"/>
      <c r="D101" s="26"/>
      <c r="E101" s="28"/>
      <c r="F101" s="195" t="str">
        <f t="shared" si="10"/>
        <v/>
      </c>
      <c r="G101" s="187" t="str">
        <f t="shared" si="11"/>
        <v/>
      </c>
      <c r="H101" s="186" t="str">
        <f t="shared" si="12"/>
        <v/>
      </c>
      <c r="I101" s="187" t="str">
        <f t="shared" si="16"/>
        <v/>
      </c>
      <c r="J101" s="186" t="str">
        <f t="shared" si="17"/>
        <v/>
      </c>
      <c r="K101" s="188" t="str">
        <f t="shared" si="18"/>
        <v/>
      </c>
      <c r="L101" s="189"/>
      <c r="M101" s="190"/>
      <c r="N101" s="190"/>
      <c r="O101" s="40" t="str">
        <f t="shared" si="13"/>
        <v/>
      </c>
      <c r="P101" s="26" t="str">
        <f>IF(E101="","",IF($D$6="Porsche","No",IF(IFERROR(E101*'Fee Summary'!$E$9,"TBC")&lt;30000,"No","Yes/No?")))</f>
        <v/>
      </c>
      <c r="Q101" s="196" t="str">
        <f>IF(O101="","",IF(AND($D$5=2025,OR(C101="Used Cars",C101="Aftersales")),-10%,IF(IFERROR(E101*'Fee Summary'!$E$9,"TBC")&lt;30000,"N/A - Campaign Less than €30k",IF(P101="No","N/A - Campaign Excluded",IF($D$6="Porsche",IF(O101="TBC","TBC",IF(O101&lt;-0.5,-0.5,IF(O101&gt;0.6,0.5,IF(O101&lt;0,O101,IF(O101&lt;0.1,0,O101-0.1))))),IF(O101="TBC","TBC",IF(O101&lt;-0.2,-0.2,IF(O101&gt;0.2,0.1,IF(O101&lt;0,O101,IF(O101&lt;0.1,0,O101-0.1))))))))))</f>
        <v/>
      </c>
      <c r="R101" s="197" t="str">
        <f t="shared" si="14"/>
        <v/>
      </c>
      <c r="S101" s="197" t="str">
        <f t="shared" si="19"/>
        <v/>
      </c>
      <c r="T101" s="197" t="str">
        <f t="shared" si="15"/>
        <v/>
      </c>
      <c r="U101" s="198"/>
    </row>
    <row r="102" spans="2:21">
      <c r="B102" s="194"/>
      <c r="C102" s="26"/>
      <c r="D102" s="26"/>
      <c r="E102" s="28"/>
      <c r="F102" s="195" t="str">
        <f t="shared" si="10"/>
        <v/>
      </c>
      <c r="G102" s="187" t="str">
        <f t="shared" si="11"/>
        <v/>
      </c>
      <c r="H102" s="186" t="str">
        <f t="shared" si="12"/>
        <v/>
      </c>
      <c r="I102" s="187" t="str">
        <f t="shared" si="16"/>
        <v/>
      </c>
      <c r="J102" s="186" t="str">
        <f t="shared" si="17"/>
        <v/>
      </c>
      <c r="K102" s="188" t="str">
        <f t="shared" si="18"/>
        <v/>
      </c>
      <c r="L102" s="189"/>
      <c r="M102" s="190"/>
      <c r="N102" s="190"/>
      <c r="O102" s="40" t="str">
        <f t="shared" si="13"/>
        <v/>
      </c>
      <c r="P102" s="26" t="str">
        <f>IF(E102="","",IF($D$6="Porsche","No",IF(IFERROR(E102*'Fee Summary'!$E$9,"TBC")&lt;30000,"No","Yes/No?")))</f>
        <v/>
      </c>
      <c r="Q102" s="196" t="str">
        <f>IF(O102="","",IF(AND($D$5=2025,OR(C102="Used Cars",C102="Aftersales")),-10%,IF(IFERROR(E102*'Fee Summary'!$E$9,"TBC")&lt;30000,"N/A - Campaign Less than €30k",IF(P102="No","N/A - Campaign Excluded",IF($D$6="Porsche",IF(O102="TBC","TBC",IF(O102&lt;-0.5,-0.5,IF(O102&gt;0.6,0.5,IF(O102&lt;0,O102,IF(O102&lt;0.1,0,O102-0.1))))),IF(O102="TBC","TBC",IF(O102&lt;-0.2,-0.2,IF(O102&gt;0.2,0.1,IF(O102&lt;0,O102,IF(O102&lt;0.1,0,O102-0.1))))))))))</f>
        <v/>
      </c>
      <c r="R102" s="197" t="str">
        <f t="shared" si="14"/>
        <v/>
      </c>
      <c r="S102" s="197" t="str">
        <f t="shared" si="19"/>
        <v/>
      </c>
      <c r="T102" s="197" t="str">
        <f t="shared" si="15"/>
        <v/>
      </c>
      <c r="U102" s="198"/>
    </row>
    <row r="103" spans="2:21">
      <c r="B103" s="194"/>
      <c r="C103" s="26"/>
      <c r="D103" s="26"/>
      <c r="E103" s="28"/>
      <c r="F103" s="195" t="str">
        <f t="shared" si="10"/>
        <v/>
      </c>
      <c r="G103" s="187" t="str">
        <f t="shared" si="11"/>
        <v/>
      </c>
      <c r="H103" s="186" t="str">
        <f t="shared" si="12"/>
        <v/>
      </c>
      <c r="I103" s="187" t="str">
        <f t="shared" si="16"/>
        <v/>
      </c>
      <c r="J103" s="186" t="str">
        <f t="shared" si="17"/>
        <v/>
      </c>
      <c r="K103" s="188" t="str">
        <f t="shared" si="18"/>
        <v/>
      </c>
      <c r="L103" s="189"/>
      <c r="M103" s="190"/>
      <c r="N103" s="190"/>
      <c r="O103" s="40" t="str">
        <f t="shared" si="13"/>
        <v/>
      </c>
      <c r="P103" s="26" t="str">
        <f>IF(E103="","",IF($D$6="Porsche","No",IF(IFERROR(E103*'Fee Summary'!$E$9,"TBC")&lt;30000,"No","Yes/No?")))</f>
        <v/>
      </c>
      <c r="Q103" s="196" t="str">
        <f>IF(O103="","",IF(AND($D$5=2025,OR(C103="Used Cars",C103="Aftersales")),-10%,IF(IFERROR(E103*'Fee Summary'!$E$9,"TBC")&lt;30000,"N/A - Campaign Less than €30k",IF(P103="No","N/A - Campaign Excluded",IF($D$6="Porsche",IF(O103="TBC","TBC",IF(O103&lt;-0.5,-0.5,IF(O103&gt;0.6,0.5,IF(O103&lt;0,O103,IF(O103&lt;0.1,0,O103-0.1))))),IF(O103="TBC","TBC",IF(O103&lt;-0.2,-0.2,IF(O103&gt;0.2,0.1,IF(O103&lt;0,O103,IF(O103&lt;0.1,0,O103-0.1))))))))))</f>
        <v/>
      </c>
      <c r="R103" s="197" t="str">
        <f t="shared" si="14"/>
        <v/>
      </c>
      <c r="S103" s="197" t="str">
        <f t="shared" si="19"/>
        <v/>
      </c>
      <c r="T103" s="197" t="str">
        <f t="shared" si="15"/>
        <v/>
      </c>
      <c r="U103" s="198"/>
    </row>
    <row r="104" spans="2:21">
      <c r="B104" s="194"/>
      <c r="C104" s="26"/>
      <c r="D104" s="26"/>
      <c r="E104" s="28"/>
      <c r="F104" s="195" t="str">
        <f t="shared" si="10"/>
        <v/>
      </c>
      <c r="G104" s="187" t="str">
        <f t="shared" si="11"/>
        <v/>
      </c>
      <c r="H104" s="186" t="str">
        <f t="shared" si="12"/>
        <v/>
      </c>
      <c r="I104" s="187" t="str">
        <f t="shared" si="16"/>
        <v/>
      </c>
      <c r="J104" s="186" t="str">
        <f t="shared" si="17"/>
        <v/>
      </c>
      <c r="K104" s="188" t="str">
        <f t="shared" si="18"/>
        <v/>
      </c>
      <c r="L104" s="189"/>
      <c r="M104" s="190"/>
      <c r="N104" s="190"/>
      <c r="O104" s="40" t="str">
        <f t="shared" si="13"/>
        <v/>
      </c>
      <c r="P104" s="26" t="str">
        <f>IF(E104="","",IF($D$6="Porsche","No",IF(IFERROR(E104*'Fee Summary'!$E$9,"TBC")&lt;30000,"No","Yes/No?")))</f>
        <v/>
      </c>
      <c r="Q104" s="196" t="str">
        <f>IF(O104="","",IF(AND($D$5=2025,OR(C104="Used Cars",C104="Aftersales")),-10%,IF(IFERROR(E104*'Fee Summary'!$E$9,"TBC")&lt;30000,"N/A - Campaign Less than €30k",IF(P104="No","N/A - Campaign Excluded",IF($D$6="Porsche",IF(O104="TBC","TBC",IF(O104&lt;-0.5,-0.5,IF(O104&gt;0.6,0.5,IF(O104&lt;0,O104,IF(O104&lt;0.1,0,O104-0.1))))),IF(O104="TBC","TBC",IF(O104&lt;-0.2,-0.2,IF(O104&gt;0.2,0.1,IF(O104&lt;0,O104,IF(O104&lt;0.1,0,O104-0.1))))))))))</f>
        <v/>
      </c>
      <c r="R104" s="197" t="str">
        <f t="shared" si="14"/>
        <v/>
      </c>
      <c r="S104" s="197" t="str">
        <f t="shared" si="19"/>
        <v/>
      </c>
      <c r="T104" s="197" t="str">
        <f t="shared" si="15"/>
        <v/>
      </c>
      <c r="U104" s="198"/>
    </row>
    <row r="105" spans="2:21">
      <c r="B105" s="194"/>
      <c r="C105" s="26"/>
      <c r="D105" s="26"/>
      <c r="E105" s="28"/>
      <c r="F105" s="195" t="str">
        <f t="shared" si="10"/>
        <v/>
      </c>
      <c r="G105" s="187" t="str">
        <f t="shared" si="11"/>
        <v/>
      </c>
      <c r="H105" s="186" t="str">
        <f t="shared" si="12"/>
        <v/>
      </c>
      <c r="I105" s="187" t="str">
        <f t="shared" si="16"/>
        <v/>
      </c>
      <c r="J105" s="186" t="str">
        <f t="shared" si="17"/>
        <v/>
      </c>
      <c r="K105" s="188" t="str">
        <f t="shared" si="18"/>
        <v/>
      </c>
      <c r="L105" s="189"/>
      <c r="M105" s="190"/>
      <c r="N105" s="190"/>
      <c r="O105" s="40" t="str">
        <f t="shared" si="13"/>
        <v/>
      </c>
      <c r="P105" s="26" t="str">
        <f>IF(E105="","",IF($D$6="Porsche","No",IF(IFERROR(E105*'Fee Summary'!$E$9,"TBC")&lt;30000,"No","Yes/No?")))</f>
        <v/>
      </c>
      <c r="Q105" s="196" t="str">
        <f>IF(O105="","",IF(AND($D$5=2025,OR(C105="Used Cars",C105="Aftersales")),-10%,IF(IFERROR(E105*'Fee Summary'!$E$9,"TBC")&lt;30000,"N/A - Campaign Less than €30k",IF(P105="No","N/A - Campaign Excluded",IF($D$6="Porsche",IF(O105="TBC","TBC",IF(O105&lt;-0.5,-0.5,IF(O105&gt;0.6,0.5,IF(O105&lt;0,O105,IF(O105&lt;0.1,0,O105-0.1))))),IF(O105="TBC","TBC",IF(O105&lt;-0.2,-0.2,IF(O105&gt;0.2,0.1,IF(O105&lt;0,O105,IF(O105&lt;0.1,0,O105-0.1))))))))))</f>
        <v/>
      </c>
      <c r="R105" s="197" t="str">
        <f t="shared" si="14"/>
        <v/>
      </c>
      <c r="S105" s="197" t="str">
        <f t="shared" si="19"/>
        <v/>
      </c>
      <c r="T105" s="197" t="str">
        <f t="shared" si="15"/>
        <v/>
      </c>
      <c r="U105" s="198"/>
    </row>
    <row r="106" spans="2:21">
      <c r="B106" s="194"/>
      <c r="C106" s="26"/>
      <c r="D106" s="26"/>
      <c r="E106" s="28"/>
      <c r="F106" s="195" t="str">
        <f t="shared" si="10"/>
        <v/>
      </c>
      <c r="G106" s="187" t="str">
        <f t="shared" si="11"/>
        <v/>
      </c>
      <c r="H106" s="186" t="str">
        <f t="shared" si="12"/>
        <v/>
      </c>
      <c r="I106" s="187" t="str">
        <f t="shared" si="16"/>
        <v/>
      </c>
      <c r="J106" s="186" t="str">
        <f t="shared" si="17"/>
        <v/>
      </c>
      <c r="K106" s="188" t="str">
        <f t="shared" si="18"/>
        <v/>
      </c>
      <c r="L106" s="189"/>
      <c r="M106" s="190"/>
      <c r="N106" s="190"/>
      <c r="O106" s="40" t="str">
        <f t="shared" si="13"/>
        <v/>
      </c>
      <c r="P106" s="26" t="str">
        <f>IF(E106="","",IF($D$6="Porsche","No",IF(IFERROR(E106*'Fee Summary'!$E$9,"TBC")&lt;30000,"No","Yes/No?")))</f>
        <v/>
      </c>
      <c r="Q106" s="196" t="str">
        <f>IF(O106="","",IF(AND($D$5=2025,OR(C106="Used Cars",C106="Aftersales")),-10%,IF(IFERROR(E106*'Fee Summary'!$E$9,"TBC")&lt;30000,"N/A - Campaign Less than €30k",IF(P106="No","N/A - Campaign Excluded",IF($D$6="Porsche",IF(O106="TBC","TBC",IF(O106&lt;-0.5,-0.5,IF(O106&gt;0.6,0.5,IF(O106&lt;0,O106,IF(O106&lt;0.1,0,O106-0.1))))),IF(O106="TBC","TBC",IF(O106&lt;-0.2,-0.2,IF(O106&gt;0.2,0.1,IF(O106&lt;0,O106,IF(O106&lt;0.1,0,O106-0.1))))))))))</f>
        <v/>
      </c>
      <c r="R106" s="197" t="str">
        <f t="shared" si="14"/>
        <v/>
      </c>
      <c r="S106" s="197" t="str">
        <f t="shared" si="19"/>
        <v/>
      </c>
      <c r="T106" s="197" t="str">
        <f t="shared" si="15"/>
        <v/>
      </c>
      <c r="U106" s="198"/>
    </row>
    <row r="107" spans="2:21">
      <c r="B107" s="194"/>
      <c r="C107" s="26"/>
      <c r="D107" s="26"/>
      <c r="E107" s="28"/>
      <c r="F107" s="195" t="str">
        <f t="shared" si="10"/>
        <v/>
      </c>
      <c r="G107" s="187" t="str">
        <f t="shared" si="11"/>
        <v/>
      </c>
      <c r="H107" s="186" t="str">
        <f t="shared" si="12"/>
        <v/>
      </c>
      <c r="I107" s="187" t="str">
        <f t="shared" si="16"/>
        <v/>
      </c>
      <c r="J107" s="186" t="str">
        <f t="shared" si="17"/>
        <v/>
      </c>
      <c r="K107" s="188" t="str">
        <f t="shared" si="18"/>
        <v/>
      </c>
      <c r="L107" s="189"/>
      <c r="M107" s="190"/>
      <c r="N107" s="190"/>
      <c r="O107" s="40" t="str">
        <f t="shared" si="13"/>
        <v/>
      </c>
      <c r="P107" s="26" t="str">
        <f>IF(E107="","",IF($D$6="Porsche","No",IF(IFERROR(E107*'Fee Summary'!$E$9,"TBC")&lt;30000,"No","Yes/No?")))</f>
        <v/>
      </c>
      <c r="Q107" s="196" t="str">
        <f>IF(O107="","",IF(AND($D$5=2025,OR(C107="Used Cars",C107="Aftersales")),-10%,IF(IFERROR(E107*'Fee Summary'!$E$9,"TBC")&lt;30000,"N/A - Campaign Less than €30k",IF(P107="No","N/A - Campaign Excluded",IF($D$6="Porsche",IF(O107="TBC","TBC",IF(O107&lt;-0.5,-0.5,IF(O107&gt;0.6,0.5,IF(O107&lt;0,O107,IF(O107&lt;0.1,0,O107-0.1))))),IF(O107="TBC","TBC",IF(O107&lt;-0.2,-0.2,IF(O107&gt;0.2,0.1,IF(O107&lt;0,O107,IF(O107&lt;0.1,0,O107-0.1))))))))))</f>
        <v/>
      </c>
      <c r="R107" s="197" t="str">
        <f t="shared" si="14"/>
        <v/>
      </c>
      <c r="S107" s="197" t="str">
        <f t="shared" si="19"/>
        <v/>
      </c>
      <c r="T107" s="197" t="str">
        <f t="shared" si="15"/>
        <v/>
      </c>
      <c r="U107" s="198"/>
    </row>
    <row r="108" spans="2:21">
      <c r="B108" s="194"/>
      <c r="C108" s="26"/>
      <c r="D108" s="26"/>
      <c r="E108" s="28"/>
      <c r="F108" s="195" t="str">
        <f t="shared" si="10"/>
        <v/>
      </c>
      <c r="G108" s="187" t="str">
        <f t="shared" si="11"/>
        <v/>
      </c>
      <c r="H108" s="186" t="str">
        <f t="shared" si="12"/>
        <v/>
      </c>
      <c r="I108" s="187" t="str">
        <f t="shared" si="16"/>
        <v/>
      </c>
      <c r="J108" s="186" t="str">
        <f t="shared" si="17"/>
        <v/>
      </c>
      <c r="K108" s="188" t="str">
        <f t="shared" si="18"/>
        <v/>
      </c>
      <c r="L108" s="189"/>
      <c r="M108" s="190"/>
      <c r="N108" s="190"/>
      <c r="O108" s="40" t="str">
        <f t="shared" si="13"/>
        <v/>
      </c>
      <c r="P108" s="26" t="str">
        <f>IF(E108="","",IF($D$6="Porsche","No",IF(IFERROR(E108*'Fee Summary'!$E$9,"TBC")&lt;30000,"No","Yes/No?")))</f>
        <v/>
      </c>
      <c r="Q108" s="196" t="str">
        <f>IF(O108="","",IF(AND($D$5=2025,OR(C108="Used Cars",C108="Aftersales")),-10%,IF(IFERROR(E108*'Fee Summary'!$E$9,"TBC")&lt;30000,"N/A - Campaign Less than €30k",IF(P108="No","N/A - Campaign Excluded",IF($D$6="Porsche",IF(O108="TBC","TBC",IF(O108&lt;-0.5,-0.5,IF(O108&gt;0.6,0.5,IF(O108&lt;0,O108,IF(O108&lt;0.1,0,O108-0.1))))),IF(O108="TBC","TBC",IF(O108&lt;-0.2,-0.2,IF(O108&gt;0.2,0.1,IF(O108&lt;0,O108,IF(O108&lt;0.1,0,O108-0.1))))))))))</f>
        <v/>
      </c>
      <c r="R108" s="197" t="str">
        <f t="shared" si="14"/>
        <v/>
      </c>
      <c r="S108" s="197" t="str">
        <f t="shared" si="19"/>
        <v/>
      </c>
      <c r="T108" s="197" t="str">
        <f t="shared" si="15"/>
        <v/>
      </c>
      <c r="U108" s="198"/>
    </row>
    <row r="109" spans="2:21">
      <c r="B109" s="194"/>
      <c r="C109" s="26"/>
      <c r="D109" s="26"/>
      <c r="E109" s="28"/>
      <c r="F109" s="195" t="str">
        <f t="shared" si="10"/>
        <v/>
      </c>
      <c r="G109" s="187" t="str">
        <f t="shared" si="11"/>
        <v/>
      </c>
      <c r="H109" s="186" t="str">
        <f t="shared" si="12"/>
        <v/>
      </c>
      <c r="I109" s="187" t="str">
        <f t="shared" si="16"/>
        <v/>
      </c>
      <c r="J109" s="186" t="str">
        <f t="shared" si="17"/>
        <v/>
      </c>
      <c r="K109" s="188" t="str">
        <f t="shared" si="18"/>
        <v/>
      </c>
      <c r="L109" s="189"/>
      <c r="M109" s="190"/>
      <c r="N109" s="190"/>
      <c r="O109" s="40" t="str">
        <f t="shared" si="13"/>
        <v/>
      </c>
      <c r="P109" s="26" t="str">
        <f>IF(E109="","",IF($D$6="Porsche","No",IF(IFERROR(E109*'Fee Summary'!$E$9,"TBC")&lt;30000,"No","Yes/No?")))</f>
        <v/>
      </c>
      <c r="Q109" s="196" t="str">
        <f>IF(O109="","",IF(AND($D$5=2025,OR(C109="Used Cars",C109="Aftersales")),-10%,IF(IFERROR(E109*'Fee Summary'!$E$9,"TBC")&lt;30000,"N/A - Campaign Less than €30k",IF(P109="No","N/A - Campaign Excluded",IF($D$6="Porsche",IF(O109="TBC","TBC",IF(O109&lt;-0.5,-0.5,IF(O109&gt;0.6,0.5,IF(O109&lt;0,O109,IF(O109&lt;0.1,0,O109-0.1))))),IF(O109="TBC","TBC",IF(O109&lt;-0.2,-0.2,IF(O109&gt;0.2,0.1,IF(O109&lt;0,O109,IF(O109&lt;0.1,0,O109-0.1))))))))))</f>
        <v/>
      </c>
      <c r="R109" s="197" t="str">
        <f t="shared" si="14"/>
        <v/>
      </c>
      <c r="S109" s="197" t="str">
        <f t="shared" si="19"/>
        <v/>
      </c>
      <c r="T109" s="197" t="str">
        <f t="shared" si="15"/>
        <v/>
      </c>
      <c r="U109" s="198"/>
    </row>
    <row r="110" spans="2:21">
      <c r="B110" s="194"/>
      <c r="C110" s="26"/>
      <c r="D110" s="26"/>
      <c r="E110" s="28"/>
      <c r="F110" s="195" t="str">
        <f t="shared" si="10"/>
        <v/>
      </c>
      <c r="G110" s="187" t="str">
        <f t="shared" si="11"/>
        <v/>
      </c>
      <c r="H110" s="186" t="str">
        <f t="shared" si="12"/>
        <v/>
      </c>
      <c r="I110" s="187" t="str">
        <f t="shared" si="16"/>
        <v/>
      </c>
      <c r="J110" s="186" t="str">
        <f t="shared" si="17"/>
        <v/>
      </c>
      <c r="K110" s="188" t="str">
        <f t="shared" si="18"/>
        <v/>
      </c>
      <c r="L110" s="189"/>
      <c r="M110" s="190"/>
      <c r="N110" s="190"/>
      <c r="O110" s="40" t="str">
        <f t="shared" si="13"/>
        <v/>
      </c>
      <c r="P110" s="26" t="str">
        <f>IF(E110="","",IF($D$6="Porsche","No",IF(IFERROR(E110*'Fee Summary'!$E$9,"TBC")&lt;30000,"No","Yes/No?")))</f>
        <v/>
      </c>
      <c r="Q110" s="196" t="str">
        <f>IF(O110="","",IF(AND($D$5=2025,OR(C110="Used Cars",C110="Aftersales")),-10%,IF(IFERROR(E110*'Fee Summary'!$E$9,"TBC")&lt;30000,"N/A - Campaign Less than €30k",IF(P110="No","N/A - Campaign Excluded",IF($D$6="Porsche",IF(O110="TBC","TBC",IF(O110&lt;-0.5,-0.5,IF(O110&gt;0.6,0.5,IF(O110&lt;0,O110,IF(O110&lt;0.1,0,O110-0.1))))),IF(O110="TBC","TBC",IF(O110&lt;-0.2,-0.2,IF(O110&gt;0.2,0.1,IF(O110&lt;0,O110,IF(O110&lt;0.1,0,O110-0.1))))))))))</f>
        <v/>
      </c>
      <c r="R110" s="197" t="str">
        <f t="shared" si="14"/>
        <v/>
      </c>
      <c r="S110" s="197" t="str">
        <f t="shared" si="19"/>
        <v/>
      </c>
      <c r="T110" s="197" t="str">
        <f t="shared" si="15"/>
        <v/>
      </c>
      <c r="U110" s="198"/>
    </row>
    <row r="111" spans="2:21">
      <c r="B111" s="194"/>
      <c r="C111" s="26"/>
      <c r="D111" s="26"/>
      <c r="E111" s="28"/>
      <c r="F111" s="195" t="str">
        <f t="shared" si="10"/>
        <v/>
      </c>
      <c r="G111" s="187" t="str">
        <f t="shared" si="11"/>
        <v/>
      </c>
      <c r="H111" s="186" t="str">
        <f t="shared" si="12"/>
        <v/>
      </c>
      <c r="I111" s="187" t="str">
        <f t="shared" si="16"/>
        <v/>
      </c>
      <c r="J111" s="186" t="str">
        <f t="shared" si="17"/>
        <v/>
      </c>
      <c r="K111" s="188" t="str">
        <f t="shared" si="18"/>
        <v/>
      </c>
      <c r="L111" s="189"/>
      <c r="M111" s="190"/>
      <c r="N111" s="190"/>
      <c r="O111" s="40" t="str">
        <f t="shared" si="13"/>
        <v/>
      </c>
      <c r="P111" s="26" t="str">
        <f>IF(E111="","",IF($D$6="Porsche","No",IF(IFERROR(E111*'Fee Summary'!$E$9,"TBC")&lt;30000,"No","Yes/No?")))</f>
        <v/>
      </c>
      <c r="Q111" s="196" t="str">
        <f>IF(O111="","",IF(AND($D$5=2025,OR(C111="Used Cars",C111="Aftersales")),-10%,IF(IFERROR(E111*'Fee Summary'!$E$9,"TBC")&lt;30000,"N/A - Campaign Less than €30k",IF(P111="No","N/A - Campaign Excluded",IF($D$6="Porsche",IF(O111="TBC","TBC",IF(O111&lt;-0.5,-0.5,IF(O111&gt;0.6,0.5,IF(O111&lt;0,O111,IF(O111&lt;0.1,0,O111-0.1))))),IF(O111="TBC","TBC",IF(O111&lt;-0.2,-0.2,IF(O111&gt;0.2,0.1,IF(O111&lt;0,O111,IF(O111&lt;0.1,0,O111-0.1))))))))))</f>
        <v/>
      </c>
      <c r="R111" s="197" t="str">
        <f t="shared" si="14"/>
        <v/>
      </c>
      <c r="S111" s="197" t="str">
        <f t="shared" si="19"/>
        <v/>
      </c>
      <c r="T111" s="197" t="str">
        <f t="shared" si="15"/>
        <v/>
      </c>
      <c r="U111" s="198"/>
    </row>
    <row r="112" spans="2:21">
      <c r="B112" s="194"/>
      <c r="C112" s="26"/>
      <c r="D112" s="26"/>
      <c r="E112" s="28"/>
      <c r="F112" s="195" t="str">
        <f t="shared" si="10"/>
        <v/>
      </c>
      <c r="G112" s="187" t="str">
        <f t="shared" si="11"/>
        <v/>
      </c>
      <c r="H112" s="186" t="str">
        <f t="shared" si="12"/>
        <v/>
      </c>
      <c r="I112" s="187" t="str">
        <f t="shared" si="16"/>
        <v/>
      </c>
      <c r="J112" s="186" t="str">
        <f t="shared" si="17"/>
        <v/>
      </c>
      <c r="K112" s="188" t="str">
        <f t="shared" si="18"/>
        <v/>
      </c>
      <c r="L112" s="189"/>
      <c r="M112" s="190"/>
      <c r="N112" s="190"/>
      <c r="O112" s="40" t="str">
        <f t="shared" si="13"/>
        <v/>
      </c>
      <c r="P112" s="26" t="str">
        <f>IF(E112="","",IF($D$6="Porsche","No",IF(IFERROR(E112*'Fee Summary'!$E$9,"TBC")&lt;30000,"No","Yes/No?")))</f>
        <v/>
      </c>
      <c r="Q112" s="196" t="str">
        <f>IF(O112="","",IF(AND($D$5=2025,OR(C112="Used Cars",C112="Aftersales")),-10%,IF(IFERROR(E112*'Fee Summary'!$E$9,"TBC")&lt;30000,"N/A - Campaign Less than €30k",IF(P112="No","N/A - Campaign Excluded",IF($D$6="Porsche",IF(O112="TBC","TBC",IF(O112&lt;-0.5,-0.5,IF(O112&gt;0.6,0.5,IF(O112&lt;0,O112,IF(O112&lt;0.1,0,O112-0.1))))),IF(O112="TBC","TBC",IF(O112&lt;-0.2,-0.2,IF(O112&gt;0.2,0.1,IF(O112&lt;0,O112,IF(O112&lt;0.1,0,O112-0.1))))))))))</f>
        <v/>
      </c>
      <c r="R112" s="197" t="str">
        <f t="shared" si="14"/>
        <v/>
      </c>
      <c r="S112" s="197" t="str">
        <f t="shared" si="19"/>
        <v/>
      </c>
      <c r="T112" s="197" t="str">
        <f t="shared" si="15"/>
        <v/>
      </c>
      <c r="U112" s="198"/>
    </row>
    <row r="113" spans="2:21">
      <c r="B113" s="194"/>
      <c r="C113" s="26"/>
      <c r="D113" s="26"/>
      <c r="E113" s="28"/>
      <c r="F113" s="195" t="str">
        <f t="shared" si="10"/>
        <v/>
      </c>
      <c r="G113" s="187" t="str">
        <f t="shared" si="11"/>
        <v/>
      </c>
      <c r="H113" s="186" t="str">
        <f t="shared" si="12"/>
        <v/>
      </c>
      <c r="I113" s="187" t="str">
        <f t="shared" si="16"/>
        <v/>
      </c>
      <c r="J113" s="186" t="str">
        <f t="shared" si="17"/>
        <v/>
      </c>
      <c r="K113" s="188" t="str">
        <f t="shared" si="18"/>
        <v/>
      </c>
      <c r="L113" s="189"/>
      <c r="M113" s="190"/>
      <c r="N113" s="190"/>
      <c r="O113" s="40" t="str">
        <f t="shared" si="13"/>
        <v/>
      </c>
      <c r="P113" s="26" t="str">
        <f>IF(E113="","",IF($D$6="Porsche","No",IF(IFERROR(E113*'Fee Summary'!$E$9,"TBC")&lt;30000,"No","Yes/No?")))</f>
        <v/>
      </c>
      <c r="Q113" s="196" t="str">
        <f>IF(O113="","",IF(AND($D$5=2025,OR(C113="Used Cars",C113="Aftersales")),-10%,IF(IFERROR(E113*'Fee Summary'!$E$9,"TBC")&lt;30000,"N/A - Campaign Less than €30k",IF(P113="No","N/A - Campaign Excluded",IF($D$6="Porsche",IF(O113="TBC","TBC",IF(O113&lt;-0.5,-0.5,IF(O113&gt;0.6,0.5,IF(O113&lt;0,O113,IF(O113&lt;0.1,0,O113-0.1))))),IF(O113="TBC","TBC",IF(O113&lt;-0.2,-0.2,IF(O113&gt;0.2,0.1,IF(O113&lt;0,O113,IF(O113&lt;0.1,0,O113-0.1))))))))))</f>
        <v/>
      </c>
      <c r="R113" s="197" t="str">
        <f t="shared" si="14"/>
        <v/>
      </c>
      <c r="S113" s="197" t="str">
        <f t="shared" si="19"/>
        <v/>
      </c>
      <c r="T113" s="197" t="str">
        <f t="shared" si="15"/>
        <v/>
      </c>
      <c r="U113" s="198"/>
    </row>
    <row r="114" spans="2:21">
      <c r="B114" s="194"/>
      <c r="C114" s="26"/>
      <c r="D114" s="26"/>
      <c r="E114" s="28"/>
      <c r="F114" s="195" t="str">
        <f t="shared" si="10"/>
        <v/>
      </c>
      <c r="G114" s="187" t="str">
        <f t="shared" si="11"/>
        <v/>
      </c>
      <c r="H114" s="186" t="str">
        <f t="shared" si="12"/>
        <v/>
      </c>
      <c r="I114" s="187" t="str">
        <f t="shared" si="16"/>
        <v/>
      </c>
      <c r="J114" s="186" t="str">
        <f t="shared" si="17"/>
        <v/>
      </c>
      <c r="K114" s="188" t="str">
        <f t="shared" si="18"/>
        <v/>
      </c>
      <c r="L114" s="189"/>
      <c r="M114" s="190"/>
      <c r="N114" s="190"/>
      <c r="O114" s="40" t="str">
        <f t="shared" si="13"/>
        <v/>
      </c>
      <c r="P114" s="26" t="str">
        <f>IF(E114="","",IF($D$6="Porsche","No",IF(IFERROR(E114*'Fee Summary'!$E$9,"TBC")&lt;30000,"No","Yes/No?")))</f>
        <v/>
      </c>
      <c r="Q114" s="196" t="str">
        <f>IF(O114="","",IF(AND($D$5=2025,OR(C114="Used Cars",C114="Aftersales")),-10%,IF(IFERROR(E114*'Fee Summary'!$E$9,"TBC")&lt;30000,"N/A - Campaign Less than €30k",IF(P114="No","N/A - Campaign Excluded",IF($D$6="Porsche",IF(O114="TBC","TBC",IF(O114&lt;-0.5,-0.5,IF(O114&gt;0.6,0.5,IF(O114&lt;0,O114,IF(O114&lt;0.1,0,O114-0.1))))),IF(O114="TBC","TBC",IF(O114&lt;-0.2,-0.2,IF(O114&gt;0.2,0.1,IF(O114&lt;0,O114,IF(O114&lt;0.1,0,O114-0.1))))))))))</f>
        <v/>
      </c>
      <c r="R114" s="197" t="str">
        <f t="shared" si="14"/>
        <v/>
      </c>
      <c r="S114" s="197" t="str">
        <f t="shared" si="19"/>
        <v/>
      </c>
      <c r="T114" s="197" t="str">
        <f t="shared" si="15"/>
        <v/>
      </c>
      <c r="U114" s="198"/>
    </row>
    <row r="115" spans="2:21">
      <c r="B115" s="194"/>
      <c r="C115" s="26"/>
      <c r="D115" s="26"/>
      <c r="E115" s="28"/>
      <c r="F115" s="195" t="str">
        <f t="shared" si="10"/>
        <v/>
      </c>
      <c r="G115" s="187" t="str">
        <f t="shared" si="11"/>
        <v/>
      </c>
      <c r="H115" s="186" t="str">
        <f t="shared" si="12"/>
        <v/>
      </c>
      <c r="I115" s="187" t="str">
        <f t="shared" si="16"/>
        <v/>
      </c>
      <c r="J115" s="186" t="str">
        <f t="shared" si="17"/>
        <v/>
      </c>
      <c r="K115" s="188" t="str">
        <f t="shared" si="18"/>
        <v/>
      </c>
      <c r="L115" s="189"/>
      <c r="M115" s="190"/>
      <c r="N115" s="190"/>
      <c r="O115" s="40" t="str">
        <f t="shared" si="13"/>
        <v/>
      </c>
      <c r="P115" s="26" t="str">
        <f>IF(E115="","",IF($D$6="Porsche","No",IF(IFERROR(E115*'Fee Summary'!$E$9,"TBC")&lt;30000,"No","Yes/No?")))</f>
        <v/>
      </c>
      <c r="Q115" s="196" t="str">
        <f>IF(O115="","",IF(AND($D$5=2025,OR(C115="Used Cars",C115="Aftersales")),-10%,IF(IFERROR(E115*'Fee Summary'!$E$9,"TBC")&lt;30000,"N/A - Campaign Less than €30k",IF(P115="No","N/A - Campaign Excluded",IF($D$6="Porsche",IF(O115="TBC","TBC",IF(O115&lt;-0.5,-0.5,IF(O115&gt;0.6,0.5,IF(O115&lt;0,O115,IF(O115&lt;0.1,0,O115-0.1))))),IF(O115="TBC","TBC",IF(O115&lt;-0.2,-0.2,IF(O115&gt;0.2,0.1,IF(O115&lt;0,O115,IF(O115&lt;0.1,0,O115-0.1))))))))))</f>
        <v/>
      </c>
      <c r="R115" s="197" t="str">
        <f t="shared" si="14"/>
        <v/>
      </c>
      <c r="S115" s="197" t="str">
        <f t="shared" si="19"/>
        <v/>
      </c>
      <c r="T115" s="197" t="str">
        <f t="shared" si="15"/>
        <v/>
      </c>
      <c r="U115" s="198"/>
    </row>
    <row r="116" spans="2:21">
      <c r="B116" s="194"/>
      <c r="C116" s="26"/>
      <c r="D116" s="26"/>
      <c r="E116" s="28"/>
      <c r="F116" s="195" t="str">
        <f t="shared" si="10"/>
        <v/>
      </c>
      <c r="G116" s="187" t="str">
        <f t="shared" si="11"/>
        <v/>
      </c>
      <c r="H116" s="186" t="str">
        <f t="shared" si="12"/>
        <v/>
      </c>
      <c r="I116" s="187" t="str">
        <f t="shared" si="16"/>
        <v/>
      </c>
      <c r="J116" s="186" t="str">
        <f t="shared" si="17"/>
        <v/>
      </c>
      <c r="K116" s="188" t="str">
        <f t="shared" si="18"/>
        <v/>
      </c>
      <c r="L116" s="189"/>
      <c r="M116" s="190"/>
      <c r="N116" s="190"/>
      <c r="O116" s="40" t="str">
        <f t="shared" si="13"/>
        <v/>
      </c>
      <c r="P116" s="26" t="str">
        <f>IF(E116="","",IF($D$6="Porsche","No",IF(IFERROR(E116*'Fee Summary'!$E$9,"TBC")&lt;30000,"No","Yes/No?")))</f>
        <v/>
      </c>
      <c r="Q116" s="196" t="str">
        <f>IF(O116="","",IF(AND($D$5=2025,OR(C116="Used Cars",C116="Aftersales")),-10%,IF(IFERROR(E116*'Fee Summary'!$E$9,"TBC")&lt;30000,"N/A - Campaign Less than €30k",IF(P116="No","N/A - Campaign Excluded",IF($D$6="Porsche",IF(O116="TBC","TBC",IF(O116&lt;-0.5,-0.5,IF(O116&gt;0.6,0.5,IF(O116&lt;0,O116,IF(O116&lt;0.1,0,O116-0.1))))),IF(O116="TBC","TBC",IF(O116&lt;-0.2,-0.2,IF(O116&gt;0.2,0.1,IF(O116&lt;0,O116,IF(O116&lt;0.1,0,O116-0.1))))))))))</f>
        <v/>
      </c>
      <c r="R116" s="197" t="str">
        <f t="shared" si="14"/>
        <v/>
      </c>
      <c r="S116" s="197" t="str">
        <f t="shared" si="19"/>
        <v/>
      </c>
      <c r="T116" s="197" t="str">
        <f t="shared" si="15"/>
        <v/>
      </c>
      <c r="U116" s="198"/>
    </row>
    <row r="117" spans="2:21">
      <c r="B117" s="194"/>
      <c r="C117" s="26"/>
      <c r="D117" s="26"/>
      <c r="E117" s="28"/>
      <c r="F117" s="195" t="str">
        <f t="shared" si="10"/>
        <v/>
      </c>
      <c r="G117" s="187" t="str">
        <f t="shared" si="11"/>
        <v/>
      </c>
      <c r="H117" s="186" t="str">
        <f t="shared" si="12"/>
        <v/>
      </c>
      <c r="I117" s="187" t="str">
        <f t="shared" si="16"/>
        <v/>
      </c>
      <c r="J117" s="186" t="str">
        <f t="shared" si="17"/>
        <v/>
      </c>
      <c r="K117" s="188" t="str">
        <f t="shared" si="18"/>
        <v/>
      </c>
      <c r="L117" s="189"/>
      <c r="M117" s="190"/>
      <c r="N117" s="190"/>
      <c r="O117" s="40" t="str">
        <f t="shared" si="13"/>
        <v/>
      </c>
      <c r="P117" s="26" t="str">
        <f>IF(E117="","",IF($D$6="Porsche","No",IF(IFERROR(E117*'Fee Summary'!$E$9,"TBC")&lt;30000,"No","Yes/No?")))</f>
        <v/>
      </c>
      <c r="Q117" s="196" t="str">
        <f>IF(O117="","",IF(AND($D$5=2025,OR(C117="Used Cars",C117="Aftersales")),-10%,IF(IFERROR(E117*'Fee Summary'!$E$9,"TBC")&lt;30000,"N/A - Campaign Less than €30k",IF(P117="No","N/A - Campaign Excluded",IF($D$6="Porsche",IF(O117="TBC","TBC",IF(O117&lt;-0.5,-0.5,IF(O117&gt;0.6,0.5,IF(O117&lt;0,O117,IF(O117&lt;0.1,0,O117-0.1))))),IF(O117="TBC","TBC",IF(O117&lt;-0.2,-0.2,IF(O117&gt;0.2,0.1,IF(O117&lt;0,O117,IF(O117&lt;0.1,0,O117-0.1))))))))))</f>
        <v/>
      </c>
      <c r="R117" s="197" t="str">
        <f t="shared" si="14"/>
        <v/>
      </c>
      <c r="S117" s="197" t="str">
        <f t="shared" si="19"/>
        <v/>
      </c>
      <c r="T117" s="197" t="str">
        <f t="shared" si="15"/>
        <v/>
      </c>
      <c r="U117" s="198"/>
    </row>
    <row r="118" spans="2:21">
      <c r="B118" s="194"/>
      <c r="C118" s="26"/>
      <c r="D118" s="26"/>
      <c r="E118" s="28"/>
      <c r="F118" s="195" t="str">
        <f t="shared" si="10"/>
        <v/>
      </c>
      <c r="G118" s="187" t="str">
        <f t="shared" si="11"/>
        <v/>
      </c>
      <c r="H118" s="186" t="str">
        <f t="shared" si="12"/>
        <v/>
      </c>
      <c r="I118" s="187" t="str">
        <f t="shared" si="16"/>
        <v/>
      </c>
      <c r="J118" s="186" t="str">
        <f t="shared" si="17"/>
        <v/>
      </c>
      <c r="K118" s="188" t="str">
        <f t="shared" si="18"/>
        <v/>
      </c>
      <c r="L118" s="189"/>
      <c r="M118" s="190"/>
      <c r="N118" s="190"/>
      <c r="O118" s="40" t="str">
        <f t="shared" si="13"/>
        <v/>
      </c>
      <c r="P118" s="26" t="str">
        <f>IF(E118="","",IF($D$6="Porsche","No",IF(IFERROR(E118*'Fee Summary'!$E$9,"TBC")&lt;30000,"No","Yes/No?")))</f>
        <v/>
      </c>
      <c r="Q118" s="196" t="str">
        <f>IF(O118="","",IF(AND($D$5=2025,OR(C118="Used Cars",C118="Aftersales")),-10%,IF(IFERROR(E118*'Fee Summary'!$E$9,"TBC")&lt;30000,"N/A - Campaign Less than €30k",IF(P118="No","N/A - Campaign Excluded",IF($D$6="Porsche",IF(O118="TBC","TBC",IF(O118&lt;-0.5,-0.5,IF(O118&gt;0.6,0.5,IF(O118&lt;0,O118,IF(O118&lt;0.1,0,O118-0.1))))),IF(O118="TBC","TBC",IF(O118&lt;-0.2,-0.2,IF(O118&gt;0.2,0.1,IF(O118&lt;0,O118,IF(O118&lt;0.1,0,O118-0.1))))))))))</f>
        <v/>
      </c>
      <c r="R118" s="197" t="str">
        <f t="shared" si="14"/>
        <v/>
      </c>
      <c r="S118" s="197" t="str">
        <f t="shared" si="19"/>
        <v/>
      </c>
      <c r="T118" s="197" t="str">
        <f t="shared" si="15"/>
        <v/>
      </c>
      <c r="U118" s="198"/>
    </row>
    <row r="119" spans="2:21">
      <c r="B119" s="194"/>
      <c r="C119" s="26"/>
      <c r="D119" s="26"/>
      <c r="E119" s="28"/>
      <c r="F119" s="195" t="str">
        <f t="shared" si="10"/>
        <v/>
      </c>
      <c r="G119" s="187" t="str">
        <f t="shared" si="11"/>
        <v/>
      </c>
      <c r="H119" s="186" t="str">
        <f t="shared" si="12"/>
        <v/>
      </c>
      <c r="I119" s="187" t="str">
        <f t="shared" si="16"/>
        <v/>
      </c>
      <c r="J119" s="186" t="str">
        <f t="shared" si="17"/>
        <v/>
      </c>
      <c r="K119" s="188" t="str">
        <f t="shared" si="18"/>
        <v/>
      </c>
      <c r="L119" s="189"/>
      <c r="M119" s="190"/>
      <c r="N119" s="190"/>
      <c r="O119" s="40" t="str">
        <f t="shared" si="13"/>
        <v/>
      </c>
      <c r="P119" s="26" t="str">
        <f>IF(E119="","",IF($D$6="Porsche","No",IF(IFERROR(E119*'Fee Summary'!$E$9,"TBC")&lt;30000,"No","Yes/No?")))</f>
        <v/>
      </c>
      <c r="Q119" s="196" t="str">
        <f>IF(O119="","",IF(AND($D$5=2025,OR(C119="Used Cars",C119="Aftersales")),-10%,IF(IFERROR(E119*'Fee Summary'!$E$9,"TBC")&lt;30000,"N/A - Campaign Less than €30k",IF(P119="No","N/A - Campaign Excluded",IF($D$6="Porsche",IF(O119="TBC","TBC",IF(O119&lt;-0.5,-0.5,IF(O119&gt;0.6,0.5,IF(O119&lt;0,O119,IF(O119&lt;0.1,0,O119-0.1))))),IF(O119="TBC","TBC",IF(O119&lt;-0.2,-0.2,IF(O119&gt;0.2,0.1,IF(O119&lt;0,O119,IF(O119&lt;0.1,0,O119-0.1))))))))))</f>
        <v/>
      </c>
      <c r="R119" s="197" t="str">
        <f t="shared" si="14"/>
        <v/>
      </c>
      <c r="S119" s="197" t="str">
        <f t="shared" si="19"/>
        <v/>
      </c>
      <c r="T119" s="197" t="str">
        <f t="shared" si="15"/>
        <v/>
      </c>
      <c r="U119" s="198"/>
    </row>
    <row r="120" spans="2:21">
      <c r="B120" s="194"/>
      <c r="C120" s="26"/>
      <c r="D120" s="26"/>
      <c r="E120" s="28"/>
      <c r="F120" s="195" t="str">
        <f t="shared" si="10"/>
        <v/>
      </c>
      <c r="G120" s="187" t="str">
        <f t="shared" si="11"/>
        <v/>
      </c>
      <c r="H120" s="186" t="str">
        <f t="shared" si="12"/>
        <v/>
      </c>
      <c r="I120" s="187" t="str">
        <f t="shared" si="16"/>
        <v/>
      </c>
      <c r="J120" s="186" t="str">
        <f t="shared" si="17"/>
        <v/>
      </c>
      <c r="K120" s="188" t="str">
        <f t="shared" si="18"/>
        <v/>
      </c>
      <c r="L120" s="189"/>
      <c r="M120" s="190"/>
      <c r="N120" s="190"/>
      <c r="O120" s="40" t="str">
        <f t="shared" si="13"/>
        <v/>
      </c>
      <c r="P120" s="26" t="str">
        <f>IF(E120="","",IF($D$6="Porsche","No",IF(IFERROR(E120*'Fee Summary'!$E$9,"TBC")&lt;30000,"No","Yes/No?")))</f>
        <v/>
      </c>
      <c r="Q120" s="196" t="str">
        <f>IF(O120="","",IF(AND($D$5=2025,OR(C120="Used Cars",C120="Aftersales")),-10%,IF(IFERROR(E120*'Fee Summary'!$E$9,"TBC")&lt;30000,"N/A - Campaign Less than €30k",IF(P120="No","N/A - Campaign Excluded",IF($D$6="Porsche",IF(O120="TBC","TBC",IF(O120&lt;-0.5,-0.5,IF(O120&gt;0.6,0.5,IF(O120&lt;0,O120,IF(O120&lt;0.1,0,O120-0.1))))),IF(O120="TBC","TBC",IF(O120&lt;-0.2,-0.2,IF(O120&gt;0.2,0.1,IF(O120&lt;0,O120,IF(O120&lt;0.1,0,O120-0.1))))))))))</f>
        <v/>
      </c>
      <c r="R120" s="197" t="str">
        <f t="shared" si="14"/>
        <v/>
      </c>
      <c r="S120" s="197" t="str">
        <f t="shared" si="19"/>
        <v/>
      </c>
      <c r="T120" s="197" t="str">
        <f t="shared" si="15"/>
        <v/>
      </c>
      <c r="U120" s="198"/>
    </row>
    <row r="121" spans="2:21">
      <c r="B121" s="194"/>
      <c r="C121" s="26"/>
      <c r="D121" s="26"/>
      <c r="E121" s="28"/>
      <c r="F121" s="195" t="str">
        <f t="shared" si="10"/>
        <v/>
      </c>
      <c r="G121" s="187" t="str">
        <f t="shared" si="11"/>
        <v/>
      </c>
      <c r="H121" s="186" t="str">
        <f t="shared" si="12"/>
        <v/>
      </c>
      <c r="I121" s="187" t="str">
        <f t="shared" si="16"/>
        <v/>
      </c>
      <c r="J121" s="186" t="str">
        <f t="shared" si="17"/>
        <v/>
      </c>
      <c r="K121" s="188" t="str">
        <f t="shared" si="18"/>
        <v/>
      </c>
      <c r="L121" s="189"/>
      <c r="M121" s="190"/>
      <c r="N121" s="190"/>
      <c r="O121" s="40" t="str">
        <f t="shared" si="13"/>
        <v/>
      </c>
      <c r="P121" s="26" t="str">
        <f>IF(E121="","",IF($D$6="Porsche","No",IF(IFERROR(E121*'Fee Summary'!$E$9,"TBC")&lt;30000,"No","Yes/No?")))</f>
        <v/>
      </c>
      <c r="Q121" s="196" t="str">
        <f>IF(O121="","",IF(AND($D$5=2025,OR(C121="Used Cars",C121="Aftersales")),-10%,IF(IFERROR(E121*'Fee Summary'!$E$9,"TBC")&lt;30000,"N/A - Campaign Less than €30k",IF(P121="No","N/A - Campaign Excluded",IF($D$6="Porsche",IF(O121="TBC","TBC",IF(O121&lt;-0.5,-0.5,IF(O121&gt;0.6,0.5,IF(O121&lt;0,O121,IF(O121&lt;0.1,0,O121-0.1))))),IF(O121="TBC","TBC",IF(O121&lt;-0.2,-0.2,IF(O121&gt;0.2,0.1,IF(O121&lt;0,O121,IF(O121&lt;0.1,0,O121-0.1))))))))))</f>
        <v/>
      </c>
      <c r="R121" s="197" t="str">
        <f t="shared" si="14"/>
        <v/>
      </c>
      <c r="S121" s="197" t="str">
        <f t="shared" si="19"/>
        <v/>
      </c>
      <c r="T121" s="197" t="str">
        <f t="shared" si="15"/>
        <v/>
      </c>
      <c r="U121" s="198"/>
    </row>
    <row r="122" spans="2:21">
      <c r="B122" s="199"/>
      <c r="C122" s="200"/>
      <c r="D122" s="200"/>
      <c r="E122" s="201"/>
      <c r="F122" s="202" t="str">
        <f t="shared" si="10"/>
        <v/>
      </c>
      <c r="G122" s="203" t="str">
        <f t="shared" si="11"/>
        <v/>
      </c>
      <c r="H122" s="204" t="str">
        <f t="shared" si="12"/>
        <v/>
      </c>
      <c r="I122" s="203" t="str">
        <f t="shared" si="16"/>
        <v/>
      </c>
      <c r="J122" s="204" t="str">
        <f t="shared" si="17"/>
        <v/>
      </c>
      <c r="K122" s="205" t="str">
        <f t="shared" si="18"/>
        <v/>
      </c>
      <c r="L122" s="206"/>
      <c r="M122" s="207"/>
      <c r="N122" s="207"/>
      <c r="O122" s="208" t="str">
        <f t="shared" si="13"/>
        <v/>
      </c>
      <c r="P122" s="209" t="str">
        <f>IF(E122="","",IF($D$6="Porsche","No",IF(IFERROR(E122*'Fee Summary'!$E$9,"TBC")&lt;30000,"No","Yes/No?")))</f>
        <v/>
      </c>
      <c r="Q122" s="210" t="str">
        <f>IF(O122="","",IF(AND($D$5=2025,OR(C122="Used Cars",C122="Aftersales")),-10%,IF(IFERROR(E122*'Fee Summary'!$E$9,"TBC")&lt;30000,"N/A - Campaign Less than €30k",IF(P122="No","N/A - Campaign Excluded",IF($D$6="Porsche",IF(O122="TBC","TBC",IF(O122&lt;-0.5,-0.5,IF(O122&gt;0.6,0.5,IF(O122&lt;0,O122,IF(O122&lt;0.1,0,O122-0.1))))),IF(O122="TBC","TBC",IF(O122&lt;-0.2,-0.2,IF(O122&gt;0.2,0.1,IF(O122&lt;0,O122,IF(O122&lt;0.1,0,O122-0.1))))))))))</f>
        <v/>
      </c>
      <c r="R122" s="211" t="str">
        <f t="shared" si="14"/>
        <v/>
      </c>
      <c r="S122" s="211" t="str">
        <f t="shared" si="19"/>
        <v/>
      </c>
      <c r="T122" s="211" t="str">
        <f t="shared" si="15"/>
        <v/>
      </c>
      <c r="U122" s="209"/>
    </row>
  </sheetData>
  <sheetProtection algorithmName="SHA-512" hashValue="RWBJNfEFcIXAfRs9GUIknRpPGez3VYSF0cnjVNdo+4pEpdicNi8W/siioZQtIsB0zLXeGtg+p+DQjXcthenPNw==" saltValue="nHb4F/TV0AWr01IPr5jtYQ==" spinCount="100000" sheet="1" formatColumns="0" formatRows="0" insertRows="0" autoFilter="0"/>
  <autoFilter ref="B22:U22" xr:uid="{A4D013A3-E936-4204-B353-AF77F2632423}"/>
  <mergeCells count="9">
    <mergeCell ref="J21:K21"/>
    <mergeCell ref="L21:P21"/>
    <mergeCell ref="Q21:U21"/>
    <mergeCell ref="B5:B8"/>
    <mergeCell ref="D17:E17"/>
    <mergeCell ref="D18:E18"/>
    <mergeCell ref="B21:E21"/>
    <mergeCell ref="F21:G21"/>
    <mergeCell ref="H21:I21"/>
  </mergeCells>
  <conditionalFormatting sqref="C9">
    <cfRule type="beginsWith" dxfId="1" priority="2" operator="beginsWith" text="Select">
      <formula>LEFT(C9,LEN("Select"))="Select"</formula>
    </cfRule>
  </conditionalFormatting>
  <conditionalFormatting sqref="D5:D7">
    <cfRule type="containsText" dxfId="0" priority="1" operator="containsText" text="Please complete summary tab">
      <formula>NOT(ISERROR(SEARCH("Please complete summary tab",D5)))</formula>
    </cfRule>
  </conditionalFormatting>
  <pageMargins left="0.7" right="0.7" top="0.75" bottom="0.75" header="0.3" footer="0.3"/>
  <pageSetup paperSize="9" orientation="portrait" r:id="rId1"/>
  <headerFooter>
    <oddFooter>&amp;C_x000D_&amp;1#&amp;"Aptos"&amp;10&amp;K000000 Confidential - Not for Public Consumption or Distribution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73E27F4F-242C-441A-80D2-8039561C78B6}">
          <x14:formula1>
            <xm:f>'Drop Downs'!$F$2:$F$12</xm:f>
          </x14:formula1>
          <xm:sqref>C9:C14</xm:sqref>
        </x14:dataValidation>
        <x14:dataValidation type="list" allowBlank="1" showInputMessage="1" showErrorMessage="1" xr:uid="{AC85FA56-970D-4FA0-BC4E-904DF46B54E8}">
          <x14:formula1>
            <xm:f>'Drop Downs'!$D$2:$D$4</xm:f>
          </x14:formula1>
          <xm:sqref>U23:U122 P23:P122</xm:sqref>
        </x14:dataValidation>
        <x14:dataValidation type="list" allowBlank="1" showInputMessage="1" showErrorMessage="1" xr:uid="{4ADA7F95-4AE0-482E-BA93-A1B2E03410E4}">
          <x14:formula1>
            <xm:f>'Drop Downs'!$K$2:$K$5</xm:f>
          </x14:formula1>
          <xm:sqref>C23:C122</xm:sqref>
        </x14:dataValidation>
        <x14:dataValidation type="list" allowBlank="1" showInputMessage="1" showErrorMessage="1" xr:uid="{B00509E5-2BF6-4F31-BDFA-77137C57526D}">
          <x14:formula1>
            <xm:f>'Drop Downs'!$J$2:$J$17</xm:f>
          </x14:formula1>
          <xm:sqref>D23:D122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61087-ACFF-49FA-A90A-DCEB40159E94}">
  <dimension ref="B2:L31"/>
  <sheetViews>
    <sheetView topLeftCell="A5" workbookViewId="0">
      <selection activeCell="J2" sqref="J2:J17"/>
    </sheetView>
  </sheetViews>
  <sheetFormatPr defaultRowHeight="14.45"/>
  <cols>
    <col min="7" max="7" width="16.42578125" style="213" customWidth="1"/>
  </cols>
  <sheetData>
    <row r="2" spans="2:12" ht="62.45" customHeight="1">
      <c r="B2" t="s">
        <v>231</v>
      </c>
      <c r="C2" t="s">
        <v>232</v>
      </c>
      <c r="D2" t="s">
        <v>116</v>
      </c>
      <c r="E2" t="s">
        <v>233</v>
      </c>
      <c r="F2" t="s">
        <v>234</v>
      </c>
      <c r="G2" s="213" t="e" vm="2">
        <v>#VALUE!</v>
      </c>
      <c r="I2" t="s">
        <v>45</v>
      </c>
      <c r="J2" t="s">
        <v>235</v>
      </c>
      <c r="K2" t="s">
        <v>236</v>
      </c>
      <c r="L2" t="s">
        <v>237</v>
      </c>
    </row>
    <row r="3" spans="2:12" ht="62.45" customHeight="1">
      <c r="B3" t="s">
        <v>238</v>
      </c>
      <c r="C3">
        <v>2025</v>
      </c>
      <c r="D3" t="s">
        <v>224</v>
      </c>
      <c r="E3" t="s">
        <v>113</v>
      </c>
      <c r="F3" t="s">
        <v>239</v>
      </c>
      <c r="G3" s="213" t="e" vm="2">
        <v>#VALUE!</v>
      </c>
      <c r="I3" t="s">
        <v>240</v>
      </c>
      <c r="J3" t="s">
        <v>241</v>
      </c>
      <c r="K3" t="s">
        <v>227</v>
      </c>
      <c r="L3" t="s">
        <v>242</v>
      </c>
    </row>
    <row r="4" spans="2:12" ht="62.45" customHeight="1">
      <c r="B4" t="s">
        <v>243</v>
      </c>
      <c r="C4">
        <v>2026</v>
      </c>
      <c r="D4" t="s">
        <v>223</v>
      </c>
      <c r="E4" t="s">
        <v>244</v>
      </c>
      <c r="F4" t="s">
        <v>245</v>
      </c>
      <c r="G4" s="213" t="e" vm="3">
        <v>#VALUE!</v>
      </c>
      <c r="I4" t="s">
        <v>246</v>
      </c>
      <c r="J4" t="s">
        <v>247</v>
      </c>
      <c r="K4" t="s">
        <v>220</v>
      </c>
      <c r="L4" t="s">
        <v>248</v>
      </c>
    </row>
    <row r="5" spans="2:12" ht="62.45" customHeight="1">
      <c r="B5" t="s">
        <v>41</v>
      </c>
      <c r="C5">
        <v>2027</v>
      </c>
      <c r="D5" t="s">
        <v>249</v>
      </c>
      <c r="F5" t="s">
        <v>250</v>
      </c>
      <c r="G5" s="213" t="e" vm="4">
        <v>#VALUE!</v>
      </c>
      <c r="I5" t="s">
        <v>251</v>
      </c>
      <c r="J5" t="s">
        <v>252</v>
      </c>
      <c r="K5" t="s">
        <v>225</v>
      </c>
      <c r="L5" t="s">
        <v>253</v>
      </c>
    </row>
    <row r="6" spans="2:12" ht="62.45" customHeight="1">
      <c r="B6" t="s">
        <v>254</v>
      </c>
      <c r="C6">
        <v>2028</v>
      </c>
      <c r="F6" t="s">
        <v>255</v>
      </c>
      <c r="G6" s="213" t="e" vm="5">
        <v>#VALUE!</v>
      </c>
      <c r="J6" t="s">
        <v>256</v>
      </c>
      <c r="L6" t="s">
        <v>257</v>
      </c>
    </row>
    <row r="7" spans="2:12" ht="62.45" customHeight="1">
      <c r="B7" t="s">
        <v>258</v>
      </c>
      <c r="C7">
        <v>2029</v>
      </c>
      <c r="F7" t="s">
        <v>259</v>
      </c>
      <c r="G7" s="213" t="e" vm="6">
        <v>#VALUE!</v>
      </c>
      <c r="J7" t="s">
        <v>260</v>
      </c>
      <c r="L7" t="s">
        <v>261</v>
      </c>
    </row>
    <row r="8" spans="2:12" ht="62.45" customHeight="1">
      <c r="B8" t="s">
        <v>262</v>
      </c>
      <c r="C8">
        <v>2030</v>
      </c>
      <c r="F8" t="s">
        <v>263</v>
      </c>
      <c r="G8" s="213" t="e" vm="6">
        <v>#VALUE!</v>
      </c>
      <c r="J8" t="s">
        <v>228</v>
      </c>
      <c r="L8" t="s">
        <v>264</v>
      </c>
    </row>
    <row r="9" spans="2:12" ht="62.45" customHeight="1">
      <c r="B9" t="s">
        <v>265</v>
      </c>
      <c r="F9" t="s">
        <v>39</v>
      </c>
      <c r="G9" s="213" t="e" vm="7">
        <v>#VALUE!</v>
      </c>
      <c r="J9" t="s">
        <v>266</v>
      </c>
      <c r="L9" t="s">
        <v>267</v>
      </c>
    </row>
    <row r="10" spans="2:12" ht="62.45" customHeight="1">
      <c r="B10" t="s">
        <v>268</v>
      </c>
      <c r="F10" t="s">
        <v>269</v>
      </c>
      <c r="G10" s="23" t="e" vm="8">
        <v>#VALUE!</v>
      </c>
      <c r="J10" t="s">
        <v>270</v>
      </c>
      <c r="L10" t="s">
        <v>271</v>
      </c>
    </row>
    <row r="11" spans="2:12" ht="62.45" customHeight="1">
      <c r="B11" t="s">
        <v>272</v>
      </c>
      <c r="F11" t="s">
        <v>273</v>
      </c>
      <c r="G11" s="213" t="e" vm="9">
        <v>#VALUE!</v>
      </c>
      <c r="J11" t="s">
        <v>274</v>
      </c>
      <c r="L11" t="s">
        <v>275</v>
      </c>
    </row>
    <row r="12" spans="2:12">
      <c r="B12" t="s">
        <v>276</v>
      </c>
      <c r="F12" t="s">
        <v>277</v>
      </c>
      <c r="G12" s="213" t="e" vm="10">
        <v>#VALUE!</v>
      </c>
      <c r="J12" t="s">
        <v>278</v>
      </c>
    </row>
    <row r="13" spans="2:12">
      <c r="B13" t="s">
        <v>279</v>
      </c>
      <c r="J13" t="s">
        <v>280</v>
      </c>
    </row>
    <row r="14" spans="2:12">
      <c r="B14" t="s">
        <v>281</v>
      </c>
      <c r="J14" t="s">
        <v>221</v>
      </c>
    </row>
    <row r="15" spans="2:12">
      <c r="B15" t="s">
        <v>282</v>
      </c>
      <c r="J15" t="s">
        <v>230</v>
      </c>
    </row>
    <row r="16" spans="2:12">
      <c r="B16" t="s">
        <v>283</v>
      </c>
      <c r="J16" t="s">
        <v>284</v>
      </c>
    </row>
    <row r="17" spans="2:10">
      <c r="B17" t="s">
        <v>285</v>
      </c>
      <c r="J17" t="s">
        <v>286</v>
      </c>
    </row>
    <row r="18" spans="2:10">
      <c r="B18" t="s">
        <v>287</v>
      </c>
    </row>
    <row r="19" spans="2:10">
      <c r="B19" t="s">
        <v>288</v>
      </c>
    </row>
    <row r="20" spans="2:10">
      <c r="B20" t="s">
        <v>289</v>
      </c>
    </row>
    <row r="21" spans="2:10">
      <c r="B21" t="s">
        <v>290</v>
      </c>
    </row>
    <row r="22" spans="2:10">
      <c r="B22" t="s">
        <v>291</v>
      </c>
    </row>
    <row r="23" spans="2:10">
      <c r="B23" t="s">
        <v>292</v>
      </c>
    </row>
    <row r="24" spans="2:10">
      <c r="B24" t="s">
        <v>293</v>
      </c>
    </row>
    <row r="25" spans="2:10">
      <c r="B25" t="s">
        <v>294</v>
      </c>
    </row>
    <row r="26" spans="2:10">
      <c r="B26" t="s">
        <v>295</v>
      </c>
    </row>
    <row r="27" spans="2:10">
      <c r="B27" t="s">
        <v>296</v>
      </c>
    </row>
    <row r="28" spans="2:10">
      <c r="B28" t="s">
        <v>297</v>
      </c>
    </row>
    <row r="29" spans="2:10">
      <c r="B29" t="s">
        <v>298</v>
      </c>
    </row>
    <row r="30" spans="2:10">
      <c r="B30" t="s">
        <v>299</v>
      </c>
    </row>
    <row r="31" spans="2:10">
      <c r="B31" t="s">
        <v>300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2A58-7222-4E10-B0A7-99523EED4905}">
  <sheetPr>
    <pageSetUpPr autoPageBreaks="0"/>
  </sheetPr>
  <dimension ref="B2:M45"/>
  <sheetViews>
    <sheetView showGridLines="0" workbookViewId="0"/>
  </sheetViews>
  <sheetFormatPr defaultRowHeight="14.45"/>
  <cols>
    <col min="2" max="2" width="25.140625" bestFit="1" customWidth="1"/>
    <col min="3" max="3" width="16.5703125" bestFit="1" customWidth="1"/>
    <col min="4" max="4" width="7.85546875" bestFit="1" customWidth="1"/>
    <col min="5" max="5" width="15.140625" customWidth="1"/>
  </cols>
  <sheetData>
    <row r="2" spans="2:13">
      <c r="E2" s="214" t="s">
        <v>301</v>
      </c>
    </row>
    <row r="3" spans="2:13" ht="29.1" customHeight="1">
      <c r="B3" s="138" t="s">
        <v>302</v>
      </c>
      <c r="C3" s="138" t="s">
        <v>303</v>
      </c>
      <c r="D3" s="138" t="s">
        <v>304</v>
      </c>
      <c r="E3" s="215" t="s">
        <v>305</v>
      </c>
      <c r="H3" s="20"/>
      <c r="I3" s="20"/>
      <c r="J3" s="20"/>
      <c r="K3" s="20"/>
      <c r="L3" s="20"/>
      <c r="M3" s="20"/>
    </row>
    <row r="4" spans="2:13" ht="14.45" customHeight="1">
      <c r="B4" s="216" t="s">
        <v>238</v>
      </c>
      <c r="C4" s="216" t="s">
        <v>306</v>
      </c>
      <c r="D4" s="216" t="s">
        <v>307</v>
      </c>
      <c r="E4" s="217">
        <v>0.71</v>
      </c>
      <c r="H4" s="20"/>
      <c r="I4" s="20"/>
      <c r="J4" s="20"/>
      <c r="K4" s="20"/>
      <c r="L4" s="20"/>
      <c r="M4" s="20"/>
    </row>
    <row r="5" spans="2:13" ht="14.45" customHeight="1">
      <c r="B5" s="216" t="s">
        <v>243</v>
      </c>
      <c r="C5" s="216" t="s">
        <v>308</v>
      </c>
      <c r="D5" s="216" t="s">
        <v>309</v>
      </c>
      <c r="E5" s="217">
        <v>9.4315000000000002E-4</v>
      </c>
      <c r="H5" s="20"/>
      <c r="I5" s="20"/>
      <c r="J5" s="20"/>
      <c r="K5" s="20"/>
      <c r="L5" s="20"/>
      <c r="M5" s="20"/>
    </row>
    <row r="6" spans="2:13" ht="14.45" customHeight="1">
      <c r="B6" s="216" t="s">
        <v>41</v>
      </c>
      <c r="C6" s="216" t="s">
        <v>306</v>
      </c>
      <c r="D6" s="216" t="s">
        <v>310</v>
      </c>
      <c r="E6" s="217">
        <v>0.62</v>
      </c>
      <c r="H6" s="20"/>
      <c r="I6" s="20"/>
      <c r="J6" s="20"/>
      <c r="K6" s="20"/>
      <c r="L6" s="20"/>
      <c r="M6" s="20"/>
    </row>
    <row r="7" spans="2:13" ht="14.45" customHeight="1">
      <c r="B7" s="216" t="s">
        <v>254</v>
      </c>
      <c r="C7" s="216" t="s">
        <v>311</v>
      </c>
      <c r="D7" s="216" t="s">
        <v>48</v>
      </c>
      <c r="E7" s="217">
        <v>1</v>
      </c>
      <c r="H7" s="20"/>
      <c r="I7" s="20"/>
      <c r="J7" s="20"/>
      <c r="K7" s="20"/>
      <c r="L7" s="20"/>
      <c r="M7" s="20"/>
    </row>
    <row r="8" spans="2:13" ht="14.45" customHeight="1">
      <c r="B8" s="216" t="s">
        <v>258</v>
      </c>
      <c r="C8" s="216" t="s">
        <v>306</v>
      </c>
      <c r="D8" s="216" t="s">
        <v>312</v>
      </c>
      <c r="E8" s="217">
        <v>0.68</v>
      </c>
      <c r="H8" s="20"/>
      <c r="I8" s="20"/>
      <c r="J8" s="20"/>
      <c r="K8" s="20"/>
      <c r="L8" s="20"/>
      <c r="M8" s="20"/>
    </row>
    <row r="9" spans="2:13" ht="14.45" customHeight="1">
      <c r="B9" s="216" t="s">
        <v>262</v>
      </c>
      <c r="C9" s="216" t="s">
        <v>313</v>
      </c>
      <c r="D9" s="216" t="s">
        <v>48</v>
      </c>
      <c r="E9" s="217">
        <v>1</v>
      </c>
      <c r="H9" s="20"/>
      <c r="I9" s="20"/>
      <c r="J9" s="20"/>
      <c r="K9" s="20"/>
      <c r="L9" s="20"/>
      <c r="M9" s="20"/>
    </row>
    <row r="10" spans="2:13" ht="14.45" customHeight="1">
      <c r="B10" s="216" t="s">
        <v>268</v>
      </c>
      <c r="C10" s="216" t="s">
        <v>314</v>
      </c>
      <c r="D10" s="216" t="s">
        <v>315</v>
      </c>
      <c r="E10" s="217">
        <v>0.13</v>
      </c>
      <c r="H10" s="20"/>
      <c r="I10" s="20"/>
      <c r="J10" s="20"/>
      <c r="K10" s="20"/>
      <c r="L10" s="20"/>
      <c r="M10" s="20"/>
    </row>
    <row r="11" spans="2:13" ht="14.45" customHeight="1">
      <c r="B11" s="216" t="s">
        <v>272</v>
      </c>
      <c r="C11" s="216" t="s">
        <v>316</v>
      </c>
      <c r="D11" s="216" t="s">
        <v>317</v>
      </c>
      <c r="E11" s="217">
        <v>0.04</v>
      </c>
      <c r="H11" s="20"/>
      <c r="I11" s="20"/>
      <c r="J11" s="20"/>
      <c r="K11" s="20"/>
      <c r="L11" s="20"/>
      <c r="M11" s="20"/>
    </row>
    <row r="12" spans="2:13" ht="14.45" customHeight="1">
      <c r="B12" s="216" t="s">
        <v>276</v>
      </c>
      <c r="C12" s="216" t="s">
        <v>313</v>
      </c>
      <c r="D12" s="216" t="s">
        <v>48</v>
      </c>
      <c r="E12" s="217">
        <v>1</v>
      </c>
      <c r="H12" s="20"/>
      <c r="I12" s="20"/>
      <c r="J12" s="20"/>
      <c r="K12" s="20"/>
      <c r="L12" s="20"/>
      <c r="M12" s="20"/>
    </row>
    <row r="13" spans="2:13">
      <c r="B13" s="216" t="s">
        <v>279</v>
      </c>
      <c r="C13" s="216" t="s">
        <v>313</v>
      </c>
      <c r="D13" s="216" t="s">
        <v>48</v>
      </c>
      <c r="E13" s="217">
        <v>1</v>
      </c>
    </row>
    <row r="14" spans="2:13">
      <c r="B14" s="216" t="s">
        <v>318</v>
      </c>
      <c r="C14" s="216" t="s">
        <v>306</v>
      </c>
      <c r="D14" s="216" t="s">
        <v>319</v>
      </c>
      <c r="E14" s="217">
        <v>0.12</v>
      </c>
    </row>
    <row r="15" spans="2:13">
      <c r="B15" s="216" t="s">
        <v>281</v>
      </c>
      <c r="C15" s="216" t="s">
        <v>320</v>
      </c>
      <c r="D15" s="216" t="s">
        <v>321</v>
      </c>
      <c r="E15" s="217">
        <v>0.01</v>
      </c>
    </row>
    <row r="16" spans="2:13">
      <c r="B16" s="216" t="s">
        <v>282</v>
      </c>
      <c r="C16" s="216" t="s">
        <v>313</v>
      </c>
      <c r="D16" s="216" t="s">
        <v>48</v>
      </c>
      <c r="E16" s="217">
        <v>1</v>
      </c>
    </row>
    <row r="17" spans="2:5">
      <c r="B17" s="216" t="s">
        <v>283</v>
      </c>
      <c r="C17" s="216" t="s">
        <v>313</v>
      </c>
      <c r="D17" s="216" t="s">
        <v>48</v>
      </c>
      <c r="E17" s="217">
        <v>1</v>
      </c>
    </row>
    <row r="18" spans="2:5">
      <c r="B18" s="216" t="s">
        <v>322</v>
      </c>
      <c r="C18" s="216" t="s">
        <v>323</v>
      </c>
      <c r="D18" s="216" t="s">
        <v>324</v>
      </c>
      <c r="E18" s="217">
        <v>0.01</v>
      </c>
    </row>
    <row r="19" spans="2:5">
      <c r="B19" s="216" t="s">
        <v>285</v>
      </c>
      <c r="C19" s="216" t="s">
        <v>306</v>
      </c>
      <c r="D19" s="216" t="s">
        <v>325</v>
      </c>
      <c r="E19" s="217">
        <v>0.95</v>
      </c>
    </row>
    <row r="20" spans="2:5">
      <c r="B20" s="216" t="s">
        <v>326</v>
      </c>
      <c r="C20" s="216" t="s">
        <v>327</v>
      </c>
      <c r="D20" s="216" t="s">
        <v>328</v>
      </c>
      <c r="E20" s="217">
        <v>0.21</v>
      </c>
    </row>
    <row r="21" spans="2:5">
      <c r="B21" s="216" t="s">
        <v>287</v>
      </c>
      <c r="C21" s="216" t="s">
        <v>308</v>
      </c>
      <c r="D21" s="216" t="s">
        <v>329</v>
      </c>
      <c r="E21" s="217">
        <v>0.05</v>
      </c>
    </row>
    <row r="22" spans="2:5">
      <c r="B22" s="216" t="s">
        <v>288</v>
      </c>
      <c r="C22" s="216" t="s">
        <v>330</v>
      </c>
      <c r="D22" s="216" t="s">
        <v>325</v>
      </c>
      <c r="E22" s="217">
        <v>0.26</v>
      </c>
    </row>
    <row r="23" spans="2:5">
      <c r="B23" s="216" t="s">
        <v>289</v>
      </c>
      <c r="C23" s="216" t="s">
        <v>331</v>
      </c>
      <c r="D23" s="216" t="s">
        <v>332</v>
      </c>
      <c r="E23" s="217">
        <v>0.23</v>
      </c>
    </row>
    <row r="24" spans="2:5">
      <c r="B24" s="216" t="s">
        <v>333</v>
      </c>
      <c r="C24" s="216" t="s">
        <v>313</v>
      </c>
      <c r="D24" s="216" t="s">
        <v>48</v>
      </c>
      <c r="E24" s="217">
        <v>1</v>
      </c>
    </row>
    <row r="25" spans="2:5">
      <c r="B25" s="216" t="s">
        <v>290</v>
      </c>
      <c r="C25" s="216" t="s">
        <v>313</v>
      </c>
      <c r="D25" s="216" t="s">
        <v>48</v>
      </c>
      <c r="E25" s="217">
        <v>1</v>
      </c>
    </row>
    <row r="26" spans="2:5">
      <c r="B26" s="216" t="s">
        <v>334</v>
      </c>
      <c r="C26" s="216" t="s">
        <v>323</v>
      </c>
      <c r="D26" s="216" t="s">
        <v>324</v>
      </c>
      <c r="E26" s="217">
        <v>0.01</v>
      </c>
    </row>
    <row r="27" spans="2:5">
      <c r="B27" s="216" t="s">
        <v>291</v>
      </c>
      <c r="C27" s="216" t="s">
        <v>306</v>
      </c>
      <c r="D27" s="216" t="s">
        <v>307</v>
      </c>
      <c r="E27" s="217">
        <v>0.71</v>
      </c>
    </row>
    <row r="28" spans="2:5">
      <c r="B28" s="216" t="s">
        <v>292</v>
      </c>
      <c r="C28" s="216" t="s">
        <v>313</v>
      </c>
      <c r="D28" s="216" t="s">
        <v>48</v>
      </c>
      <c r="E28" s="217">
        <v>1</v>
      </c>
    </row>
    <row r="29" spans="2:5">
      <c r="B29" s="216" t="s">
        <v>293</v>
      </c>
      <c r="C29" s="216" t="s">
        <v>335</v>
      </c>
      <c r="D29" s="216" t="s">
        <v>336</v>
      </c>
      <c r="E29" s="217">
        <v>0.05</v>
      </c>
    </row>
    <row r="30" spans="2:5">
      <c r="B30" s="216" t="s">
        <v>294</v>
      </c>
      <c r="C30" s="216" t="s">
        <v>337</v>
      </c>
      <c r="D30" s="216" t="s">
        <v>338</v>
      </c>
      <c r="E30" s="217">
        <v>6.8132999999999996E-4</v>
      </c>
    </row>
    <row r="31" spans="2:5">
      <c r="B31" s="216" t="s">
        <v>295</v>
      </c>
      <c r="C31" s="216" t="s">
        <v>313</v>
      </c>
      <c r="D31" s="216" t="s">
        <v>48</v>
      </c>
      <c r="E31" s="217">
        <v>1</v>
      </c>
    </row>
    <row r="32" spans="2:5">
      <c r="B32" s="216" t="s">
        <v>296</v>
      </c>
      <c r="C32" s="216" t="s">
        <v>339</v>
      </c>
      <c r="D32" s="216" t="s">
        <v>340</v>
      </c>
      <c r="E32" s="217">
        <v>0.09</v>
      </c>
    </row>
    <row r="33" spans="2:5">
      <c r="B33" s="216" t="s">
        <v>297</v>
      </c>
      <c r="C33" s="216" t="s">
        <v>341</v>
      </c>
      <c r="D33" s="216" t="s">
        <v>342</v>
      </c>
      <c r="E33" s="217">
        <v>1.08</v>
      </c>
    </row>
    <row r="34" spans="2:5">
      <c r="B34" s="216" t="s">
        <v>298</v>
      </c>
      <c r="C34" s="216" t="s">
        <v>343</v>
      </c>
      <c r="D34" s="216" t="s">
        <v>344</v>
      </c>
      <c r="E34" s="217">
        <v>0.03</v>
      </c>
    </row>
    <row r="35" spans="2:5">
      <c r="B35" s="216" t="s">
        <v>299</v>
      </c>
      <c r="C35" s="216" t="s">
        <v>345</v>
      </c>
      <c r="D35" s="216" t="s">
        <v>346</v>
      </c>
      <c r="E35" s="217">
        <v>1.2</v>
      </c>
    </row>
    <row r="36" spans="2:5">
      <c r="B36" s="216" t="s">
        <v>300</v>
      </c>
      <c r="C36" s="216" t="s">
        <v>306</v>
      </c>
      <c r="D36" s="216" t="s">
        <v>325</v>
      </c>
      <c r="E36" s="217">
        <v>0.95</v>
      </c>
    </row>
    <row r="37" spans="2:5">
      <c r="B37" s="216" t="s">
        <v>347</v>
      </c>
      <c r="C37" s="216" t="s">
        <v>345</v>
      </c>
      <c r="D37" s="216" t="s">
        <v>346</v>
      </c>
      <c r="E37" s="217">
        <v>1.2</v>
      </c>
    </row>
    <row r="38" spans="2:5">
      <c r="B38" s="216" t="s">
        <v>348</v>
      </c>
      <c r="C38" s="216" t="s">
        <v>313</v>
      </c>
      <c r="D38" s="216" t="s">
        <v>48</v>
      </c>
      <c r="E38" s="217">
        <v>1</v>
      </c>
    </row>
    <row r="39" spans="2:5">
      <c r="B39" s="216" t="s">
        <v>349</v>
      </c>
      <c r="C39" s="216" t="s">
        <v>313</v>
      </c>
      <c r="D39" s="216" t="s">
        <v>48</v>
      </c>
      <c r="E39" s="217">
        <v>1</v>
      </c>
    </row>
    <row r="40" spans="2:5">
      <c r="B40" s="216" t="s">
        <v>350</v>
      </c>
      <c r="C40" s="216" t="s">
        <v>313</v>
      </c>
      <c r="D40" s="216" t="s">
        <v>48</v>
      </c>
      <c r="E40" s="217">
        <v>1</v>
      </c>
    </row>
    <row r="41" spans="2:5">
      <c r="B41" s="216" t="s">
        <v>351</v>
      </c>
      <c r="C41" s="216" t="s">
        <v>313</v>
      </c>
      <c r="D41" s="216" t="s">
        <v>48</v>
      </c>
      <c r="E41" s="217">
        <v>1</v>
      </c>
    </row>
    <row r="42" spans="2:5">
      <c r="B42" s="216" t="s">
        <v>352</v>
      </c>
      <c r="C42" s="216" t="s">
        <v>313</v>
      </c>
      <c r="D42" s="216" t="s">
        <v>48</v>
      </c>
      <c r="E42" s="217">
        <v>1</v>
      </c>
    </row>
    <row r="43" spans="2:5">
      <c r="B43" s="216" t="s">
        <v>353</v>
      </c>
      <c r="C43" s="216" t="s">
        <v>313</v>
      </c>
      <c r="D43" s="216" t="s">
        <v>48</v>
      </c>
      <c r="E43" s="217">
        <v>1</v>
      </c>
    </row>
    <row r="44" spans="2:5">
      <c r="B44" s="216" t="s">
        <v>333</v>
      </c>
      <c r="C44" s="216" t="s">
        <v>313</v>
      </c>
      <c r="D44" s="216" t="s">
        <v>48</v>
      </c>
      <c r="E44" s="217">
        <v>1</v>
      </c>
    </row>
    <row r="45" spans="2:5">
      <c r="B45" s="216" t="s">
        <v>354</v>
      </c>
      <c r="C45" s="216" t="s">
        <v>313</v>
      </c>
      <c r="D45" s="216" t="s">
        <v>48</v>
      </c>
      <c r="E45" s="217">
        <v>1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D442E2E338DB4480AAB4BB5F09CD64" ma:contentTypeVersion="21" ma:contentTypeDescription="Create a new document." ma:contentTypeScope="" ma:versionID="f23679f31a16d450c141026ee8608355">
  <xsd:schema xmlns:xsd="http://www.w3.org/2001/XMLSchema" xmlns:xs="http://www.w3.org/2001/XMLSchema" xmlns:p="http://schemas.microsoft.com/office/2006/metadata/properties" xmlns:ns1="http://schemas.microsoft.com/sharepoint/v3" xmlns:ns2="5f8bbd3f-dc60-49ed-83ed-82f39db1e2f9" xmlns:ns3="d6ad8e59-7571-4934-a37c-89ea5d6e564e" targetNamespace="http://schemas.microsoft.com/office/2006/metadata/properties" ma:root="true" ma:fieldsID="9d1b17effbbe4c4bd3fe3266529e8f30" ns1:_="" ns2:_="" ns3:_="">
    <xsd:import namespace="http://schemas.microsoft.com/sharepoint/v3"/>
    <xsd:import namespace="5f8bbd3f-dc60-49ed-83ed-82f39db1e2f9"/>
    <xsd:import namespace="d6ad8e59-7571-4934-a37c-89ea5d6e56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ClipDescrip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bbd3f-dc60-49ed-83ed-82f39db1e2f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36a257fb-28f5-49c4-92c3-d49665e8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lipDescription" ma:index="26" nillable="true" ma:displayName="Clip Description" ma:format="Dropdown" ma:internalName="ClipDescription">
      <xsd:simpleType>
        <xsd:restriction base="dms:Note">
          <xsd:maxLength value="255"/>
        </xsd:restriction>
      </xsd:simpleType>
    </xsd:element>
    <xsd:element name="_Flow_SignoffStatus" ma:index="27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d8e59-7571-4934-a37c-89ea5d6e56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054cbc7-2f3e-4ef8-b9a1-b809fd4c7c9a}" ma:internalName="TaxCatchAll" ma:showField="CatchAllData" ma:web="d6ad8e59-7571-4934-a37c-89ea5d6e56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8bbd3f-dc60-49ed-83ed-82f39db1e2f9">
      <Terms xmlns="http://schemas.microsoft.com/office/infopath/2007/PartnerControls"/>
    </lcf76f155ced4ddcb4097134ff3c332f>
    <TaxCatchAll xmlns="d6ad8e59-7571-4934-a37c-89ea5d6e564e" xsi:nil="true"/>
    <_ip_UnifiedCompliancePolicyUIAction xmlns="http://schemas.microsoft.com/sharepoint/v3" xsi:nil="true"/>
    <ClipDescription xmlns="5f8bbd3f-dc60-49ed-83ed-82f39db1e2f9" xsi:nil="true"/>
    <_ip_UnifiedCompliancePolicyProperties xmlns="http://schemas.microsoft.com/sharepoint/v3" xsi:nil="true"/>
    <_Flow_SignoffStatus xmlns="5f8bbd3f-dc60-49ed-83ed-82f39db1e2f9" xsi:nil="true"/>
  </documentManagement>
</p:properties>
</file>

<file path=customXml/itemProps1.xml><?xml version="1.0" encoding="utf-8"?>
<ds:datastoreItem xmlns:ds="http://schemas.openxmlformats.org/officeDocument/2006/customXml" ds:itemID="{3AB50A82-54C6-4C8E-96B7-9F37F8AC9843}"/>
</file>

<file path=customXml/itemProps2.xml><?xml version="1.0" encoding="utf-8"?>
<ds:datastoreItem xmlns:ds="http://schemas.openxmlformats.org/officeDocument/2006/customXml" ds:itemID="{0FA03D82-8A6B-44DB-9457-B730DF7B3A53}"/>
</file>

<file path=customXml/itemProps3.xml><?xml version="1.0" encoding="utf-8"?>
<ds:datastoreItem xmlns:ds="http://schemas.openxmlformats.org/officeDocument/2006/customXml" ds:itemID="{133217C4-4D8F-4416-A9A6-8850D65D3C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Alfie Hyland (Omnicom)</dc:creator>
  <cp:keywords/>
  <dc:description/>
  <cp:lastModifiedBy/>
  <cp:revision/>
  <dcterms:created xsi:type="dcterms:W3CDTF">2026-02-05T12:24:39Z</dcterms:created>
  <dcterms:modified xsi:type="dcterms:W3CDTF">2026-05-01T09:32:59Z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2026-02-05T12:24:40Z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aeb0241b-aec3-4937-a89b-dbd903eacc56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  <property fmtid="{D5CDD505-2E9C-101B-9397-08002B2CF9AE}" pid="10" name="ContentTypeId">
    <vt:lpwstr>0x0101002ED442E2E338DB4480AAB4BB5F09CD64</vt:lpwstr>
  </property>
</Properties>
</file>