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3.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4.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5.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6.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7.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8.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9.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20.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1.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comments2.xml" ContentType="application/vnd.openxmlformats-officedocument.spreadsheetml.comments+xml"/>
  <Override PartName="/xl/tables/table11.xml" ContentType="application/vnd.openxmlformats-officedocument.spreadsheetml.table+xml"/>
  <Override PartName="/xl/comments3.xml" ContentType="application/vnd.openxmlformats-officedocument.spreadsheetml.comments+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4.xml" ContentType="application/vnd.openxmlformats-officedocument.spreadsheetml.comments+xml"/>
  <Override PartName="/xl/tables/table17.xml" ContentType="application/vnd.openxmlformats-officedocument.spreadsheetml.table+xml"/>
  <Override PartName="/xl/drawings/drawing21.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hoebeF\Documents\R\Schools Database\Database-Upload\data\"/>
    </mc:Choice>
  </mc:AlternateContent>
  <bookViews>
    <workbookView xWindow="0" yWindow="0" windowWidth="23040" windowHeight="8595" firstSheet="20" activeTab="22"/>
  </bookViews>
  <sheets>
    <sheet name="Description" sheetId="14" r:id="rId1"/>
    <sheet name="Selection" sheetId="20" r:id="rId2"/>
    <sheet name="Targets" sheetId="43" r:id="rId3"/>
    <sheet name="Area Overview" sheetId="45" r:id="rId4"/>
    <sheet name="Bar Graphs Adults" sheetId="22" r:id="rId5"/>
    <sheet name="Line Graphs Adults" sheetId="23" r:id="rId6"/>
    <sheet name="Moving Comparision" sheetId="70" r:id="rId7"/>
    <sheet name="Inequalities" sheetId="40" r:id="rId8"/>
    <sheet name="Inequalities - Time" sheetId="44" r:id="rId9"/>
    <sheet name="Inequalities Gap" sheetId="46" r:id="rId10"/>
    <sheet name="Demographics" sheetId="71" r:id="rId11"/>
    <sheet name="Walking" sheetId="47" r:id="rId12"/>
    <sheet name="Volunteering" sheetId="65" r:id="rId13"/>
    <sheet name="Volunteering Comparision" sheetId="67" r:id="rId14"/>
    <sheet name="Bar Graphs CYP" sheetId="38" r:id="rId15"/>
    <sheet name="Line Graphs CYP" sheetId="37" r:id="rId16"/>
    <sheet name="Inequalities Spare" sheetId="39" state="hidden" r:id="rId17"/>
    <sheet name="Inequalities CYP" sheetId="64" r:id="rId18"/>
    <sheet name="Lists" sheetId="21" state="hidden" r:id="rId19"/>
    <sheet name="Volunteering CYP" sheetId="66" r:id="rId20"/>
    <sheet name="Volunteering CYP Comparision" sheetId="68" r:id="rId21"/>
    <sheet name="Full Adult Active Lives" sheetId="19" r:id="rId22"/>
    <sheet name="Full CYP Active Lives" sheetId="51" r:id="rId23"/>
    <sheet name="England" sheetId="12" r:id="rId24"/>
    <sheet name="GM" sheetId="11" r:id="rId25"/>
    <sheet name="Bolton" sheetId="2" r:id="rId26"/>
    <sheet name="Bury" sheetId="3" r:id="rId27"/>
    <sheet name="Manchester" sheetId="1" r:id="rId28"/>
    <sheet name="Oldham" sheetId="4" r:id="rId29"/>
    <sheet name="Rochdale" sheetId="5" r:id="rId30"/>
    <sheet name="Salford" sheetId="6" r:id="rId31"/>
    <sheet name="Stockport" sheetId="7" r:id="rId32"/>
    <sheet name="Tameside" sheetId="8" r:id="rId33"/>
    <sheet name="Trafford" sheetId="9" r:id="rId34"/>
    <sheet name="Wigan" sheetId="10" r:id="rId35"/>
    <sheet name="Additional Graphs" sheetId="13" state="hidden" r:id="rId36"/>
    <sheet name="England CYP" sheetId="24" r:id="rId37"/>
    <sheet name="GM CYP" sheetId="25" state="hidden" r:id="rId38"/>
    <sheet name="Bolton CYP" sheetId="26" state="hidden" r:id="rId39"/>
    <sheet name="Bury CYP" sheetId="27" state="hidden" r:id="rId40"/>
    <sheet name="Manchester CYP" sheetId="28" state="hidden" r:id="rId41"/>
    <sheet name="Oldham CYP" sheetId="29" state="hidden" r:id="rId42"/>
    <sheet name="Rochdale CYP" sheetId="30" state="hidden" r:id="rId43"/>
    <sheet name="Salford CYP" sheetId="31" state="hidden" r:id="rId44"/>
    <sheet name="Stockport CYP" sheetId="32" state="hidden" r:id="rId45"/>
    <sheet name="Tameside CYP" sheetId="33" state="hidden" r:id="rId46"/>
    <sheet name="Trafford CYP" sheetId="34" state="hidden" r:id="rId47"/>
    <sheet name="Wigan CYP" sheetId="35" state="hidden" r:id="rId48"/>
    <sheet name="England Demographics" sheetId="63" state="hidden" r:id="rId49"/>
    <sheet name="GM Demographics" sheetId="52" state="hidden" r:id="rId50"/>
    <sheet name="Bolton Demographics" sheetId="53" state="hidden" r:id="rId51"/>
    <sheet name="Bury Demographics" sheetId="54" state="hidden" r:id="rId52"/>
    <sheet name="Manchester Demographics" sheetId="55" state="hidden" r:id="rId53"/>
    <sheet name="Oldham Demographics" sheetId="56" state="hidden" r:id="rId54"/>
    <sheet name="Rochdale Demographics" sheetId="57" state="hidden" r:id="rId55"/>
    <sheet name="Salford Demographics" sheetId="58" state="hidden" r:id="rId56"/>
    <sheet name="Stockport Demographics" sheetId="59" state="hidden" r:id="rId57"/>
    <sheet name="Tameside Demographics" sheetId="60" state="hidden" r:id="rId58"/>
    <sheet name="Trafford Demographics" sheetId="61" state="hidden" r:id="rId59"/>
    <sheet name="Wigan Demographics" sheetId="62" state="hidden" r:id="rId60"/>
  </sheets>
  <externalReferences>
    <externalReference r:id="rId61"/>
  </externalReferences>
  <definedNames>
    <definedName name="ExternalData_1" localSheetId="21" hidden="1">'Full Adult Active Lives'!$A$1:$CX$109</definedName>
    <definedName name="ExternalData_1" localSheetId="22" hidden="1">'Full CYP Active Lives'!$A$1:$AV$25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R11" i="12" l="1"/>
  <c r="CS11" i="12"/>
  <c r="CT11" i="12"/>
  <c r="CQ11" i="12"/>
  <c r="CQ11" i="4" l="1"/>
  <c r="CR11" i="4"/>
  <c r="CS11" i="4"/>
  <c r="CT11" i="4"/>
  <c r="B34" i="71"/>
  <c r="C4" i="71" s="1"/>
  <c r="C23" i="71"/>
  <c r="B74" i="45"/>
  <c r="D11" i="12"/>
  <c r="H55" i="71"/>
  <c r="H49" i="71"/>
  <c r="E75" i="45"/>
  <c r="H35" i="71"/>
  <c r="E55" i="71"/>
  <c r="H39" i="71"/>
  <c r="E85" i="45"/>
  <c r="H46" i="71"/>
  <c r="E39" i="71"/>
  <c r="H50" i="71"/>
  <c r="H34" i="71"/>
  <c r="E87" i="45"/>
  <c r="E89" i="45"/>
  <c r="H47" i="71"/>
  <c r="E51" i="71"/>
  <c r="E61" i="71"/>
  <c r="H60" i="71"/>
  <c r="E76" i="45"/>
  <c r="H52" i="71"/>
  <c r="E43" i="71"/>
  <c r="H36" i="71"/>
  <c r="H41" i="71"/>
  <c r="E47" i="71"/>
  <c r="E88" i="45"/>
  <c r="E50" i="71"/>
  <c r="E46" i="71"/>
  <c r="E100" i="45"/>
  <c r="H44" i="71"/>
  <c r="E78" i="45"/>
  <c r="E83" i="45"/>
  <c r="E38" i="71"/>
  <c r="E79" i="45"/>
  <c r="H57" i="71"/>
  <c r="E93" i="45"/>
  <c r="H40" i="71"/>
  <c r="E96" i="45"/>
  <c r="E54" i="71"/>
  <c r="E99" i="45"/>
  <c r="E90" i="45"/>
  <c r="H45" i="71"/>
  <c r="H43" i="71"/>
  <c r="H61" i="71"/>
  <c r="E95" i="45"/>
  <c r="E58" i="71"/>
  <c r="E94" i="45"/>
  <c r="H59" i="71"/>
  <c r="E77" i="45"/>
  <c r="E86" i="45"/>
  <c r="E81" i="45"/>
  <c r="E80" i="45"/>
  <c r="E34" i="71"/>
  <c r="E36" i="71"/>
  <c r="E97" i="45"/>
  <c r="H38" i="71"/>
  <c r="E91" i="45"/>
  <c r="E101" i="45"/>
  <c r="E92" i="45"/>
  <c r="E84" i="45"/>
  <c r="H42" i="71"/>
  <c r="E98" i="45"/>
  <c r="H37" i="71"/>
  <c r="H54" i="71"/>
  <c r="E42" i="71"/>
  <c r="E59" i="71"/>
  <c r="E82" i="45"/>
  <c r="H53" i="71"/>
  <c r="H58" i="71"/>
  <c r="H51" i="71"/>
  <c r="E35" i="71"/>
  <c r="H48" i="71"/>
  <c r="E74" i="45"/>
  <c r="H56" i="71"/>
  <c r="J76" i="45" l="1"/>
  <c r="J75" i="45"/>
  <c r="J74" i="45"/>
  <c r="I76" i="45"/>
  <c r="I75" i="45"/>
  <c r="I74" i="45"/>
  <c r="F51" i="71"/>
  <c r="H76" i="45"/>
  <c r="H75" i="45"/>
  <c r="H74" i="45"/>
  <c r="G75" i="45"/>
  <c r="G76" i="45"/>
  <c r="G74" i="45"/>
  <c r="AI11" i="9"/>
  <c r="AI11" i="8"/>
  <c r="CO3" i="11"/>
  <c r="CP3" i="11"/>
  <c r="CQ3" i="11"/>
  <c r="CR3" i="11"/>
  <c r="CS3" i="11"/>
  <c r="CT3" i="11"/>
  <c r="CO4" i="11"/>
  <c r="CP4" i="11"/>
  <c r="CQ4" i="11"/>
  <c r="CR4" i="11"/>
  <c r="CS4" i="11"/>
  <c r="CT4" i="11"/>
  <c r="CO5" i="11"/>
  <c r="CP5" i="11"/>
  <c r="CQ5" i="11"/>
  <c r="CR5" i="11"/>
  <c r="CS5" i="11"/>
  <c r="CT5" i="11"/>
  <c r="CO6" i="11"/>
  <c r="CP6" i="11"/>
  <c r="CQ6" i="11"/>
  <c r="CR6" i="11"/>
  <c r="CS6" i="11"/>
  <c r="CT6" i="11"/>
  <c r="CO7" i="11"/>
  <c r="CP7" i="11"/>
  <c r="CQ7" i="11"/>
  <c r="CR7" i="11"/>
  <c r="CS7" i="11"/>
  <c r="CT7" i="11"/>
  <c r="CO8" i="11"/>
  <c r="CP8" i="11"/>
  <c r="CQ8" i="11"/>
  <c r="CR8" i="11"/>
  <c r="CS8" i="11"/>
  <c r="CT8" i="11"/>
  <c r="CO9" i="11"/>
  <c r="CP9" i="11"/>
  <c r="CQ9" i="11"/>
  <c r="CR9" i="11"/>
  <c r="CS9" i="11"/>
  <c r="CT9" i="11"/>
  <c r="CO10" i="11"/>
  <c r="CP10" i="11"/>
  <c r="CQ10" i="11"/>
  <c r="CR10" i="11"/>
  <c r="CS10" i="11"/>
  <c r="CT10" i="11"/>
  <c r="C11" i="11"/>
  <c r="AG11" i="11"/>
  <c r="AI11" i="11"/>
  <c r="AJ11" i="11"/>
  <c r="AK11" i="11"/>
  <c r="AL11" i="11"/>
  <c r="AM11" i="11"/>
  <c r="AN11" i="11"/>
  <c r="AO11" i="11"/>
  <c r="AP11" i="11"/>
  <c r="AQ11" i="11"/>
  <c r="AR11" i="11"/>
  <c r="AS11" i="11"/>
  <c r="AT11" i="11"/>
  <c r="AU11" i="11"/>
  <c r="AV11" i="11"/>
  <c r="AW11" i="11"/>
  <c r="AX11" i="11"/>
  <c r="AY11" i="11"/>
  <c r="AZ11" i="11"/>
  <c r="BA11" i="11"/>
  <c r="BB11" i="11"/>
  <c r="BC11" i="11"/>
  <c r="BD11" i="11"/>
  <c r="BE11" i="11"/>
  <c r="BF11" i="11"/>
  <c r="BG11" i="11"/>
  <c r="BH11" i="11"/>
  <c r="BI11" i="11"/>
  <c r="BJ11" i="11"/>
  <c r="BK11" i="11"/>
  <c r="BM11" i="11"/>
  <c r="BN11" i="11"/>
  <c r="BO11" i="11"/>
  <c r="BP11" i="11"/>
  <c r="BQ11" i="11"/>
  <c r="BR11" i="11"/>
  <c r="BS11" i="11"/>
  <c r="BT11" i="11"/>
  <c r="BU11" i="11"/>
  <c r="BV11" i="11"/>
  <c r="BW11" i="11"/>
  <c r="BX11" i="11"/>
  <c r="BY11" i="11"/>
  <c r="BZ11" i="11"/>
  <c r="CA11" i="11"/>
  <c r="CB11" i="11"/>
  <c r="CC11" i="11"/>
  <c r="CD11" i="11"/>
  <c r="CE11" i="11"/>
  <c r="CF11" i="11"/>
  <c r="CG11" i="11"/>
  <c r="CH11" i="11"/>
  <c r="CI11" i="11"/>
  <c r="CJ11" i="11"/>
  <c r="CK11" i="11"/>
  <c r="CL11" i="11"/>
  <c r="CM11" i="11"/>
  <c r="CN11" i="11"/>
  <c r="CO11" i="11"/>
  <c r="CP11" i="11"/>
  <c r="CQ11" i="11"/>
  <c r="CR11" i="11"/>
  <c r="CS11" i="11"/>
  <c r="CT11" i="11"/>
  <c r="CU11" i="11"/>
  <c r="CV11" i="11"/>
  <c r="CW11" i="11"/>
  <c r="BX13" i="11"/>
  <c r="E40" i="71"/>
  <c r="E57" i="71"/>
  <c r="E48" i="71"/>
  <c r="E49" i="71"/>
  <c r="E53" i="71"/>
  <c r="E41" i="71"/>
  <c r="E52" i="71"/>
  <c r="E45" i="71"/>
  <c r="E44" i="71"/>
  <c r="E56" i="71"/>
  <c r="E37" i="71"/>
  <c r="E60" i="71"/>
  <c r="F52" i="71" l="1"/>
  <c r="G40" i="70" a="1"/>
  <c r="G40" i="70" s="1"/>
  <c r="F40" i="70" a="1"/>
  <c r="F40" i="70" s="1"/>
  <c r="D48" i="70"/>
  <c r="D44" i="70"/>
  <c r="C51" i="70"/>
  <c r="C47" i="70"/>
  <c r="C49" i="70"/>
  <c r="C40" i="70"/>
  <c r="D49" i="70"/>
  <c r="D41" i="70"/>
  <c r="D47" i="70"/>
  <c r="C43" i="70"/>
  <c r="C50" i="70"/>
  <c r="C42" i="70"/>
  <c r="C48" i="70"/>
  <c r="C45" i="70"/>
  <c r="D51" i="70"/>
  <c r="D50" i="70"/>
  <c r="C44" i="70"/>
  <c r="D40" i="70"/>
  <c r="D46" i="70"/>
  <c r="D42" i="70"/>
  <c r="C41" i="70"/>
  <c r="C46" i="70"/>
  <c r="D43" i="70"/>
  <c r="D45" i="70"/>
  <c r="E44" i="70" l="1"/>
  <c r="E48" i="70"/>
  <c r="E41" i="70"/>
  <c r="E45" i="70"/>
  <c r="E49" i="70"/>
  <c r="E42" i="70"/>
  <c r="E46" i="70"/>
  <c r="E50" i="70"/>
  <c r="E43" i="70"/>
  <c r="E47" i="70"/>
  <c r="E51" i="70"/>
  <c r="E40" i="70"/>
  <c r="CS10" i="12"/>
  <c r="CT10" i="12"/>
  <c r="CR10" i="12"/>
  <c r="BM11" i="12"/>
  <c r="G42" i="70" l="1"/>
  <c r="F42" i="70"/>
  <c r="G41" i="70"/>
  <c r="F41" i="70"/>
  <c r="C27" i="70" l="1"/>
  <c r="D39" i="44"/>
  <c r="D41" i="44" s="1"/>
  <c r="B39" i="44"/>
  <c r="E41" i="44"/>
  <c r="D43" i="44" l="1"/>
  <c r="D42" i="44"/>
  <c r="D40" i="44"/>
  <c r="E40" i="44"/>
  <c r="G41" i="44"/>
  <c r="F41" i="44"/>
  <c r="C41" i="67"/>
  <c r="E64" i="45"/>
  <c r="C42" i="67"/>
  <c r="C46" i="67"/>
  <c r="C51" i="67"/>
  <c r="C48" i="67"/>
  <c r="C43" i="67"/>
  <c r="C40" i="67"/>
  <c r="C47" i="67"/>
  <c r="C50" i="67"/>
  <c r="C49" i="67"/>
  <c r="G64" i="45"/>
  <c r="F64" i="45"/>
  <c r="C45" i="67"/>
  <c r="C44" i="67"/>
  <c r="H41" i="44" l="1"/>
  <c r="E43" i="44"/>
  <c r="G43" i="44"/>
  <c r="F43" i="44"/>
  <c r="F42" i="44"/>
  <c r="G42" i="44"/>
  <c r="E42" i="44"/>
  <c r="G40" i="44"/>
  <c r="F40" i="44"/>
  <c r="H40" i="44" l="1"/>
  <c r="J41" i="44"/>
  <c r="H42" i="44"/>
  <c r="H43" i="44"/>
  <c r="E114" i="43" l="1"/>
  <c r="CW11" i="10" l="1"/>
  <c r="CV11" i="10"/>
  <c r="CU11" i="10"/>
  <c r="CP11" i="10"/>
  <c r="CO11" i="10"/>
  <c r="CN11" i="10"/>
  <c r="CM11" i="10"/>
  <c r="CL11" i="10"/>
  <c r="CK11" i="10"/>
  <c r="CJ11" i="10"/>
  <c r="CI11" i="10"/>
  <c r="CH11" i="10"/>
  <c r="CG11" i="10"/>
  <c r="CF11" i="10"/>
  <c r="CE11" i="10"/>
  <c r="CD11" i="10"/>
  <c r="CC11" i="10"/>
  <c r="CB11" i="10"/>
  <c r="CA11" i="10"/>
  <c r="BZ11" i="10"/>
  <c r="BY11" i="10"/>
  <c r="BX11" i="10"/>
  <c r="BW11" i="10"/>
  <c r="BV11" i="10"/>
  <c r="BU11" i="10"/>
  <c r="BT11" i="10"/>
  <c r="BS11" i="10"/>
  <c r="BR11" i="10"/>
  <c r="BQ11" i="10"/>
  <c r="BP11" i="10"/>
  <c r="BO11" i="10"/>
  <c r="BN11" i="10"/>
  <c r="BM11" i="10"/>
  <c r="BK11" i="10"/>
  <c r="BJ11" i="10"/>
  <c r="BI11" i="10"/>
  <c r="BH11" i="10"/>
  <c r="BG11" i="10"/>
  <c r="BF11" i="10"/>
  <c r="BE11" i="10"/>
  <c r="BD11" i="10"/>
  <c r="BC11" i="10"/>
  <c r="BB11" i="10"/>
  <c r="BA11" i="10"/>
  <c r="AZ11" i="10"/>
  <c r="AY11" i="10"/>
  <c r="AX11" i="10"/>
  <c r="AW11" i="10"/>
  <c r="AV11" i="10"/>
  <c r="AU11" i="10"/>
  <c r="AT11" i="10"/>
  <c r="AS11" i="10"/>
  <c r="AR11" i="10"/>
  <c r="AQ11" i="10"/>
  <c r="AP11" i="10"/>
  <c r="AO11" i="10"/>
  <c r="AN11" i="10"/>
  <c r="AM11" i="10"/>
  <c r="AL11" i="10"/>
  <c r="AK11" i="10"/>
  <c r="AJ11" i="10"/>
  <c r="AI11" i="10"/>
  <c r="AG11" i="10"/>
  <c r="C11" i="10"/>
  <c r="CW11" i="9"/>
  <c r="CV11" i="9"/>
  <c r="CU11" i="9"/>
  <c r="CP11" i="9"/>
  <c r="CO11" i="9"/>
  <c r="CN11" i="9"/>
  <c r="CM11" i="9"/>
  <c r="CL11" i="9"/>
  <c r="CK11" i="9"/>
  <c r="CJ11" i="9"/>
  <c r="CI11" i="9"/>
  <c r="CH11" i="9"/>
  <c r="CG11" i="9"/>
  <c r="CF11" i="9"/>
  <c r="CE11" i="9"/>
  <c r="CD11" i="9"/>
  <c r="CC11" i="9"/>
  <c r="CB11" i="9"/>
  <c r="CA11" i="9"/>
  <c r="BZ11" i="9"/>
  <c r="BY11" i="9"/>
  <c r="BX11" i="9"/>
  <c r="BW11" i="9"/>
  <c r="BV11" i="9"/>
  <c r="BU11" i="9"/>
  <c r="BT11" i="9"/>
  <c r="BS11" i="9"/>
  <c r="BR11" i="9"/>
  <c r="BQ11" i="9"/>
  <c r="BP11" i="9"/>
  <c r="BO11" i="9"/>
  <c r="BN11" i="9"/>
  <c r="BM11" i="9"/>
  <c r="BK11" i="9"/>
  <c r="BJ11" i="9"/>
  <c r="BI11" i="9"/>
  <c r="BH11" i="9"/>
  <c r="BG11" i="9"/>
  <c r="BF11" i="9"/>
  <c r="BE11" i="9"/>
  <c r="BD11" i="9"/>
  <c r="BC11" i="9"/>
  <c r="BB11" i="9"/>
  <c r="BA11" i="9"/>
  <c r="AZ11" i="9"/>
  <c r="AY11" i="9"/>
  <c r="AX11" i="9"/>
  <c r="AW11" i="9"/>
  <c r="AV11" i="9"/>
  <c r="AU11" i="9"/>
  <c r="AT11" i="9"/>
  <c r="AS11" i="9"/>
  <c r="AR11" i="9"/>
  <c r="AQ11" i="9"/>
  <c r="AP11" i="9"/>
  <c r="AO11" i="9"/>
  <c r="AN11" i="9"/>
  <c r="AM11" i="9"/>
  <c r="AL11" i="9"/>
  <c r="AK11" i="9"/>
  <c r="AJ11" i="9"/>
  <c r="AG11" i="9"/>
  <c r="C11" i="9"/>
  <c r="CW11" i="8"/>
  <c r="CV11" i="8"/>
  <c r="CU11" i="8"/>
  <c r="CO11" i="8"/>
  <c r="CN11" i="8"/>
  <c r="CM11" i="8"/>
  <c r="CL11" i="8"/>
  <c r="CK11" i="8"/>
  <c r="CJ11" i="8"/>
  <c r="CI11" i="8"/>
  <c r="CH11" i="8"/>
  <c r="CG11" i="8"/>
  <c r="CF11" i="8"/>
  <c r="CE11" i="8"/>
  <c r="CD11" i="8"/>
  <c r="CC11" i="8"/>
  <c r="CB11" i="8"/>
  <c r="CA11" i="8"/>
  <c r="BZ11" i="8"/>
  <c r="BY11" i="8"/>
  <c r="BX11" i="8"/>
  <c r="BW11" i="8"/>
  <c r="BV11" i="8"/>
  <c r="BU11" i="8"/>
  <c r="BT11" i="8"/>
  <c r="BS11" i="8"/>
  <c r="BR11" i="8"/>
  <c r="BQ11" i="8"/>
  <c r="BP11" i="8"/>
  <c r="BO11" i="8"/>
  <c r="BN11" i="8"/>
  <c r="BM11" i="8"/>
  <c r="BK11" i="8"/>
  <c r="BJ11" i="8"/>
  <c r="BI11" i="8"/>
  <c r="BH11" i="8"/>
  <c r="BG11" i="8"/>
  <c r="BF11" i="8"/>
  <c r="BE11" i="8"/>
  <c r="BD11" i="8"/>
  <c r="BC11" i="8"/>
  <c r="BB11" i="8"/>
  <c r="BA11" i="8"/>
  <c r="AZ11" i="8"/>
  <c r="AY11" i="8"/>
  <c r="AX11" i="8"/>
  <c r="AW11" i="8"/>
  <c r="AV11" i="8"/>
  <c r="AU11" i="8"/>
  <c r="AT11" i="8"/>
  <c r="AS11" i="8"/>
  <c r="AR11" i="8"/>
  <c r="AQ11" i="8"/>
  <c r="AP11" i="8"/>
  <c r="AO11" i="8"/>
  <c r="AN11" i="8"/>
  <c r="AM11" i="8"/>
  <c r="AL11" i="8"/>
  <c r="AK11" i="8"/>
  <c r="AJ11" i="8"/>
  <c r="AG11" i="8"/>
  <c r="C11" i="8"/>
  <c r="CW11" i="7"/>
  <c r="CV11" i="7"/>
  <c r="CU11" i="7"/>
  <c r="CO11" i="7"/>
  <c r="CN11" i="7"/>
  <c r="CM11" i="7"/>
  <c r="CL11" i="7"/>
  <c r="CK11" i="7"/>
  <c r="CJ11" i="7"/>
  <c r="CI11" i="7"/>
  <c r="CH11" i="7"/>
  <c r="CG11" i="7"/>
  <c r="CF11" i="7"/>
  <c r="CE11" i="7"/>
  <c r="CD11" i="7"/>
  <c r="CC11" i="7"/>
  <c r="CB11" i="7"/>
  <c r="CA11" i="7"/>
  <c r="BZ11" i="7"/>
  <c r="BY11" i="7"/>
  <c r="BX11" i="7"/>
  <c r="BW11" i="7"/>
  <c r="BV11" i="7"/>
  <c r="BU11" i="7"/>
  <c r="BT11" i="7"/>
  <c r="BS11" i="7"/>
  <c r="BR11" i="7"/>
  <c r="BQ11" i="7"/>
  <c r="BP11" i="7"/>
  <c r="BO11" i="7"/>
  <c r="BN11" i="7"/>
  <c r="BM11" i="7"/>
  <c r="BK11" i="7"/>
  <c r="BJ11" i="7"/>
  <c r="BI11" i="7"/>
  <c r="BH11" i="7"/>
  <c r="BG11" i="7"/>
  <c r="BF11" i="7"/>
  <c r="BE11" i="7"/>
  <c r="BD11" i="7"/>
  <c r="BC11" i="7"/>
  <c r="BB11" i="7"/>
  <c r="BA11" i="7"/>
  <c r="AZ11" i="7"/>
  <c r="AY11" i="7"/>
  <c r="AX11" i="7"/>
  <c r="AW11" i="7"/>
  <c r="AV11" i="7"/>
  <c r="AU11" i="7"/>
  <c r="AT11" i="7"/>
  <c r="AS11" i="7"/>
  <c r="AR11" i="7"/>
  <c r="AQ11" i="7"/>
  <c r="AP11" i="7"/>
  <c r="AO11" i="7"/>
  <c r="AN11" i="7"/>
  <c r="AM11" i="7"/>
  <c r="AL11" i="7"/>
  <c r="AK11" i="7"/>
  <c r="AJ11" i="7"/>
  <c r="AI11" i="7"/>
  <c r="AG11" i="7"/>
  <c r="C11" i="7"/>
  <c r="CW11" i="6"/>
  <c r="CV11" i="6"/>
  <c r="CU11" i="6"/>
  <c r="CO11" i="6"/>
  <c r="CN11" i="6"/>
  <c r="CM11" i="6"/>
  <c r="CL11" i="6"/>
  <c r="CK11" i="6"/>
  <c r="CJ11" i="6"/>
  <c r="CI11" i="6"/>
  <c r="CH11" i="6"/>
  <c r="CG11" i="6"/>
  <c r="CF11" i="6"/>
  <c r="CE11" i="6"/>
  <c r="CD11" i="6"/>
  <c r="CC11" i="6"/>
  <c r="CB11" i="6"/>
  <c r="CA11" i="6"/>
  <c r="BZ11" i="6"/>
  <c r="BY11" i="6"/>
  <c r="BX11" i="6"/>
  <c r="BW11" i="6"/>
  <c r="BV11" i="6"/>
  <c r="BU11" i="6"/>
  <c r="BT11" i="6"/>
  <c r="BS11" i="6"/>
  <c r="BR11" i="6"/>
  <c r="BQ11" i="6"/>
  <c r="BP11" i="6"/>
  <c r="BO11" i="6"/>
  <c r="BN11" i="6"/>
  <c r="BM11" i="6"/>
  <c r="BK11" i="6"/>
  <c r="BJ11" i="6"/>
  <c r="BI11" i="6"/>
  <c r="BH11" i="6"/>
  <c r="BG11" i="6"/>
  <c r="BF11" i="6"/>
  <c r="BE11" i="6"/>
  <c r="BD11" i="6"/>
  <c r="BC11" i="6"/>
  <c r="BB11" i="6"/>
  <c r="BA11" i="6"/>
  <c r="AZ11" i="6"/>
  <c r="AY11" i="6"/>
  <c r="AX11" i="6"/>
  <c r="AW11" i="6"/>
  <c r="AV11" i="6"/>
  <c r="AU11" i="6"/>
  <c r="AT11" i="6"/>
  <c r="AS11" i="6"/>
  <c r="AR11" i="6"/>
  <c r="AQ11" i="6"/>
  <c r="AP11" i="6"/>
  <c r="AO11" i="6"/>
  <c r="AN11" i="6"/>
  <c r="AM11" i="6"/>
  <c r="AL11" i="6"/>
  <c r="AK11" i="6"/>
  <c r="AJ11" i="6"/>
  <c r="AI11" i="6"/>
  <c r="AG11" i="6"/>
  <c r="C11" i="6"/>
  <c r="CW11" i="5"/>
  <c r="CV11" i="5"/>
  <c r="CU11" i="5"/>
  <c r="CO11" i="5"/>
  <c r="CN11" i="5"/>
  <c r="CM11" i="5"/>
  <c r="CL11" i="5"/>
  <c r="CK11" i="5"/>
  <c r="CJ11" i="5"/>
  <c r="CI11" i="5"/>
  <c r="CH11" i="5"/>
  <c r="CG11" i="5"/>
  <c r="CF11" i="5"/>
  <c r="CE11" i="5"/>
  <c r="CD11" i="5"/>
  <c r="CC11" i="5"/>
  <c r="CB11" i="5"/>
  <c r="CA11" i="5"/>
  <c r="BZ11" i="5"/>
  <c r="BY11" i="5"/>
  <c r="BX11" i="5"/>
  <c r="BW11" i="5"/>
  <c r="BV11" i="5"/>
  <c r="BU11" i="5"/>
  <c r="BT11" i="5"/>
  <c r="BS11" i="5"/>
  <c r="BR11" i="5"/>
  <c r="BQ11" i="5"/>
  <c r="BP11" i="5"/>
  <c r="BO11" i="5"/>
  <c r="BN11" i="5"/>
  <c r="BM11" i="5"/>
  <c r="BK11" i="5"/>
  <c r="BJ11" i="5"/>
  <c r="BI11" i="5"/>
  <c r="BH11" i="5"/>
  <c r="BG11" i="5"/>
  <c r="BF11" i="5"/>
  <c r="BE11" i="5"/>
  <c r="BD11" i="5"/>
  <c r="BC11" i="5"/>
  <c r="BB11" i="5"/>
  <c r="BA11" i="5"/>
  <c r="AZ11" i="5"/>
  <c r="AY11" i="5"/>
  <c r="AX11" i="5"/>
  <c r="AW11" i="5"/>
  <c r="AV11" i="5"/>
  <c r="AU11" i="5"/>
  <c r="AT11" i="5"/>
  <c r="AS11" i="5"/>
  <c r="AR11" i="5"/>
  <c r="AQ11" i="5"/>
  <c r="AP11" i="5"/>
  <c r="AO11" i="5"/>
  <c r="AN11" i="5"/>
  <c r="AM11" i="5"/>
  <c r="AL11" i="5"/>
  <c r="AK11" i="5"/>
  <c r="AJ11" i="5"/>
  <c r="AI11" i="5"/>
  <c r="AG11" i="5"/>
  <c r="C11" i="5"/>
  <c r="CW11" i="4"/>
  <c r="CV11" i="4"/>
  <c r="CU11" i="4"/>
  <c r="CN11" i="4"/>
  <c r="CM11" i="4"/>
  <c r="CL11" i="4"/>
  <c r="CK11" i="4"/>
  <c r="CJ11" i="4"/>
  <c r="CI11" i="4"/>
  <c r="CH11" i="4"/>
  <c r="CG11" i="4"/>
  <c r="CF11" i="4"/>
  <c r="CE11" i="4"/>
  <c r="CD11" i="4"/>
  <c r="CC11" i="4"/>
  <c r="CB11" i="4"/>
  <c r="CA11" i="4"/>
  <c r="BZ11" i="4"/>
  <c r="BY11" i="4"/>
  <c r="BX11" i="4"/>
  <c r="BW11" i="4"/>
  <c r="BV11" i="4"/>
  <c r="BU11" i="4"/>
  <c r="BT11" i="4"/>
  <c r="BS11" i="4"/>
  <c r="BR11" i="4"/>
  <c r="BQ11" i="4"/>
  <c r="BP11" i="4"/>
  <c r="BO11" i="4"/>
  <c r="BN11" i="4"/>
  <c r="BM11" i="4"/>
  <c r="BK11" i="4"/>
  <c r="BJ11" i="4"/>
  <c r="BI11" i="4"/>
  <c r="BH11" i="4"/>
  <c r="BG11" i="4"/>
  <c r="BF11" i="4"/>
  <c r="BE11" i="4"/>
  <c r="BD11" i="4"/>
  <c r="BC11" i="4"/>
  <c r="BB11" i="4"/>
  <c r="BA11" i="4"/>
  <c r="AZ11" i="4"/>
  <c r="AY11" i="4"/>
  <c r="AX11" i="4"/>
  <c r="AW11" i="4"/>
  <c r="AV11" i="4"/>
  <c r="AU11" i="4"/>
  <c r="AT11" i="4"/>
  <c r="AS11" i="4"/>
  <c r="AR11" i="4"/>
  <c r="AQ11" i="4"/>
  <c r="AP11" i="4"/>
  <c r="AO11" i="4"/>
  <c r="AN11" i="4"/>
  <c r="AM11" i="4"/>
  <c r="AL11" i="4"/>
  <c r="AK11" i="4"/>
  <c r="AJ11" i="4"/>
  <c r="AI11" i="4"/>
  <c r="AG11" i="4"/>
  <c r="C11" i="4"/>
  <c r="CW11" i="1"/>
  <c r="CV11" i="1"/>
  <c r="CU11" i="1"/>
  <c r="CN11" i="1"/>
  <c r="CM11" i="1"/>
  <c r="CL11" i="1"/>
  <c r="CK11" i="1"/>
  <c r="CJ11" i="1"/>
  <c r="CI11" i="1"/>
  <c r="CH11" i="1"/>
  <c r="CG11" i="1"/>
  <c r="CF11" i="1"/>
  <c r="CE11" i="1"/>
  <c r="CD11" i="1"/>
  <c r="CC11" i="1"/>
  <c r="CB11" i="1"/>
  <c r="CA11" i="1"/>
  <c r="BZ11" i="1"/>
  <c r="BY11" i="1"/>
  <c r="BX11" i="1"/>
  <c r="BW11" i="1"/>
  <c r="BV11" i="1"/>
  <c r="BU11" i="1"/>
  <c r="BT11" i="1"/>
  <c r="BS11" i="1"/>
  <c r="BR11" i="1"/>
  <c r="BQ11" i="1"/>
  <c r="BP11" i="1"/>
  <c r="BO11" i="1"/>
  <c r="BN11" i="1"/>
  <c r="BM11" i="1"/>
  <c r="BK11" i="1"/>
  <c r="AG11" i="1"/>
  <c r="C11" i="1"/>
  <c r="CW11" i="3"/>
  <c r="CV11" i="3"/>
  <c r="CU11" i="3"/>
  <c r="CN11" i="3"/>
  <c r="CM11" i="3"/>
  <c r="CL11" i="3"/>
  <c r="CK11" i="3"/>
  <c r="CJ11" i="3"/>
  <c r="CI11" i="3"/>
  <c r="CH11" i="3"/>
  <c r="CG11" i="3"/>
  <c r="CF11" i="3"/>
  <c r="CE11" i="3"/>
  <c r="CD11" i="3"/>
  <c r="CC11" i="3"/>
  <c r="CB11" i="3"/>
  <c r="CA11" i="3"/>
  <c r="BZ11" i="3"/>
  <c r="BY11" i="3"/>
  <c r="BX11" i="3"/>
  <c r="BW11" i="3"/>
  <c r="BV11" i="3"/>
  <c r="BU11" i="3"/>
  <c r="BT11" i="3"/>
  <c r="BS11" i="3"/>
  <c r="BR11" i="3"/>
  <c r="BQ11" i="3"/>
  <c r="BP11" i="3"/>
  <c r="BO11" i="3"/>
  <c r="BN11" i="3"/>
  <c r="BM11" i="3"/>
  <c r="BK11" i="3"/>
  <c r="BJ11" i="3"/>
  <c r="BI11" i="3"/>
  <c r="BH11" i="3"/>
  <c r="BG11" i="3"/>
  <c r="BF11" i="3"/>
  <c r="BE11" i="3"/>
  <c r="BD11" i="3"/>
  <c r="BC11" i="3"/>
  <c r="BB11" i="3"/>
  <c r="BA11" i="3"/>
  <c r="AZ11" i="3"/>
  <c r="AY11" i="3"/>
  <c r="AX11" i="3"/>
  <c r="AW11" i="3"/>
  <c r="AV11" i="3"/>
  <c r="AU11" i="3"/>
  <c r="AT11" i="3"/>
  <c r="AS11" i="3"/>
  <c r="AR11" i="3"/>
  <c r="AQ11" i="3"/>
  <c r="AP11" i="3"/>
  <c r="AO11" i="3"/>
  <c r="AN11" i="3"/>
  <c r="AM11" i="3"/>
  <c r="AL11" i="3"/>
  <c r="AK11" i="3"/>
  <c r="AJ11" i="3"/>
  <c r="AI11" i="3"/>
  <c r="AG11" i="3"/>
  <c r="C11" i="3"/>
  <c r="CW11" i="2"/>
  <c r="CV11" i="2"/>
  <c r="CU11" i="2"/>
  <c r="CN11" i="2"/>
  <c r="CM11" i="2"/>
  <c r="CL11" i="2"/>
  <c r="CK11" i="2"/>
  <c r="CJ11" i="2"/>
  <c r="CI11" i="2"/>
  <c r="CH11" i="2"/>
  <c r="CG11" i="2"/>
  <c r="CF11" i="2"/>
  <c r="CE11" i="2"/>
  <c r="CD11" i="2"/>
  <c r="CC11" i="2"/>
  <c r="CB11" i="2"/>
  <c r="CA11" i="2"/>
  <c r="BZ11" i="2"/>
  <c r="BY11" i="2"/>
  <c r="BX11" i="2"/>
  <c r="BW11" i="2"/>
  <c r="BV11" i="2"/>
  <c r="BU11" i="2"/>
  <c r="BT11" i="2"/>
  <c r="BS11" i="2"/>
  <c r="BR11" i="2"/>
  <c r="BQ11" i="2"/>
  <c r="BP11" i="2"/>
  <c r="BO11" i="2"/>
  <c r="BN11" i="2"/>
  <c r="BM11" i="2"/>
  <c r="BK11" i="2"/>
  <c r="BJ11" i="2"/>
  <c r="BI11" i="2"/>
  <c r="BH11" i="2"/>
  <c r="BG11" i="2"/>
  <c r="BF11" i="2"/>
  <c r="BE11" i="2"/>
  <c r="BD11" i="2"/>
  <c r="BC11" i="2"/>
  <c r="BB11" i="2"/>
  <c r="BA11" i="2"/>
  <c r="AZ11" i="2"/>
  <c r="AY11" i="2"/>
  <c r="AX11" i="2"/>
  <c r="AW11" i="2"/>
  <c r="AV11" i="2"/>
  <c r="AU11" i="2"/>
  <c r="AT11" i="2"/>
  <c r="AS11" i="2"/>
  <c r="AR11" i="2"/>
  <c r="AQ11" i="2"/>
  <c r="AP11" i="2"/>
  <c r="AO11" i="2"/>
  <c r="AN11" i="2"/>
  <c r="AM11" i="2"/>
  <c r="AL11" i="2"/>
  <c r="AK11" i="2"/>
  <c r="AJ11" i="2"/>
  <c r="AI11" i="2"/>
  <c r="AG11" i="2"/>
  <c r="C11" i="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AF11" i="12"/>
  <c r="AG11" i="12"/>
  <c r="AH11" i="12"/>
  <c r="AI11" i="12"/>
  <c r="AJ11" i="12"/>
  <c r="AK11" i="12"/>
  <c r="AL11" i="12"/>
  <c r="AM11" i="12"/>
  <c r="AN11" i="12"/>
  <c r="AO11" i="12"/>
  <c r="AP11" i="12"/>
  <c r="AQ11" i="12"/>
  <c r="AR11" i="12"/>
  <c r="AS11" i="12"/>
  <c r="AT11" i="12"/>
  <c r="AU11" i="12"/>
  <c r="AV11" i="12"/>
  <c r="AW11" i="12"/>
  <c r="AX11" i="12"/>
  <c r="AY11" i="12"/>
  <c r="AZ11" i="12"/>
  <c r="BA11" i="12"/>
  <c r="BB11" i="12"/>
  <c r="BC11" i="12"/>
  <c r="BD11" i="12"/>
  <c r="BE11" i="12"/>
  <c r="BF11" i="12"/>
  <c r="BG11" i="12"/>
  <c r="BH11" i="12"/>
  <c r="BI11" i="12"/>
  <c r="BJ11" i="12"/>
  <c r="BK11" i="12"/>
  <c r="BL11" i="12"/>
  <c r="BN11" i="12"/>
  <c r="BO11" i="12"/>
  <c r="BP11" i="12"/>
  <c r="BQ11" i="12"/>
  <c r="BR11" i="12"/>
  <c r="BS11" i="12"/>
  <c r="BT11" i="12"/>
  <c r="BU11" i="12"/>
  <c r="BV11" i="12"/>
  <c r="BW11" i="12"/>
  <c r="BX11" i="12"/>
  <c r="BY11" i="12"/>
  <c r="BZ11" i="12"/>
  <c r="CA11" i="12"/>
  <c r="CB11" i="12"/>
  <c r="CC11" i="12"/>
  <c r="CD11" i="12"/>
  <c r="CE11" i="12"/>
  <c r="CF11" i="12"/>
  <c r="CG11" i="12"/>
  <c r="CH11" i="12"/>
  <c r="CI11" i="12"/>
  <c r="CJ11" i="12"/>
  <c r="CK11" i="12"/>
  <c r="CL11" i="12"/>
  <c r="CM11" i="12"/>
  <c r="CN11" i="12"/>
  <c r="C11" i="12"/>
  <c r="CP10" i="10"/>
  <c r="CQ10" i="10"/>
  <c r="CR10" i="10"/>
  <c r="CS10" i="10"/>
  <c r="CT10" i="10"/>
  <c r="CP10" i="9"/>
  <c r="CQ10" i="9"/>
  <c r="CR10" i="9"/>
  <c r="CS10" i="9"/>
  <c r="CT10" i="9"/>
  <c r="CP10" i="8"/>
  <c r="CQ10" i="8"/>
  <c r="CR10" i="8"/>
  <c r="CS10" i="8"/>
  <c r="CT10" i="8"/>
  <c r="CP10" i="7"/>
  <c r="CQ10" i="7"/>
  <c r="CR10" i="7"/>
  <c r="CS10" i="7"/>
  <c r="CT10" i="7"/>
  <c r="CP10" i="6"/>
  <c r="CP11" i="6" s="1"/>
  <c r="CQ10" i="6"/>
  <c r="CR10" i="6"/>
  <c r="CS10" i="6"/>
  <c r="CT10" i="6"/>
  <c r="CP10" i="5"/>
  <c r="CP11" i="5" s="1"/>
  <c r="CQ10" i="5"/>
  <c r="CR10" i="5"/>
  <c r="CS10" i="5"/>
  <c r="CT10" i="5"/>
  <c r="CO10" i="4"/>
  <c r="CO11" i="4" s="1"/>
  <c r="CP10" i="4"/>
  <c r="CP11" i="4" s="1"/>
  <c r="CQ10" i="4"/>
  <c r="CR10" i="4"/>
  <c r="CS10" i="4"/>
  <c r="CT10" i="4"/>
  <c r="CO10" i="1"/>
  <c r="CO11" i="1" s="1"/>
  <c r="CP10" i="1"/>
  <c r="CP11" i="1" s="1"/>
  <c r="CQ10" i="1"/>
  <c r="CR10" i="1"/>
  <c r="CS10" i="1"/>
  <c r="CT10" i="1"/>
  <c r="CO10" i="3"/>
  <c r="CO11" i="3" s="1"/>
  <c r="CP10" i="3"/>
  <c r="CP11" i="3" s="1"/>
  <c r="CQ10" i="3"/>
  <c r="CR10" i="3"/>
  <c r="CS10" i="3"/>
  <c r="CT10" i="3"/>
  <c r="CO10" i="2"/>
  <c r="CO11" i="2" s="1"/>
  <c r="CP10" i="2"/>
  <c r="CP11" i="2" s="1"/>
  <c r="CQ10" i="2"/>
  <c r="CR10" i="2"/>
  <c r="CS10" i="2"/>
  <c r="CT10" i="2"/>
  <c r="CO10" i="12"/>
  <c r="CO11" i="12" s="1"/>
  <c r="CP10" i="12"/>
  <c r="CP11" i="12" s="1"/>
  <c r="CQ10" i="12"/>
  <c r="D114" i="43" l="1"/>
  <c r="F114" i="43" s="1"/>
  <c r="C40" i="68"/>
  <c r="C43" i="68"/>
  <c r="C44" i="68"/>
  <c r="C49" i="68"/>
  <c r="C47" i="68"/>
  <c r="C46" i="68"/>
  <c r="C45" i="68"/>
  <c r="C50" i="68"/>
  <c r="C51" i="68"/>
  <c r="C41" i="68"/>
  <c r="C48" i="68"/>
  <c r="C42" i="68"/>
  <c r="K114" i="43" l="1"/>
  <c r="L114" i="43" s="1"/>
  <c r="H114" i="43"/>
  <c r="D49" i="68"/>
  <c r="D45" i="68"/>
  <c r="D48" i="68"/>
  <c r="D51" i="68"/>
  <c r="D47" i="68"/>
  <c r="D50" i="68"/>
  <c r="D46" i="68"/>
  <c r="D41" i="68"/>
  <c r="D40" i="68"/>
  <c r="D43" i="68"/>
  <c r="D42" i="68"/>
  <c r="D44" i="68"/>
  <c r="F40" i="68"/>
  <c r="F40" i="68" a="1"/>
  <c r="E40" i="68"/>
  <c r="E40" i="68" a="1"/>
  <c r="D39" i="68"/>
  <c r="D39" i="67"/>
  <c r="E42" i="68" l="1" a="1"/>
  <c r="E42" i="68" s="1"/>
  <c r="F42" i="68" a="1"/>
  <c r="F42" i="68" s="1"/>
  <c r="F41" i="68" a="1"/>
  <c r="F41" i="68" s="1"/>
  <c r="E41" i="68" a="1"/>
  <c r="E41" i="68" s="1"/>
  <c r="E42" i="67"/>
  <c r="D42" i="67"/>
  <c r="E41" i="67"/>
  <c r="D41" i="67"/>
  <c r="C27" i="67" l="1"/>
  <c r="C27" i="68"/>
  <c r="B45" i="66"/>
  <c r="B41" i="66"/>
  <c r="D53" i="44"/>
  <c r="E47" i="66"/>
  <c r="E43" i="66"/>
  <c r="E42" i="66"/>
  <c r="E46" i="66"/>
  <c r="C28" i="66" l="1"/>
  <c r="C4" i="66"/>
  <c r="B48" i="65"/>
  <c r="E52" i="65"/>
  <c r="E50" i="65"/>
  <c r="E51" i="65"/>
  <c r="E55" i="65"/>
  <c r="E54" i="65"/>
  <c r="E56" i="65"/>
  <c r="E53" i="65"/>
  <c r="D40" i="67" l="1" a="1"/>
  <c r="D40" i="67" s="1"/>
  <c r="E40" i="67" a="1"/>
  <c r="E40" i="67" s="1"/>
  <c r="B40" i="65"/>
  <c r="E45" i="65"/>
  <c r="E41" i="65"/>
  <c r="E44" i="65"/>
  <c r="E42" i="65"/>
  <c r="E47" i="65"/>
  <c r="E46" i="65"/>
  <c r="E43" i="65"/>
  <c r="C4" i="65" l="1"/>
  <c r="C27" i="65"/>
  <c r="K3" i="52"/>
  <c r="K4" i="52"/>
  <c r="K5" i="52"/>
  <c r="K6" i="52"/>
  <c r="K7" i="52"/>
  <c r="K8" i="52"/>
  <c r="J8" i="52"/>
  <c r="J7" i="52"/>
  <c r="J6" i="52"/>
  <c r="J5" i="52"/>
  <c r="J4" i="52"/>
  <c r="J3" i="52"/>
  <c r="D51" i="64" l="1"/>
  <c r="D57" i="64" s="1"/>
  <c r="B51" i="64"/>
  <c r="E57" i="64"/>
  <c r="G57" i="64"/>
  <c r="F57" i="64"/>
  <c r="D54" i="64" l="1"/>
  <c r="D55" i="64"/>
  <c r="D52" i="64"/>
  <c r="D56" i="64"/>
  <c r="D53" i="64"/>
  <c r="F54" i="64"/>
  <c r="G56" i="64"/>
  <c r="F56" i="64"/>
  <c r="G55" i="64"/>
  <c r="E55" i="64"/>
  <c r="F55" i="64"/>
  <c r="E56" i="64"/>
  <c r="E54" i="64"/>
  <c r="G54" i="64"/>
  <c r="G53" i="64"/>
  <c r="E52" i="64"/>
  <c r="G52" i="64"/>
  <c r="E53" i="64"/>
  <c r="F52" i="64"/>
  <c r="F53" i="64"/>
  <c r="J53" i="64" l="1"/>
  <c r="B42" i="64"/>
  <c r="D42" i="64"/>
  <c r="D48" i="64" l="1"/>
  <c r="C4" i="64"/>
  <c r="D46" i="64"/>
  <c r="D45" i="64"/>
  <c r="D47" i="64"/>
  <c r="D44" i="64"/>
  <c r="D43" i="64"/>
  <c r="E45" i="64"/>
  <c r="F47" i="64"/>
  <c r="G48" i="64"/>
  <c r="G45" i="64"/>
  <c r="F46" i="64"/>
  <c r="F45" i="64"/>
  <c r="E47" i="64"/>
  <c r="E46" i="64"/>
  <c r="G47" i="64"/>
  <c r="F48" i="64"/>
  <c r="E48" i="64"/>
  <c r="G46" i="64"/>
  <c r="E43" i="64"/>
  <c r="F44" i="64"/>
  <c r="G43" i="64"/>
  <c r="F43" i="64"/>
  <c r="G44" i="64"/>
  <c r="E44" i="64"/>
  <c r="H57" i="64" l="1"/>
  <c r="J44" i="64"/>
  <c r="H56" i="64"/>
  <c r="N3" i="25" l="1"/>
  <c r="O3" i="25"/>
  <c r="N4" i="25"/>
  <c r="O4" i="25"/>
  <c r="H47" i="64" l="1"/>
  <c r="H53" i="64"/>
  <c r="H44" i="64"/>
  <c r="H52" i="64"/>
  <c r="H43" i="64"/>
  <c r="H45" i="64"/>
  <c r="H54" i="64"/>
  <c r="H48" i="64"/>
  <c r="D111" i="43"/>
  <c r="D109" i="43"/>
  <c r="D106" i="43"/>
  <c r="F106" i="43" s="1"/>
  <c r="I8" i="52"/>
  <c r="H8" i="52"/>
  <c r="G8" i="52"/>
  <c r="F8" i="52"/>
  <c r="E8" i="52"/>
  <c r="D8" i="52"/>
  <c r="C8" i="52"/>
  <c r="B8" i="52"/>
  <c r="I7" i="52"/>
  <c r="H7" i="52"/>
  <c r="G7" i="52"/>
  <c r="F7" i="52"/>
  <c r="E7" i="52"/>
  <c r="D7" i="52"/>
  <c r="C7" i="52"/>
  <c r="B7" i="52"/>
  <c r="I6" i="52"/>
  <c r="H6" i="52"/>
  <c r="G6" i="52"/>
  <c r="F6" i="52"/>
  <c r="E6" i="52"/>
  <c r="D6" i="52"/>
  <c r="C6" i="52"/>
  <c r="B6" i="52"/>
  <c r="I5" i="52"/>
  <c r="H5" i="52"/>
  <c r="G5" i="52"/>
  <c r="F5" i="52"/>
  <c r="E5" i="52"/>
  <c r="D5" i="52"/>
  <c r="C5" i="52"/>
  <c r="B5" i="52"/>
  <c r="I4" i="52"/>
  <c r="H4" i="52"/>
  <c r="G4" i="52"/>
  <c r="F4" i="52"/>
  <c r="E4" i="52"/>
  <c r="D4" i="52"/>
  <c r="C4" i="52"/>
  <c r="B4" i="52"/>
  <c r="I3" i="52"/>
  <c r="H3" i="52"/>
  <c r="G3" i="52"/>
  <c r="F3" i="52"/>
  <c r="E3" i="52"/>
  <c r="D3" i="52"/>
  <c r="C3" i="52"/>
  <c r="B3" i="52"/>
  <c r="O4" i="35"/>
  <c r="N4" i="35"/>
  <c r="O3" i="35"/>
  <c r="N3" i="35"/>
  <c r="O4" i="34"/>
  <c r="N4" i="34"/>
  <c r="O3" i="34"/>
  <c r="N3" i="34"/>
  <c r="O4" i="33"/>
  <c r="N4" i="33"/>
  <c r="O3" i="33"/>
  <c r="N3" i="33"/>
  <c r="O4" i="32"/>
  <c r="N4" i="32"/>
  <c r="O3" i="32"/>
  <c r="N3" i="32"/>
  <c r="O4" i="31"/>
  <c r="N4" i="31"/>
  <c r="O3" i="31"/>
  <c r="N3" i="31"/>
  <c r="O4" i="30"/>
  <c r="N4" i="30"/>
  <c r="O3" i="30"/>
  <c r="N3" i="30"/>
  <c r="O4" i="29"/>
  <c r="N4" i="29"/>
  <c r="O3" i="29"/>
  <c r="N3" i="29"/>
  <c r="O4" i="28"/>
  <c r="N4" i="28"/>
  <c r="O3" i="28"/>
  <c r="N3" i="28"/>
  <c r="O4" i="27"/>
  <c r="N4" i="27"/>
  <c r="O3" i="27"/>
  <c r="N3" i="27"/>
  <c r="O4" i="26"/>
  <c r="N4" i="26"/>
  <c r="O3" i="26"/>
  <c r="N3" i="26"/>
  <c r="E110" i="43"/>
  <c r="F110" i="43" s="1"/>
  <c r="O4" i="24"/>
  <c r="N4" i="24"/>
  <c r="O3" i="24"/>
  <c r="N3" i="24"/>
  <c r="CR11" i="10"/>
  <c r="CQ11" i="10"/>
  <c r="CT9" i="10"/>
  <c r="CS9" i="10"/>
  <c r="CR9" i="10"/>
  <c r="CQ9" i="10"/>
  <c r="CP9" i="10"/>
  <c r="CO9" i="10"/>
  <c r="CT8" i="10"/>
  <c r="CS8" i="10"/>
  <c r="CR8" i="10"/>
  <c r="CQ8" i="10"/>
  <c r="CP8" i="10"/>
  <c r="CO8" i="10"/>
  <c r="CT7" i="10"/>
  <c r="CS7" i="10"/>
  <c r="CR7" i="10"/>
  <c r="CQ7" i="10"/>
  <c r="CP7" i="10"/>
  <c r="CO7" i="10"/>
  <c r="CT6" i="10"/>
  <c r="CS6" i="10"/>
  <c r="CR6" i="10"/>
  <c r="CQ6" i="10"/>
  <c r="CP6" i="10"/>
  <c r="CO6" i="10"/>
  <c r="CT5" i="10"/>
  <c r="CS5" i="10"/>
  <c r="CR5" i="10"/>
  <c r="CQ5" i="10"/>
  <c r="CP5" i="10"/>
  <c r="CO5" i="10"/>
  <c r="CT4" i="10"/>
  <c r="CS4" i="10"/>
  <c r="CR4" i="10"/>
  <c r="CQ4" i="10"/>
  <c r="CP4" i="10"/>
  <c r="CO4" i="10"/>
  <c r="CT3" i="10"/>
  <c r="CS3" i="10"/>
  <c r="CR3" i="10"/>
  <c r="CQ3" i="10"/>
  <c r="CP3" i="10"/>
  <c r="CO3" i="10"/>
  <c r="CR11" i="9"/>
  <c r="CS11" i="9"/>
  <c r="CT11" i="9"/>
  <c r="CQ11" i="9"/>
  <c r="CT9" i="9"/>
  <c r="CS9" i="9"/>
  <c r="CR9" i="9"/>
  <c r="CQ9" i="9"/>
  <c r="CP9" i="9"/>
  <c r="CO9" i="9"/>
  <c r="CT8" i="9"/>
  <c r="CS8" i="9"/>
  <c r="CR8" i="9"/>
  <c r="CQ8" i="9"/>
  <c r="CP8" i="9"/>
  <c r="CO8" i="9"/>
  <c r="CT7" i="9"/>
  <c r="CS7" i="9"/>
  <c r="CR7" i="9"/>
  <c r="CQ7" i="9"/>
  <c r="CP7" i="9"/>
  <c r="CO7" i="9"/>
  <c r="CT6" i="9"/>
  <c r="CS6" i="9"/>
  <c r="CR6" i="9"/>
  <c r="CQ6" i="9"/>
  <c r="CP6" i="9"/>
  <c r="CO6" i="9"/>
  <c r="CT5" i="9"/>
  <c r="CS5" i="9"/>
  <c r="CR5" i="9"/>
  <c r="CQ5" i="9"/>
  <c r="CP5" i="9"/>
  <c r="CO5" i="9"/>
  <c r="CT4" i="9"/>
  <c r="CS4" i="9"/>
  <c r="CR4" i="9"/>
  <c r="CQ4" i="9"/>
  <c r="CP4" i="9"/>
  <c r="CO4" i="9"/>
  <c r="CT3" i="9"/>
  <c r="CS3" i="9"/>
  <c r="CR3" i="9"/>
  <c r="CQ3" i="9"/>
  <c r="CP3" i="9"/>
  <c r="CO3" i="9"/>
  <c r="CR11" i="8"/>
  <c r="CS11" i="8"/>
  <c r="CT11" i="8"/>
  <c r="CQ11" i="8"/>
  <c r="CT9" i="8"/>
  <c r="CS9" i="8"/>
  <c r="CR9" i="8"/>
  <c r="CQ9" i="8"/>
  <c r="CP9" i="8"/>
  <c r="CO9" i="8"/>
  <c r="CT8" i="8"/>
  <c r="CS8" i="8"/>
  <c r="CR8" i="8"/>
  <c r="CQ8" i="8"/>
  <c r="CP8" i="8"/>
  <c r="CO8" i="8"/>
  <c r="CT7" i="8"/>
  <c r="CS7" i="8"/>
  <c r="CR7" i="8"/>
  <c r="CQ7" i="8"/>
  <c r="CP7" i="8"/>
  <c r="CO7" i="8"/>
  <c r="CT6" i="8"/>
  <c r="CS6" i="8"/>
  <c r="CR6" i="8"/>
  <c r="CQ6" i="8"/>
  <c r="CP6" i="8"/>
  <c r="CO6" i="8"/>
  <c r="CT5" i="8"/>
  <c r="CS5" i="8"/>
  <c r="CR5" i="8"/>
  <c r="CQ5" i="8"/>
  <c r="CP5" i="8"/>
  <c r="CO5" i="8"/>
  <c r="CT4" i="8"/>
  <c r="CS4" i="8"/>
  <c r="CR4" i="8"/>
  <c r="CQ4" i="8"/>
  <c r="CP4" i="8"/>
  <c r="CO4" i="8"/>
  <c r="CT3" i="8"/>
  <c r="CS3" i="8"/>
  <c r="CR3" i="8"/>
  <c r="CQ3" i="8"/>
  <c r="CP3" i="8"/>
  <c r="CP11" i="8" s="1"/>
  <c r="CO3" i="8"/>
  <c r="CQ11" i="7"/>
  <c r="CS11" i="7"/>
  <c r="CT11" i="7"/>
  <c r="CT9" i="7"/>
  <c r="CS9" i="7"/>
  <c r="CR9" i="7"/>
  <c r="CQ9" i="7"/>
  <c r="CP9" i="7"/>
  <c r="CO9" i="7"/>
  <c r="CT8" i="7"/>
  <c r="CS8" i="7"/>
  <c r="CR8" i="7"/>
  <c r="CQ8" i="7"/>
  <c r="CP8" i="7"/>
  <c r="CO8" i="7"/>
  <c r="CT7" i="7"/>
  <c r="CS7" i="7"/>
  <c r="CR7" i="7"/>
  <c r="CQ7" i="7"/>
  <c r="CP7" i="7"/>
  <c r="CO7" i="7"/>
  <c r="CT6" i="7"/>
  <c r="CS6" i="7"/>
  <c r="CR6" i="7"/>
  <c r="CR11" i="7" s="1"/>
  <c r="CQ6" i="7"/>
  <c r="CP6" i="7"/>
  <c r="CO6" i="7"/>
  <c r="CT5" i="7"/>
  <c r="CS5" i="7"/>
  <c r="CR5" i="7"/>
  <c r="CQ5" i="7"/>
  <c r="CP5" i="7"/>
  <c r="CO5" i="7"/>
  <c r="CT4" i="7"/>
  <c r="CS4" i="7"/>
  <c r="CR4" i="7"/>
  <c r="CQ4" i="7"/>
  <c r="CP4" i="7"/>
  <c r="CO4" i="7"/>
  <c r="CT3" i="7"/>
  <c r="CS3" i="7"/>
  <c r="CR3" i="7"/>
  <c r="CQ3" i="7"/>
  <c r="CP3" i="7"/>
  <c r="CP11" i="7" s="1"/>
  <c r="CO3" i="7"/>
  <c r="CR11" i="6"/>
  <c r="CS11" i="6"/>
  <c r="CT11" i="6"/>
  <c r="CQ11" i="6"/>
  <c r="CT9" i="6"/>
  <c r="CS9" i="6"/>
  <c r="CR9" i="6"/>
  <c r="CQ9" i="6"/>
  <c r="CP9" i="6"/>
  <c r="CO9" i="6"/>
  <c r="CT8" i="6"/>
  <c r="CS8" i="6"/>
  <c r="CR8" i="6"/>
  <c r="CQ8" i="6"/>
  <c r="CP8" i="6"/>
  <c r="CO8" i="6"/>
  <c r="CT7" i="6"/>
  <c r="CS7" i="6"/>
  <c r="CR7" i="6"/>
  <c r="CQ7" i="6"/>
  <c r="CP7" i="6"/>
  <c r="CO7" i="6"/>
  <c r="CT6" i="6"/>
  <c r="CS6" i="6"/>
  <c r="CR6" i="6"/>
  <c r="CQ6" i="6"/>
  <c r="CP6" i="6"/>
  <c r="CO6" i="6"/>
  <c r="CT5" i="6"/>
  <c r="CS5" i="6"/>
  <c r="CR5" i="6"/>
  <c r="CQ5" i="6"/>
  <c r="CP5" i="6"/>
  <c r="CO5" i="6"/>
  <c r="CT4" i="6"/>
  <c r="CS4" i="6"/>
  <c r="CR4" i="6"/>
  <c r="CQ4" i="6"/>
  <c r="CP4" i="6"/>
  <c r="CO4" i="6"/>
  <c r="CT3" i="6"/>
  <c r="CS3" i="6"/>
  <c r="CR3" i="6"/>
  <c r="CQ3" i="6"/>
  <c r="CP3" i="6"/>
  <c r="CO3" i="6"/>
  <c r="CQ11" i="5"/>
  <c r="CR11" i="5"/>
  <c r="CS11" i="5"/>
  <c r="CT11" i="5"/>
  <c r="CT9" i="5"/>
  <c r="CS9" i="5"/>
  <c r="CR9" i="5"/>
  <c r="CQ9" i="5"/>
  <c r="CP9" i="5"/>
  <c r="CO9" i="5"/>
  <c r="CT8" i="5"/>
  <c r="CS8" i="5"/>
  <c r="CR8" i="5"/>
  <c r="CQ8" i="5"/>
  <c r="CP8" i="5"/>
  <c r="CO8" i="5"/>
  <c r="CT7" i="5"/>
  <c r="CS7" i="5"/>
  <c r="CR7" i="5"/>
  <c r="CQ7" i="5"/>
  <c r="CP7" i="5"/>
  <c r="CO7" i="5"/>
  <c r="CT6" i="5"/>
  <c r="CS6" i="5"/>
  <c r="CR6" i="5"/>
  <c r="CQ6" i="5"/>
  <c r="CP6" i="5"/>
  <c r="CO6" i="5"/>
  <c r="CT5" i="5"/>
  <c r="CS5" i="5"/>
  <c r="CR5" i="5"/>
  <c r="CQ5" i="5"/>
  <c r="CP5" i="5"/>
  <c r="CO5" i="5"/>
  <c r="CT4" i="5"/>
  <c r="CS4" i="5"/>
  <c r="CR4" i="5"/>
  <c r="CQ4" i="5"/>
  <c r="CP4" i="5"/>
  <c r="CO4" i="5"/>
  <c r="CT3" i="5"/>
  <c r="CS3" i="5"/>
  <c r="CR3" i="5"/>
  <c r="CQ3" i="5"/>
  <c r="CP3" i="5"/>
  <c r="CO3" i="5"/>
  <c r="CT9" i="4"/>
  <c r="CS9" i="4"/>
  <c r="CR9" i="4"/>
  <c r="CQ9" i="4"/>
  <c r="CP9" i="4"/>
  <c r="CO9" i="4"/>
  <c r="CT8" i="4"/>
  <c r="CS8" i="4"/>
  <c r="CR8" i="4"/>
  <c r="CQ8" i="4"/>
  <c r="CP8" i="4"/>
  <c r="CO8" i="4"/>
  <c r="CT7" i="4"/>
  <c r="CS7" i="4"/>
  <c r="CR7" i="4"/>
  <c r="CQ7" i="4"/>
  <c r="CP7" i="4"/>
  <c r="CO7" i="4"/>
  <c r="CT6" i="4"/>
  <c r="CS6" i="4"/>
  <c r="CR6" i="4"/>
  <c r="CQ6" i="4"/>
  <c r="CP6" i="4"/>
  <c r="CO6" i="4"/>
  <c r="CT5" i="4"/>
  <c r="CS5" i="4"/>
  <c r="CR5" i="4"/>
  <c r="CQ5" i="4"/>
  <c r="CP5" i="4"/>
  <c r="CO5" i="4"/>
  <c r="CT4" i="4"/>
  <c r="CS4" i="4"/>
  <c r="CR4" i="4"/>
  <c r="CQ4" i="4"/>
  <c r="CP4" i="4"/>
  <c r="CO4" i="4"/>
  <c r="CT3" i="4"/>
  <c r="CS3" i="4"/>
  <c r="CR3" i="4"/>
  <c r="CQ3" i="4"/>
  <c r="CP3" i="4"/>
  <c r="CO3" i="4"/>
  <c r="CQ11" i="1"/>
  <c r="CR11" i="1"/>
  <c r="CS11" i="1"/>
  <c r="CT11" i="1"/>
  <c r="CT9" i="1"/>
  <c r="CS9" i="1"/>
  <c r="CR9" i="1"/>
  <c r="CQ9" i="1"/>
  <c r="CP9" i="1"/>
  <c r="CO9" i="1"/>
  <c r="CT8" i="1"/>
  <c r="CS8" i="1"/>
  <c r="CR8" i="1"/>
  <c r="CQ8" i="1"/>
  <c r="CP8" i="1"/>
  <c r="CO8" i="1"/>
  <c r="CT7" i="1"/>
  <c r="CS7" i="1"/>
  <c r="CR7" i="1"/>
  <c r="CQ7" i="1"/>
  <c r="CP7" i="1"/>
  <c r="CO7" i="1"/>
  <c r="CT6" i="1"/>
  <c r="CS6" i="1"/>
  <c r="CR6" i="1"/>
  <c r="CQ6" i="1"/>
  <c r="CP6" i="1"/>
  <c r="CO6" i="1"/>
  <c r="CT5" i="1"/>
  <c r="CS5" i="1"/>
  <c r="CR5" i="1"/>
  <c r="CQ5" i="1"/>
  <c r="CP5" i="1"/>
  <c r="CO5" i="1"/>
  <c r="CT4" i="1"/>
  <c r="CS4" i="1"/>
  <c r="CR4" i="1"/>
  <c r="CQ4" i="1"/>
  <c r="CP4" i="1"/>
  <c r="CO4" i="1"/>
  <c r="CT3" i="1"/>
  <c r="CS3" i="1"/>
  <c r="CR3" i="1"/>
  <c r="CQ3" i="1"/>
  <c r="CP3" i="1"/>
  <c r="CO3" i="1"/>
  <c r="CR11" i="3"/>
  <c r="CS11" i="3"/>
  <c r="CT11" i="3"/>
  <c r="CQ11" i="3"/>
  <c r="CT9" i="3"/>
  <c r="CS9" i="3"/>
  <c r="CR9" i="3"/>
  <c r="CQ9" i="3"/>
  <c r="CP9" i="3"/>
  <c r="CO9" i="3"/>
  <c r="CT8" i="3"/>
  <c r="CS8" i="3"/>
  <c r="CR8" i="3"/>
  <c r="CQ8" i="3"/>
  <c r="CP8" i="3"/>
  <c r="CO8" i="3"/>
  <c r="CT7" i="3"/>
  <c r="CS7" i="3"/>
  <c r="CR7" i="3"/>
  <c r="CQ7" i="3"/>
  <c r="CP7" i="3"/>
  <c r="CO7" i="3"/>
  <c r="CT6" i="3"/>
  <c r="CS6" i="3"/>
  <c r="CR6" i="3"/>
  <c r="CQ6" i="3"/>
  <c r="CP6" i="3"/>
  <c r="CO6" i="3"/>
  <c r="CT5" i="3"/>
  <c r="CS5" i="3"/>
  <c r="CR5" i="3"/>
  <c r="CQ5" i="3"/>
  <c r="CP5" i="3"/>
  <c r="CO5" i="3"/>
  <c r="CT4" i="3"/>
  <c r="CS4" i="3"/>
  <c r="CR4" i="3"/>
  <c r="CQ4" i="3"/>
  <c r="CP4" i="3"/>
  <c r="CO4" i="3"/>
  <c r="CT3" i="3"/>
  <c r="CS3" i="3"/>
  <c r="CR3" i="3"/>
  <c r="CQ3" i="3"/>
  <c r="CP3" i="3"/>
  <c r="CO3" i="3"/>
  <c r="CR11" i="2"/>
  <c r="CS11" i="2"/>
  <c r="CT11" i="2"/>
  <c r="CQ11" i="2"/>
  <c r="CT9" i="2"/>
  <c r="CS9" i="2"/>
  <c r="CR9" i="2"/>
  <c r="CQ9" i="2"/>
  <c r="CP9" i="2"/>
  <c r="CO9" i="2"/>
  <c r="CT8" i="2"/>
  <c r="CS8" i="2"/>
  <c r="CR8" i="2"/>
  <c r="CQ8" i="2"/>
  <c r="CP8" i="2"/>
  <c r="CO8" i="2"/>
  <c r="CT7" i="2"/>
  <c r="CS7" i="2"/>
  <c r="CR7" i="2"/>
  <c r="CQ7" i="2"/>
  <c r="CP7" i="2"/>
  <c r="CO7" i="2"/>
  <c r="CT6" i="2"/>
  <c r="CS6" i="2"/>
  <c r="CR6" i="2"/>
  <c r="CQ6" i="2"/>
  <c r="CP6" i="2"/>
  <c r="CO6" i="2"/>
  <c r="CT5" i="2"/>
  <c r="CS5" i="2"/>
  <c r="CR5" i="2"/>
  <c r="CQ5" i="2"/>
  <c r="CP5" i="2"/>
  <c r="CO5" i="2"/>
  <c r="CT4" i="2"/>
  <c r="CS4" i="2"/>
  <c r="CR4" i="2"/>
  <c r="CQ4" i="2"/>
  <c r="CP4" i="2"/>
  <c r="CO4" i="2"/>
  <c r="CT3" i="2"/>
  <c r="CS3" i="2"/>
  <c r="CR3" i="2"/>
  <c r="CQ3" i="2"/>
  <c r="CP3" i="2"/>
  <c r="CO3" i="2"/>
  <c r="CT9" i="12"/>
  <c r="CS9" i="12"/>
  <c r="CR9" i="12"/>
  <c r="CQ9" i="12"/>
  <c r="CP9" i="12"/>
  <c r="CO9" i="12"/>
  <c r="CT8" i="12"/>
  <c r="CS8" i="12"/>
  <c r="CR8" i="12"/>
  <c r="CQ8" i="12"/>
  <c r="CP8" i="12"/>
  <c r="CO8" i="12"/>
  <c r="CT7" i="12"/>
  <c r="CS7" i="12"/>
  <c r="CR7" i="12"/>
  <c r="CQ7" i="12"/>
  <c r="CP7" i="12"/>
  <c r="CO7" i="12"/>
  <c r="CT6" i="12"/>
  <c r="CS6" i="12"/>
  <c r="CR6" i="12"/>
  <c r="CQ6" i="12"/>
  <c r="CP6" i="12"/>
  <c r="CO6" i="12"/>
  <c r="CT5" i="12"/>
  <c r="CS5" i="12"/>
  <c r="CR5" i="12"/>
  <c r="CQ5" i="12"/>
  <c r="CP5" i="12"/>
  <c r="CO5" i="12"/>
  <c r="CT4" i="12"/>
  <c r="CS4" i="12"/>
  <c r="CR4" i="12"/>
  <c r="CQ4" i="12"/>
  <c r="CP4" i="12"/>
  <c r="CO4" i="12"/>
  <c r="CT3" i="12"/>
  <c r="CS3" i="12"/>
  <c r="CR3" i="12"/>
  <c r="CQ3" i="12"/>
  <c r="CP3" i="12"/>
  <c r="CO3" i="12"/>
  <c r="B43" i="39"/>
  <c r="B36" i="39"/>
  <c r="C3" i="39" s="1"/>
  <c r="B45" i="37"/>
  <c r="B41" i="37"/>
  <c r="B36" i="38"/>
  <c r="C4" i="38" s="1"/>
  <c r="B41" i="47"/>
  <c r="C38" i="46"/>
  <c r="C39" i="46" s="1"/>
  <c r="D88" i="44"/>
  <c r="D89" i="44" s="1"/>
  <c r="B88" i="44"/>
  <c r="D81" i="44"/>
  <c r="D82" i="44" s="1"/>
  <c r="B81" i="44"/>
  <c r="D74" i="44"/>
  <c r="D75" i="44" s="1"/>
  <c r="B74" i="44"/>
  <c r="D67" i="44"/>
  <c r="D68" i="44" s="1"/>
  <c r="B67" i="44"/>
  <c r="D60" i="44"/>
  <c r="D61" i="44" s="1"/>
  <c r="B60" i="44"/>
  <c r="K59" i="44"/>
  <c r="K61" i="44" s="1"/>
  <c r="K54" i="44"/>
  <c r="K56" i="44" s="1"/>
  <c r="B53" i="44"/>
  <c r="D46" i="44"/>
  <c r="B46" i="44"/>
  <c r="D51" i="40"/>
  <c r="B51" i="40"/>
  <c r="D41" i="40"/>
  <c r="C23" i="40" s="1"/>
  <c r="B41" i="40"/>
  <c r="B49" i="23"/>
  <c r="B40" i="23"/>
  <c r="B35" i="22"/>
  <c r="B69" i="45"/>
  <c r="B59" i="45"/>
  <c r="B49" i="45"/>
  <c r="E113" i="43"/>
  <c r="D113" i="43"/>
  <c r="E112" i="43"/>
  <c r="D112" i="43"/>
  <c r="D110" i="43"/>
  <c r="D107" i="43"/>
  <c r="F107" i="43" s="1"/>
  <c r="K107" i="43" s="1"/>
  <c r="L107" i="43" s="1"/>
  <c r="D105" i="43"/>
  <c r="F105" i="43" s="1"/>
  <c r="C40" i="46"/>
  <c r="C41" i="46"/>
  <c r="C43" i="46"/>
  <c r="C42" i="46"/>
  <c r="C48" i="46"/>
  <c r="C47" i="46"/>
  <c r="C49" i="46"/>
  <c r="C44" i="46"/>
  <c r="C50" i="46"/>
  <c r="C45" i="46"/>
  <c r="C46" i="46"/>
  <c r="C51" i="46"/>
  <c r="F57" i="45"/>
  <c r="E71" i="45"/>
  <c r="J57" i="45"/>
  <c r="F58" i="23"/>
  <c r="F48" i="23"/>
  <c r="E70" i="45"/>
  <c r="G58" i="23"/>
  <c r="G57" i="45"/>
  <c r="E45" i="47"/>
  <c r="F43" i="22"/>
  <c r="G45" i="47"/>
  <c r="G43" i="22"/>
  <c r="E72" i="45"/>
  <c r="G48" i="23"/>
  <c r="E43" i="22"/>
  <c r="E58" i="23"/>
  <c r="E48" i="23"/>
  <c r="E57" i="45"/>
  <c r="F45" i="47"/>
  <c r="E69" i="45"/>
  <c r="C4" i="37" l="1"/>
  <c r="C29" i="45"/>
  <c r="C31" i="45"/>
  <c r="C33" i="45"/>
  <c r="H58" i="23"/>
  <c r="H43" i="22"/>
  <c r="H48" i="23"/>
  <c r="F46" i="45"/>
  <c r="B46" i="45"/>
  <c r="D46" i="45"/>
  <c r="H57" i="45"/>
  <c r="C4" i="47"/>
  <c r="C4" i="22"/>
  <c r="CT11" i="10"/>
  <c r="CS11" i="10"/>
  <c r="D108" i="43"/>
  <c r="F108" i="43" s="1"/>
  <c r="K108" i="43" s="1"/>
  <c r="L108" i="43" s="1"/>
  <c r="D55" i="44"/>
  <c r="D50" i="44"/>
  <c r="D47" i="44"/>
  <c r="D48" i="44"/>
  <c r="D49" i="44"/>
  <c r="D57" i="40"/>
  <c r="D53" i="40"/>
  <c r="D50" i="40"/>
  <c r="D56" i="40"/>
  <c r="D52" i="40"/>
  <c r="D54" i="40"/>
  <c r="D58" i="40"/>
  <c r="D55" i="40"/>
  <c r="D45" i="40"/>
  <c r="D44" i="40"/>
  <c r="D42" i="40"/>
  <c r="D47" i="40"/>
  <c r="D43" i="40"/>
  <c r="D48" i="40"/>
  <c r="D46" i="40"/>
  <c r="H106" i="43"/>
  <c r="K106" i="43"/>
  <c r="L106" i="43" s="1"/>
  <c r="H105" i="43"/>
  <c r="K105" i="43"/>
  <c r="L105" i="43" s="1"/>
  <c r="H107" i="43"/>
  <c r="F112" i="43"/>
  <c r="K112" i="43" s="1"/>
  <c r="L112" i="43" s="1"/>
  <c r="F113" i="43"/>
  <c r="K113" i="43" s="1"/>
  <c r="L113" i="43" s="1"/>
  <c r="C4" i="45"/>
  <c r="H55" i="64"/>
  <c r="H46" i="64"/>
  <c r="J42" i="64"/>
  <c r="C28" i="64" s="1"/>
  <c r="K110" i="43"/>
  <c r="L110" i="43" s="1"/>
  <c r="H110" i="43"/>
  <c r="H113" i="43"/>
  <c r="E109" i="43"/>
  <c r="F109" i="43" s="1"/>
  <c r="E111" i="43"/>
  <c r="F111" i="43" s="1"/>
  <c r="C4" i="23"/>
  <c r="D83" i="44"/>
  <c r="D76" i="44"/>
  <c r="K55" i="44"/>
  <c r="D69" i="44"/>
  <c r="D39" i="46"/>
  <c r="K60" i="44"/>
  <c r="D90" i="44"/>
  <c r="C4" i="46"/>
  <c r="C4" i="40"/>
  <c r="N4" i="45"/>
  <c r="D62" i="44"/>
  <c r="D54" i="44"/>
  <c r="D56" i="44"/>
  <c r="D63" i="44"/>
  <c r="D64" i="44"/>
  <c r="D70" i="44"/>
  <c r="D71" i="44"/>
  <c r="D77" i="44"/>
  <c r="D78" i="44"/>
  <c r="D84" i="44"/>
  <c r="D85" i="44"/>
  <c r="D91" i="44"/>
  <c r="D92" i="44"/>
  <c r="D57" i="44"/>
  <c r="C4" i="44"/>
  <c r="H64" i="45"/>
  <c r="C9" i="45" s="1"/>
  <c r="F69" i="45"/>
  <c r="F71" i="45"/>
  <c r="F70" i="45"/>
  <c r="F72" i="45"/>
  <c r="D51" i="46"/>
  <c r="D41" i="46"/>
  <c r="D44" i="46"/>
  <c r="D46" i="46"/>
  <c r="D49" i="46"/>
  <c r="D48" i="46"/>
  <c r="D50" i="46"/>
  <c r="D45" i="46"/>
  <c r="D40" i="46"/>
  <c r="D43" i="46"/>
  <c r="D42" i="46"/>
  <c r="D47" i="46"/>
  <c r="E44" i="40"/>
  <c r="G48" i="40"/>
  <c r="G43" i="40"/>
  <c r="E42" i="40"/>
  <c r="F44" i="40"/>
  <c r="G44" i="40"/>
  <c r="E45" i="40"/>
  <c r="E43" i="40"/>
  <c r="F42" i="40"/>
  <c r="G45" i="40"/>
  <c r="F47" i="40"/>
  <c r="F43" i="40"/>
  <c r="G54" i="40"/>
  <c r="E52" i="40"/>
  <c r="G58" i="40"/>
  <c r="G42" i="40"/>
  <c r="E54" i="40"/>
  <c r="C6" i="45"/>
  <c r="H108" i="43" l="1"/>
  <c r="H112" i="43"/>
  <c r="C30" i="64"/>
  <c r="K111" i="43"/>
  <c r="L111" i="43" s="1"/>
  <c r="H111" i="43"/>
  <c r="K109" i="43"/>
  <c r="L109" i="43" s="1"/>
  <c r="H109" i="43"/>
  <c r="E40" i="46"/>
  <c r="E45" i="46"/>
  <c r="E42" i="46"/>
  <c r="E41" i="46"/>
  <c r="E50" i="46"/>
  <c r="E44" i="46"/>
  <c r="E46" i="46"/>
  <c r="E51" i="46"/>
  <c r="E49" i="46"/>
  <c r="E48" i="46"/>
  <c r="E47" i="46"/>
  <c r="E43" i="46"/>
  <c r="H43" i="40"/>
  <c r="H42" i="40"/>
  <c r="I70" i="45" a="1"/>
  <c r="I70" i="45" s="1"/>
  <c r="H69" i="45" a="1"/>
  <c r="H69" i="45" s="1"/>
  <c r="I69" i="45" a="1"/>
  <c r="I69" i="45" s="1"/>
  <c r="H70" i="45" a="1"/>
  <c r="H70" i="45" s="1"/>
  <c r="E50" i="44"/>
  <c r="G50" i="44"/>
  <c r="G64" i="44"/>
  <c r="E85" i="44"/>
  <c r="E92" i="44"/>
  <c r="G78" i="44"/>
  <c r="G71" i="44"/>
  <c r="E78" i="44"/>
  <c r="F57" i="44"/>
  <c r="F85" i="44"/>
  <c r="G85" i="44"/>
  <c r="F64" i="44"/>
  <c r="E71" i="44"/>
  <c r="F92" i="44"/>
  <c r="F50" i="44"/>
  <c r="F71" i="44"/>
  <c r="G57" i="44"/>
  <c r="E64" i="44"/>
  <c r="E57" i="44"/>
  <c r="G92" i="44"/>
  <c r="F78" i="44"/>
  <c r="F58" i="40"/>
  <c r="G47" i="40"/>
  <c r="E56" i="40"/>
  <c r="G55" i="40"/>
  <c r="F57" i="40"/>
  <c r="F48" i="40"/>
  <c r="E48" i="40"/>
  <c r="E47" i="40"/>
  <c r="G56" i="40"/>
  <c r="F56" i="40"/>
  <c r="F45" i="40"/>
  <c r="E55" i="40"/>
  <c r="E46" i="40"/>
  <c r="G46" i="40"/>
  <c r="E57" i="40"/>
  <c r="F54" i="40"/>
  <c r="E58" i="40"/>
  <c r="F46" i="40"/>
  <c r="G57" i="40"/>
  <c r="F55" i="40"/>
  <c r="H54" i="40" l="1"/>
  <c r="H58" i="40"/>
  <c r="H57" i="40"/>
  <c r="H46" i="40"/>
  <c r="C27" i="45"/>
  <c r="H56" i="40"/>
  <c r="H48" i="40"/>
  <c r="H47" i="40"/>
  <c r="H44" i="40"/>
  <c r="J43" i="40"/>
  <c r="G41" i="46" a="1"/>
  <c r="G41" i="46" s="1"/>
  <c r="F40" i="46" a="1"/>
  <c r="F40" i="46" s="1"/>
  <c r="F41" i="46" a="1"/>
  <c r="F41" i="46" s="1"/>
  <c r="G40" i="46" a="1"/>
  <c r="G40" i="46" s="1"/>
  <c r="H45" i="40"/>
  <c r="H55" i="40"/>
  <c r="H50" i="44"/>
  <c r="H71" i="44"/>
  <c r="H85" i="44"/>
  <c r="H92" i="44"/>
  <c r="H78" i="44"/>
  <c r="H64" i="44"/>
  <c r="H57" i="44"/>
  <c r="C27" i="46" l="1"/>
  <c r="E56" i="44"/>
  <c r="G84" i="44"/>
  <c r="E49" i="44"/>
  <c r="G91" i="44"/>
  <c r="F84" i="44"/>
  <c r="F77" i="44"/>
  <c r="E63" i="44"/>
  <c r="G63" i="44"/>
  <c r="F63" i="44"/>
  <c r="E70" i="44"/>
  <c r="G49" i="44"/>
  <c r="G56" i="44"/>
  <c r="F70" i="44"/>
  <c r="E91" i="44"/>
  <c r="F56" i="44"/>
  <c r="E84" i="44"/>
  <c r="E77" i="44"/>
  <c r="F91" i="44"/>
  <c r="G70" i="44"/>
  <c r="F49" i="44"/>
  <c r="G77" i="44"/>
  <c r="E55" i="44"/>
  <c r="G82" i="44"/>
  <c r="F89" i="44"/>
  <c r="G68" i="44"/>
  <c r="L60" i="44"/>
  <c r="F75" i="44"/>
  <c r="G55" i="44"/>
  <c r="E76" i="44"/>
  <c r="E62" i="44"/>
  <c r="E82" i="44"/>
  <c r="F61" i="44"/>
  <c r="G76" i="44"/>
  <c r="L61" i="44"/>
  <c r="F62" i="44"/>
  <c r="F68" i="44"/>
  <c r="F83" i="44"/>
  <c r="F76" i="44"/>
  <c r="G69" i="44"/>
  <c r="G90" i="44"/>
  <c r="F54" i="44"/>
  <c r="F82" i="44"/>
  <c r="L56" i="44"/>
  <c r="E54" i="44"/>
  <c r="E48" i="44"/>
  <c r="G89" i="44"/>
  <c r="E47" i="44"/>
  <c r="E89" i="44"/>
  <c r="G61" i="44"/>
  <c r="G47" i="44"/>
  <c r="F48" i="44"/>
  <c r="F90" i="44"/>
  <c r="E75" i="44"/>
  <c r="E68" i="44"/>
  <c r="E90" i="44"/>
  <c r="G48" i="44"/>
  <c r="E61" i="44"/>
  <c r="F55" i="44"/>
  <c r="G54" i="44"/>
  <c r="G83" i="44"/>
  <c r="F47" i="44"/>
  <c r="E69" i="44"/>
  <c r="G62" i="44"/>
  <c r="L55" i="44"/>
  <c r="G75" i="44"/>
  <c r="E83" i="44"/>
  <c r="F69" i="44"/>
  <c r="G44" i="47"/>
  <c r="G50" i="45"/>
  <c r="F47" i="23"/>
  <c r="E44" i="47"/>
  <c r="F52" i="40"/>
  <c r="E43" i="23"/>
  <c r="F43" i="37"/>
  <c r="E45" i="23"/>
  <c r="F39" i="39"/>
  <c r="G39" i="22"/>
  <c r="G56" i="23"/>
  <c r="G46" i="37"/>
  <c r="E39" i="22"/>
  <c r="F57" i="23"/>
  <c r="G41" i="22"/>
  <c r="F40" i="22"/>
  <c r="E56" i="23"/>
  <c r="E55" i="45"/>
  <c r="E66" i="45"/>
  <c r="G53" i="45"/>
  <c r="F38" i="22"/>
  <c r="F56" i="23"/>
  <c r="F38" i="38"/>
  <c r="F43" i="47"/>
  <c r="F40" i="39"/>
  <c r="G54" i="23"/>
  <c r="G51" i="23"/>
  <c r="G43" i="47"/>
  <c r="F45" i="39"/>
  <c r="F55" i="45"/>
  <c r="G44" i="23"/>
  <c r="J51" i="45"/>
  <c r="G41" i="23"/>
  <c r="F53" i="40"/>
  <c r="F60" i="45"/>
  <c r="G54" i="45"/>
  <c r="F56" i="45"/>
  <c r="E54" i="23"/>
  <c r="E53" i="40"/>
  <c r="G46" i="23"/>
  <c r="J55" i="45"/>
  <c r="E51" i="23"/>
  <c r="G42" i="37"/>
  <c r="G39" i="39"/>
  <c r="J50" i="45"/>
  <c r="E46" i="23"/>
  <c r="F54" i="45"/>
  <c r="F44" i="23"/>
  <c r="E42" i="23"/>
  <c r="G47" i="23"/>
  <c r="F53" i="45"/>
  <c r="J52" i="45"/>
  <c r="E42" i="22"/>
  <c r="E37" i="39"/>
  <c r="J60" i="45"/>
  <c r="E37" i="38"/>
  <c r="G52" i="23"/>
  <c r="G45" i="23"/>
  <c r="E60" i="45"/>
  <c r="G38" i="22"/>
  <c r="F37" i="39"/>
  <c r="G51" i="45"/>
  <c r="E45" i="39"/>
  <c r="G47" i="37"/>
  <c r="F37" i="22"/>
  <c r="E53" i="23"/>
  <c r="F54" i="23"/>
  <c r="E57" i="23"/>
  <c r="F66" i="45"/>
  <c r="G43" i="37"/>
  <c r="E43" i="47"/>
  <c r="J61" i="45"/>
  <c r="E40" i="22"/>
  <c r="G55" i="45"/>
  <c r="F44" i="47"/>
  <c r="E55" i="23"/>
  <c r="G47" i="39"/>
  <c r="F47" i="37"/>
  <c r="G43" i="23"/>
  <c r="E38" i="22"/>
  <c r="F42" i="23"/>
  <c r="G40" i="39"/>
  <c r="E36" i="22"/>
  <c r="E52" i="23"/>
  <c r="F42" i="22"/>
  <c r="F44" i="39"/>
  <c r="F55" i="23"/>
  <c r="E47" i="39"/>
  <c r="G57" i="23"/>
  <c r="F39" i="22"/>
  <c r="F46" i="37"/>
  <c r="G37" i="22"/>
  <c r="E38" i="39"/>
  <c r="E44" i="39"/>
  <c r="F38" i="39"/>
  <c r="F43" i="23"/>
  <c r="E40" i="39"/>
  <c r="J56" i="45"/>
  <c r="G40" i="22"/>
  <c r="G66" i="45"/>
  <c r="J36" i="39"/>
  <c r="E47" i="37"/>
  <c r="G38" i="38"/>
  <c r="F36" i="22"/>
  <c r="E41" i="22"/>
  <c r="F61" i="45"/>
  <c r="G42" i="22"/>
  <c r="F51" i="23"/>
  <c r="G42" i="23"/>
  <c r="G52" i="40"/>
  <c r="E43" i="37"/>
  <c r="N10" i="45"/>
  <c r="F51" i="45"/>
  <c r="F52" i="45"/>
  <c r="G42" i="47"/>
  <c r="E39" i="39"/>
  <c r="G45" i="39"/>
  <c r="E50" i="45"/>
  <c r="E51" i="45"/>
  <c r="E52" i="45"/>
  <c r="G53" i="23"/>
  <c r="F41" i="23"/>
  <c r="E46" i="37"/>
  <c r="G61" i="45"/>
  <c r="F42" i="47"/>
  <c r="G60" i="45"/>
  <c r="G38" i="39"/>
  <c r="F52" i="23"/>
  <c r="F53" i="23"/>
  <c r="G36" i="22"/>
  <c r="E42" i="47"/>
  <c r="G37" i="38"/>
  <c r="E61" i="45"/>
  <c r="G52" i="45"/>
  <c r="F50" i="45"/>
  <c r="F42" i="37"/>
  <c r="N7" i="45"/>
  <c r="E38" i="38"/>
  <c r="J54" i="45"/>
  <c r="E37" i="22"/>
  <c r="F41" i="22"/>
  <c r="G46" i="39"/>
  <c r="F46" i="39"/>
  <c r="J53" i="45"/>
  <c r="G55" i="23"/>
  <c r="G56" i="45"/>
  <c r="F46" i="23"/>
  <c r="F47" i="39"/>
  <c r="E41" i="23"/>
  <c r="E56" i="45"/>
  <c r="E46" i="39"/>
  <c r="G37" i="39"/>
  <c r="E42" i="37"/>
  <c r="E47" i="23"/>
  <c r="E53" i="45"/>
  <c r="C16" i="45"/>
  <c r="F37" i="38"/>
  <c r="F45" i="23"/>
  <c r="E54" i="45"/>
  <c r="G44" i="39"/>
  <c r="E44" i="23"/>
  <c r="G53" i="40"/>
  <c r="C7" i="45" l="1"/>
  <c r="J45" i="47"/>
  <c r="H45" i="47"/>
  <c r="I45" i="47"/>
  <c r="J53" i="40"/>
  <c r="H54" i="45"/>
  <c r="I43" i="47"/>
  <c r="H55" i="23"/>
  <c r="H55" i="45"/>
  <c r="H47" i="39"/>
  <c r="H62" i="44"/>
  <c r="H48" i="44"/>
  <c r="H55" i="44"/>
  <c r="H76" i="44"/>
  <c r="H83" i="44"/>
  <c r="H69" i="44"/>
  <c r="H43" i="47"/>
  <c r="H70" i="44"/>
  <c r="H49" i="44"/>
  <c r="H63" i="44"/>
  <c r="H84" i="44"/>
  <c r="H91" i="44"/>
  <c r="H77" i="44"/>
  <c r="H56" i="44"/>
  <c r="H51" i="23"/>
  <c r="J46" i="45"/>
  <c r="J38" i="39"/>
  <c r="H46" i="39"/>
  <c r="H90" i="44"/>
  <c r="H36" i="22"/>
  <c r="H40" i="22"/>
  <c r="K50" i="44"/>
  <c r="J48" i="44" a="1"/>
  <c r="J48" i="44" s="1"/>
  <c r="H50" i="45"/>
  <c r="H39" i="22"/>
  <c r="H42" i="22"/>
  <c r="J90" i="44"/>
  <c r="J39" i="44" s="1"/>
  <c r="C26" i="44" s="1"/>
  <c r="H53" i="40"/>
  <c r="H44" i="23"/>
  <c r="H51" i="45"/>
  <c r="H46" i="23"/>
  <c r="H47" i="37"/>
  <c r="J43" i="47"/>
  <c r="H47" i="23"/>
  <c r="K36" i="39"/>
  <c r="H52" i="40"/>
  <c r="H41" i="22"/>
  <c r="H66" i="45"/>
  <c r="C19" i="45" s="1"/>
  <c r="H44" i="47"/>
  <c r="H60" i="45"/>
  <c r="H45" i="23"/>
  <c r="H37" i="22"/>
  <c r="M60" i="44"/>
  <c r="H39" i="39"/>
  <c r="H43" i="37"/>
  <c r="H42" i="37"/>
  <c r="J44" i="47"/>
  <c r="H57" i="23"/>
  <c r="H46" i="37"/>
  <c r="M55" i="44"/>
  <c r="H42" i="23"/>
  <c r="H56" i="45"/>
  <c r="H37" i="39"/>
  <c r="H52" i="23"/>
  <c r="H89" i="44"/>
  <c r="H44" i="39"/>
  <c r="H61" i="45"/>
  <c r="L46" i="45"/>
  <c r="H53" i="45"/>
  <c r="H37" i="38"/>
  <c r="H38" i="39"/>
  <c r="H54" i="23"/>
  <c r="H38" i="22"/>
  <c r="H52" i="45"/>
  <c r="H56" i="23"/>
  <c r="H41" i="23"/>
  <c r="I44" i="47"/>
  <c r="H40" i="39"/>
  <c r="H47" i="44"/>
  <c r="H54" i="44"/>
  <c r="H68" i="44"/>
  <c r="H61" i="44"/>
  <c r="H82" i="44"/>
  <c r="H75" i="44"/>
  <c r="H38" i="38"/>
  <c r="H43" i="23"/>
  <c r="H53" i="23"/>
  <c r="H46" i="45"/>
  <c r="H45" i="39"/>
  <c r="C27" i="47" l="1"/>
  <c r="J41" i="40"/>
  <c r="C27" i="40" s="1"/>
  <c r="C29" i="40"/>
  <c r="C27" i="23"/>
  <c r="M52" i="44"/>
  <c r="C29" i="44" s="1"/>
  <c r="C22" i="39"/>
  <c r="C18" i="45"/>
  <c r="C28" i="37"/>
  <c r="C28" i="44"/>
  <c r="J46" i="44"/>
</calcChain>
</file>

<file path=xl/comments1.xml><?xml version="1.0" encoding="utf-8"?>
<comments xmlns="http://schemas.openxmlformats.org/spreadsheetml/2006/main">
  <authors>
    <author>Phoebe Fryer</author>
  </authors>
  <commentList>
    <comment ref="Q4" authorId="0" shapeId="0">
      <text>
        <r>
          <rPr>
            <b/>
            <sz val="9"/>
            <color indexed="81"/>
            <rFont val="Tahoma"/>
            <family val="2"/>
          </rPr>
          <t>Phoebe Fryer:</t>
        </r>
        <r>
          <rPr>
            <sz val="9"/>
            <color indexed="81"/>
            <rFont val="Tahoma"/>
            <family val="2"/>
          </rPr>
          <t xml:space="preserve">
Asian</t>
        </r>
      </text>
    </comment>
    <comment ref="BY4" authorId="0" shapeId="0">
      <text>
        <r>
          <rPr>
            <b/>
            <sz val="9"/>
            <color indexed="81"/>
            <rFont val="Tahoma"/>
            <family val="2"/>
          </rPr>
          <t>Phoebe Fryer:</t>
        </r>
        <r>
          <rPr>
            <sz val="9"/>
            <color indexed="81"/>
            <rFont val="Tahoma"/>
            <family val="2"/>
          </rPr>
          <t xml:space="preserve">
Asian</t>
        </r>
      </text>
    </comment>
  </commentList>
</comments>
</file>

<file path=xl/comments2.xml><?xml version="1.0" encoding="utf-8"?>
<comments xmlns="http://schemas.openxmlformats.org/spreadsheetml/2006/main">
  <authors>
    <author>Phoebe Fryer</author>
  </authors>
  <commentList>
    <comment ref="Q4" authorId="0" shapeId="0">
      <text>
        <r>
          <rPr>
            <b/>
            <sz val="9"/>
            <color indexed="81"/>
            <rFont val="Tahoma"/>
            <family val="2"/>
          </rPr>
          <t>Phoebe Fryer:</t>
        </r>
        <r>
          <rPr>
            <sz val="9"/>
            <color indexed="81"/>
            <rFont val="Tahoma"/>
            <family val="2"/>
          </rPr>
          <t xml:space="preserve">
Asian</t>
        </r>
      </text>
    </comment>
    <comment ref="AU4" authorId="0" shapeId="0">
      <text>
        <r>
          <rPr>
            <b/>
            <sz val="9"/>
            <color indexed="81"/>
            <rFont val="Tahoma"/>
            <family val="2"/>
          </rPr>
          <t>Phoebe Fryer:</t>
        </r>
        <r>
          <rPr>
            <sz val="9"/>
            <color indexed="81"/>
            <rFont val="Tahoma"/>
            <family val="2"/>
          </rPr>
          <t xml:space="preserve">
Asian</t>
        </r>
      </text>
    </comment>
  </commentList>
</comments>
</file>

<file path=xl/comments3.xml><?xml version="1.0" encoding="utf-8"?>
<comments xmlns="http://schemas.openxmlformats.org/spreadsheetml/2006/main">
  <authors>
    <author>Phoebe Fryer</author>
  </authors>
  <commentList>
    <comment ref="Q4" authorId="0" shapeId="0">
      <text>
        <r>
          <rPr>
            <b/>
            <sz val="9"/>
            <color indexed="81"/>
            <rFont val="Tahoma"/>
            <family val="2"/>
          </rPr>
          <t>Phoebe Fryer:</t>
        </r>
        <r>
          <rPr>
            <sz val="9"/>
            <color indexed="81"/>
            <rFont val="Tahoma"/>
            <family val="2"/>
          </rPr>
          <t xml:space="preserve">
Asian</t>
        </r>
      </text>
    </comment>
  </commentList>
</comments>
</file>

<file path=xl/comments4.xml><?xml version="1.0" encoding="utf-8"?>
<comments xmlns="http://schemas.openxmlformats.org/spreadsheetml/2006/main">
  <authors>
    <author>Phoebe Fryer</author>
  </authors>
  <commentList>
    <comment ref="Q4" authorId="0" shapeId="0">
      <text>
        <r>
          <rPr>
            <b/>
            <sz val="9"/>
            <color indexed="81"/>
            <rFont val="Tahoma"/>
            <family val="2"/>
          </rPr>
          <t>Phoebe Fryer:</t>
        </r>
        <r>
          <rPr>
            <sz val="9"/>
            <color indexed="81"/>
            <rFont val="Tahoma"/>
            <family val="2"/>
          </rPr>
          <t xml:space="preserve">
Classified as Asian in this release</t>
        </r>
      </text>
    </comment>
  </commentList>
</comments>
</file>

<file path=xl/connections.xml><?xml version="1.0" encoding="utf-8"?>
<connections xmlns="http://schemas.openxmlformats.org/spreadsheetml/2006/main">
  <connection id="1" keepAlive="1" name="Query - Append1" description="Connection to the 'Append1' query in the workbook." type="5" refreshedVersion="5" background="1" saveData="1">
    <dbPr connection="provider=Microsoft.Mashup.OleDb.1;data source=$EmbeddedMashup(1d714b3c-05ae-4229-9343-751d6b61ec8a)$;location=Append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ZnmOpIlAwAAGysAABMAHABGb3JtdWxhcy9TZWN0aW9uMS5tIKIYACigFAAAAAAAAAAAAAAAAAAAAAAAAAAAAO2aQW/aMBiG70j8B4tdWtWr1m3qZeoBUNdNKm3VVqumqgeTfBALx0a20xYh/vsMgRAoxCZFWkvNBSl5X9vx9z5xcFAQaCo4ukm/j35UK9WKioiEEJ3yLiM8bP69QieIga5WkPnciEQGYI6cPgfADpuJlMD1nZC9thC9vf3h/QWJ4aQ2d9ceRvdNwbWRPeC0kU+1ZkR413RyO+hDzbR2S9oMDm8l4aojZNwULIn5+KTaS3vEw2GtLoHUMNLmMNLwrEcYDWvXwIAoeHG8bq7oMTvMk7gNMncCfUYXk2PKSH5zffz9cNzdRPGTUMkGKGvhCswAuCZdWKMpauwclCpuKqcoamiqOP6CYsoTDQrBI8gBCslgTcNTx7fMcYCIRqYqSCRa0RCQCiIhmM1+kPVY1me6LbT8MfU2CYFx7vQTNQGjHOkIECNKo6OvKDYBitQad0s8Ut4tPLluYkf71QrlK1OZZ+GsVRKDifF/E1BQJE+Bp8CZgoZgWvCSJGRmT4OnYSdoSOSgLAup1ZPgSdgFElqEBxEoDbIkDwsNvBMqJm7CB1tgwhL7DcFYGJjHYltYZNPqCMUd7ZKyz0oz7ztBwS8QH4qEzRcIE86OyWbZvaSc/S0S4ZJ3e4x9PjfOp2v6TIjGl1U2fXP7W0yfvx9/mLxv7X58o0XQ6wupSyKR93smPBM7wQRhr3hEmbs9D56HXeDhWgRRSFjZp6ac3RPhidgFIi5ZGJG4JA+Z+Z3QsMXtzYWm/L7mG+Ng033Ner8PPDxayUAa26aI25TD3nD+HyCc/oMCz18h49n7M7z4+gDPMcP5NQjnHtDwwg8YnP+Bj/N7TTjbhB3tvxK1osA2xMDMaKHkzLBh05yLJ1TvdFgCPACbuAUhTWJ3/S/ajdzVdxHVgBqSaqoiN/GlCai0SeuKEm4TNRgJetbrp8+mhhaR05jS6rnc4aZFdNruW6qli2dFSV1sLyrrYlousLtnNqcujlm5XbSzqjvN1LT4LtpNxptGwb5CTYPgsJQtxcDuWBECu+lFBOyW5QC4OmbT6bCfPS2+XTkrvcPsTAtvV7qNs2jJ+wdQSwECLQAUAAIACACKSSRRIi1Pb6sAAAD6AAAAEgAAAAAAAAAAAAAAAAAAAAAAQ29uZmlnL1BhY2thZ2UueG1sUEsBAi0AFAACAAgAikkkUQ/K6aukAAAA6QAAABMAAAAAAAAAAAAAAAAA9wAAAFtDb250ZW50X1R5cGVzXS54bWxQSwECLQAUAAIACACKSSRRmeY6kiUDAAAbKwAAEwAAAAAAAAAAAAAAAADoAQAARm9ybXVsYXMvU2VjdGlvbjEubVBLBQYAAAAAAwADAMIAAABaBQAAAAA=&quot;" command="SELECT * FROM [Append1]"/>
  </connection>
  <connection id="2" name="Query - Bolton1" description="Connection to the 'Bolton1' query in the workbook." type="5" refreshedVersion="0" background="1">
    <dbPr connection="provider=Microsoft.Mashup.OleDb.1;data source=$EmbeddedMashup(1d714b3c-05ae-4229-9343-751d6b61ec8a)$;location=Bolton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U29/48HAwAA7w0AABMAHABGb3JtdWxhcy9TZWN0aW9uMS5tIKIYACigFAAAAAAAAAAAAAAAAAAAAAAAAAAAAJWXUU8aQRDH3034DhP6opGzsRZtMT4gVWuitCk0PhgflruR27C3S3b3VEL87t27gwruLIe8QGb+O7MzO/NLMBhbriQMqu/D08ZOY8ekTGMC50pYZ4IzEGgbO+A+A5XrGJ3l4iVGcdDLtUZp75SejJSa7O7N7/ssw7Pm4mjz4fW+p6R1modWFeFTs5cyOXbhh7MpNl2oIRsJPBhqJs2j0llPiTyThdPsVula83mzq5E1W2CdGSy+2NcWzJt/UCAz6Nm7rpYnhAiGyjIBv9U0F6wob6mUeTZCXWpvmUDCfIkZ7Tg8jo6+EvajdtSm7O12dELZT9r7SyuTs2XoQIh9wnozBMEzbrkcQ8ING3HB7YwQ9hVsrb1LuUU4105q0qD/l01Rv7+9eyubQtdwRrX5XLB44j1UL+USiQe85S+YeNYyLaBNJY9hrFU+9ST9AQwuenAYfenATz4u9EbF3A1BqTdUe6ojR1G7A7c8SQRue+Q4+taBG/W8fZLvHRjYPHHrYFzfElCrjVxts1uo4q0ecyFAaZgybcHyjBrIvxKzqVAzomF9ZeF5ESoCjZbrN9XahKzqhNvk4hd7tK6yVOUGP8cpF4lb9ZoUQrkvdyoDw+NJcfNy2gRxt0UfwiUu56p69WUOY5nNjRftknEtZvDRxYfLbnD3aV+5/iuu5S3L9aePlASgXQ4CRKySA6FY+7SD3nAieJAGdNw1IGySVM/k51vBAuEtsUDYF2AgPCUaCLsPB6r4GjzQBdYRIpwoRIjwCZIQhDxICLqEN0iQI0FgItCKrUlRmyfMCmqKQrQITsI6MAjZtWQfpcV1GBaUq2IF5aloQXkqWFCeghWBLMFY9InA/lPSMC0o9Tosworqha43ocJzVqTwzEtQeI6KE56ZwISnqaUE2ak6SGw4FMTEhjM0KLxawpygYq9gwu8KSQl6aLaGRE2WDYzwpyeIiMAQvCOEP0HqybmJ+v6T4wpl4gJdsekm1cA9qYouYiVV5oauRv3jbcU2KgtBd4yE6HWvscMl+W/r9B9QSwECLQAUAAIACACKSSRRIi1Pb6sAAAD6AAAAEgAAAAAAAAAAAAAAAAAAAAAAQ29uZmlnL1BhY2thZ2UueG1sUEsBAi0AFAACAAgAikkkUQ/K6aukAAAA6QAAABMAAAAAAAAAAAAAAAAA9wAAAFtDb250ZW50X1R5cGVzXS54bWxQSwECLQAUAAIACACKSSRRTb3/jwcDAADvDQAAEwAAAAAAAAAAAAAAAADoAQAARm9ybXVsYXMvU2VjdGlvbjEubVBLBQYAAAAAAwADAMIAAAA8BQAAAAA=&quot;" command="SELECT * FROM [Bolton1]"/>
  </connection>
  <connection id="3" name="Query - BoltonCYP" description="Connection to the 'BoltonCYP' query in the workbook." type="5" refreshedVersion="0" background="1">
    <dbPr connection="provider=Microsoft.Mashup.OleDb.1;data source=$EmbeddedMashup(1d714b3c-05ae-4229-9343-751d6b61ec8a)$;location=Bolton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TnTaM0/AQAAHwMAABMAHABGb3JtdWxhcy9TZWN0aW9uMS5tIKIYACigFAAAAAAAAAAAAAAAAAAAAAAAAAAAAJ1SXUsCQRR9X9j/cJleFDfJCl/EB1sKghJJMUJ8GHdv7uDsTMzcNZfF/94Vw4xyg+Zl4NzzwZ05HhNS1sB4f3d6YRAGPpMOU7ixmqyJX0bQB40UBsBnbAuXICO3mwR1Oy6cQ0PP1q0W1q4azWo2lDn2xUEs5ttZbA0xax7tPc5EnEmz5IhJ+YaCzSZyobE9cdL4V+vy2OoiN7uhb+wDo6oSA4dSREAMA+GGthFU4gk1So8/8AHvs97BI2S5Iblkf2YcDeEchkW+QOeZdm+oe/3FuJPK6RJqXb5x6swe0Pt6qyNGndEno3sBuTIFoQdcoyshlWX9plcHRQskgTQp2IK8ShF8klmr/5K3Don/1XFsrWTKf84twV3z6F1xx5QByhC09ASdS8i5RJk/oX60a2WWtcNTD7tthoEyvzaz9wFQSwECLQAUAAIACACKSSRRIi1Pb6sAAAD6AAAAEgAAAAAAAAAAAAAAAAAAAAAAQ29uZmlnL1BhY2thZ2UueG1sUEsBAi0AFAACAAgAikkkUQ/K6aukAAAA6QAAABMAAAAAAAAAAAAAAAAA9wAAAFtDb250ZW50X1R5cGVzXS54bWxQSwECLQAUAAIACACKSSRROdNozT8BAAAfAwAAEwAAAAAAAAAAAAAAAADoAQAARm9ybXVsYXMvU2VjdGlvbjEubVBLBQYAAAAAAwADAMIAAAB0AwAAAAA=&quot;" command="SELECT * FROM [BoltonCYP]"/>
  </connection>
  <connection id="4" name="Query - Bury1" description="Connection to the 'Bury1' query in the workbook." type="5" refreshedVersion="0" background="1">
    <dbPr connection="provider=Microsoft.Mashup.OleDb.1;data source=$EmbeddedMashup(1d714b3c-05ae-4229-9343-751d6b61ec8a)$;location=Bury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XQe1JAEAwAA6g0AABMAHABGb3JtdWxhcy9TZWN0aW9uMS5tIKIYACigFAAAAAAAAAAAAAAAAAAAAAAAAAAAAJWXUU8aQRDH3034DhP6opGzoRZtMT4gVWuitCk0PhgflruR27C3S3b3VEL87t27kwruLIe+YGb+M8PMzvwSDMaWKwnD6rN90thp7JiUaUzgLNfzNpyCQNvYAfc3VLmO0VnOn2MUB/1ca5T2VunpWKnp7t7ibsAyPG2Wgc37l7u+ktYp7ltV/KdmP2Vy4lKP5jNsukQjNhZ4MNJMmgels74SeSYLp9mtirUWi2ZPI2u2wDozWHy2Ly1YNP+gQGbQs/dcH48IEYyUZQJ+q1kuWNHaUinzbIy61N4wgYT5AjPa0T6KDr8S9sNO1KHsnU50TNmPO/tLK5PzZepAin3Cej0CwTNuuZxAwg0bc8HtnBAOFGytvU25RTjTTmrSoP+XTVG///burWwKPcOZ9B7kTLB46ln7KZdIPN8Nf8bEs5ZFAW0qeQwTrfKZJxkMYXjeh3b0pQs/+aTQGxVztwKl3lDDqUIOo04XbniSCNw25Cj61oVr9bR9ke9dGNo8ccdg3NQSUKtjXB2yO6bipR5yIUBpmDFtwfKMWse/ErOZUHNiYANl4ek1VQQaLddvqrX9WNUJd8XFf+zBus5SlRv8HKdcJO7Ma0oI5T5cVAaGx9Pim5e7Jojv9jqHcIvvnn1ZxFhmc+OJLhjXYg4fvXu46AVPn/aV17/iWi5/ef10SAkA2uUYQOQqMRDKtU876AMnkgdhQOdd48EmSfVMfr0VKhDekguE/ZUMhKdkA2H36UA1X8MHusE6RIQLhRARjiARQciDiKBbeKMEuRIEJwKj2BoVtXXCsKC2KISL4CasA4OQXUn2UVpchWFBuSpWUJ6KFpSnggXlKVgRqBLMRUcE7p+ShmlBqddhEVZUL3S1CRWesyKFZ16CwnNUnPDMBCY8TS0lyEnVQWJDUBATG2JoUHi9hDlB5V7BhD8VkhL00mwNiZoqGxjhb08QEYEleEcIf4PUo3MT/f0nxyXKxCW6ZLNNqqF7UhWdx0qqzC1djfrH24ltVBaC3gQJ0cteY4dL8sfWyT9QSwECLQAUAAIACACKSSRRIi1Pb6sAAAD6AAAAEgAAAAAAAAAAAAAAAAAAAAAAQ29uZmlnL1BhY2thZ2UueG1sUEsBAi0AFAACAAgAikkkUQ/K6aukAAAA6QAAABMAAAAAAAAAAAAAAAAA9wAAAFtDb250ZW50X1R5cGVzXS54bWxQSwECLQAUAAIACACKSSRRdB7UkAQDAADqDQAAEwAAAAAAAAAAAAAAAADoAQAARm9ybXVsYXMvU2VjdGlvbjEubVBLBQYAAAAAAwADAMIAAAA5BQAAAAA=&quot;" command="SELECT * FROM [Bury1]"/>
  </connection>
  <connection id="5" name="Query - BuryCYP" description="Connection to the 'BuryCYP' query in the workbook." type="5" refreshedVersion="0" background="1">
    <dbPr connection="provider=Microsoft.Mashup.OleDb.1;data source=$EmbeddedMashup(1d714b3c-05ae-4229-9343-751d6b61ec8a)$;location=Bury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Ql9P74/AQAAGwMAABMAHABGb3JtdWxhcy9TZWN0aW9uMS5tIKIYACigFAAAAAAAAAAAAAAAAAAAAAAAAAAAAJ2S0UsCQRDG3w/ufxiuF8VLssIX8cGOgqBEUooQH9a7yVvc243dWfM4/N8bUcwoL2hfFma+7zfM7ucwJWk0jHd3pxcGYeByYTGDG2/L5HUEfVBIYQB8xsbbFLlyu05RtRNvLWp6MXY5N2bZaFbToSiwH+2t0WwzTYwm1sziHeEsSnKhF4yflO8YMWoi5grbEyu0ezO2SIzyhd42XWM3Lq6qaGBRRDEQl4FwTZsYqugJFQqHP+oD3mW1LY+Q7ZrEgvmsOGrCOQx9MUfrWHavqXv9pbgT0qoSainfNHWwB3SuHnWkqAPtFd0LKKT2hA5whbaETJT1m14dHC0QBEJnYDw5mSG4NDdG/WVvHSb+18djay3P/OecEtymjj4kJ0xqoBxBCUfQuYSCQ5S7E+5Hs5J6Uds89bCbZhhI/Wsye59QSwECLQAUAAIACACKSSRRIi1Pb6sAAAD6AAAAEgAAAAAAAAAAAAAAAAAAAAAAQ29uZmlnL1BhY2thZ2UueG1sUEsBAi0AFAACAAgAikkkUQ/K6aukAAAA6QAAABMAAAAAAAAAAAAAAAAA9wAAAFtDb250ZW50X1R5cGVzXS54bWxQSwECLQAUAAIACACKSSRRCX0/vj8BAAAbAwAAEwAAAAAAAAAAAAAAAADoAQAARm9ybXVsYXMvU2VjdGlvbjEubVBLBQYAAAAAAwADAMIAAAB0AwAAAAA=&quot;" command="SELECT * FROM [BuryCYP]"/>
  </connection>
  <connection id="6" name="Query - England" description="Connection to the 'England' query in the workbook." type="5" refreshedVersion="0" background="1">
    <dbPr connection="provider=Microsoft.Mashup.OleDb.1;data source=$EmbeddedMashup(1d714b3c-05ae-4229-9343-751d6b61ec8a)$;location=England;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RThT1b9AgAA5g0AABMAHABGb3JtdWxhcy9TZWN0aW9uMS5tIKIYACigFAAAAAAAAAAAAAAAAAAAAAAAAAAAAJWX308iMRDH30n4HyZ7L5pjvXiK3mF8QA5/JOJdDi4+GB/K7sg2dFvSdlVC/N+vu4uK7HRBXiDz/c7UznQ+iQYjy5WEYfm9f9JsNBsmYRpj6MuJYDKGUxBomw1wn6HKdIQu0n+OUOz1Mq1R2lulp2Olpju7i7sbluJpsEwN7l/uekpa57lvlRW+BL2EyYkrP5rPMHClRmwscG+kmTQPSqc9JbJU5qLZKY9rLRZBVyMLWmBdGCw+25cWLIK/KJAZrMS77i6PCCGMlGUC/qhZJlh+vVenzNIx6sI7YOKtAJPzInaOKRHdPwoPDteDB+2wXQm22+FxJXjc/kpUpJIrvusRCJ5yy+UEYm7YmAtu5+uuGwXbGW8TbhHOtPOZhBZ/2wT1uuSmYRPoGs7kunQmWDRdD/YSLtFU+jjgzxivB4sDAW0ieQQTrbJZ5XpDGPZ7sB9+78Aln+R2oyLu5lvYjcd/ELY7MOBxLHAr/1H4owPX6mnL8j87MLRZ7B64gXxXFNW4fD/ykTxkQoDSMGPaguVppTX/JKYzoebV/twoC0/LMiFotFxvMgm3kfkv9mDdZRKVGfwWJVzEbmU3Zbovl5SC4dE0/4uLxySqJy7vvvlm5XxfjzCW2azS0nPGtZjDZ7cXzrtOuZL26HAvx8bKCpNSscekUiwzqRQbTSpurX2neGvRGfTyklbvqpPuD/te4yhnROkrm0/qxfqTypIBpFaAgFSqNKDbsAEJdUleLtQl+eBQl0MSgp6CDxOk+50VnidCAGMLZx01tkr3oYN+WD5+1DyLjxAhjVeSfRYiV4SwhAgllRChlBIilFJChFJyiHhOWdYiGEKEPVCgSvsRQrk/IsTvKCdE6asIofQSIZTyihBKKxFCKQRCyDZsQkhNkh8hNUlehNTk0Aghp+BFCPFaVghCqDRANhpr+bFFthcfRK6fHoSZhAfhG6hHZyB6+waVC5SxK3XBZnWuoZuuCvuRkip1T3CD+9f7/tU6c0N3goTpZbfZ4JL8J+vkP1BLAQItABQAAgAIAIpJJFEiLU9vqwAAAPoAAAASAAAAAAAAAAAAAAAAAAAAAABDb25maWcvUGFja2FnZS54bWxQSwECLQAUAAIACACKSSRRD8rpq6QAAADpAAAAEwAAAAAAAAAAAAAAAAD3AAAAW0NvbnRlbnRfVHlwZXNdLnhtbFBLAQItABQAAgAIAIpJJFEU4U9W/QIAAOYNAAATAAAAAAAAAAAAAAAAAOgBAABGb3JtdWxhcy9TZWN0aW9uMS5tUEsFBgAAAAADAAMAwgAAADIFAAAAAA==&quot;" command="SELECT * FROM [England]"/>
  </connection>
  <connection id="7" name="Query - EnglandCYP" description="Connection to the 'EnglandCYP' query in the workbook." type="5" refreshedVersion="0" background="1">
    <dbPr connection="provider=Microsoft.Mashup.OleDb.1;data source=$EmbeddedMashup(1d714b3c-05ae-4229-9343-751d6b61ec8a)$;location=England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Svh/LJFAQAAHQMAABMAHABGb3JtdWxhcy9TZWN0aW9uMS5tIKIYACigFAAAAAAAAAAAAAAAAAAAAAAAAAAAAJ1Sy0rDQBTdB/IPl7ipNBar0k3pooQKgpZiiyKli2lyTYZO7sjMTW0I/XenD2JBG8HZDJx7HvM4FmOWmmB62Lt93/M9mwmDCYwoVYKS6G0CA1DIvgduTXVhYnTIaBOj6kSFMUj8qs1qqfWqdVnNxyLHQfCtDhbbeaSJHW0RHkwugigTlLqQWfmBgXObiaXCzswIsu/a5JFWRU67oW0dEsOqCoYGRRACOxgYN7wNoQqeUaGw+AMfuhuta5iKfInmZABXMN5j1lEeiHt3nV3cnnEvpFEl1A4TdAcgFime4TSZPaK1zVYnjCajI6N3DbmkgtECrtGUkIjyjPFRcVsr2iAY3K+ALtjKBMHGmdbqL3m7TvyvzsU2Sl7cf7uG4K53/CldwSQBZwhKWIbuDeSuQJk9o37Sa0lp4/Dcw24vfU/Sr63sfwFQSwECLQAUAAIACACKSSRRIi1Pb6sAAAD6AAAAEgAAAAAAAAAAAAAAAAAAAAAAQ29uZmlnL1BhY2thZ2UueG1sUEsBAi0AFAACAAgAikkkUQ/K6aukAAAA6QAAABMAAAAAAAAAAAAAAAAA9wAAAFtDb250ZW50X1R5cGVzXS54bWxQSwECLQAUAAIACACKSSRRK+H8skUBAAAdAwAAEwAAAAAAAAAAAAAAAADoAQAARm9ybXVsYXMvU2VjdGlvbjEubVBLBQYAAAAAAwADAMIAAAB6AwAAAAA=&quot;" command="SELECT * FROM [EnglandCYP]"/>
  </connection>
  <connection id="8" keepAlive="1" name="Query - Full Data Set" description="Connection to the 'Full Data Set' query in the workbook." type="5" refreshedVersion="5" background="1" saveData="1">
    <dbPr connection="provider=Microsoft.Mashup.OleDb.1;data source=$EmbeddedMashup(1d714b3c-05ae-4229-9343-751d6b61ec8a)$;location=&quot;Full Data Set&quot;;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UkR9yq+CAAAT7cAABMAHABGb3JtdWxhcy9TZWN0aW9uMS5tIKIYACigFAAAAAAAAAAAAAAAAAAAAAAAAAAAAO2dXW/aSBSG7yPlP4zoTauFrrJt0t2sepFk02ykklYlq15UvXBgAlaMJ7KHtlGU/75jDMYf55wZG9oQOL1p5fOeMczH23l8BohlX/sqFL30772/d3d2d+KRF8mBOA2HgRcOxFsRSL27I8yfnppEfWmunP7oy+DlySSKZKg/q+jmSqmb5y/uv1x4Y/m2NUttfX34cqJCbTRf22kLz1onIy8cmuYv725lyzR16V0F8uVl5IXxtYrGJyqYjMMkGD9Pb9e+v28dRdJrtYU2l4WWP/RDW9y3PslAerGsXD8y7+WbFB1xqbQXiI/qdhJ4ydubK8PJ+EpGU23XC7IGvPBueu2dHANX9w46r16XL77a7+xXLu7vd95ULr7Z/w1oEUqu6N5fisAf+9oPh2Lgx96VH/j6rqy6UMJN+HnkaymOI6OLR3Dwgx7JqBwyo6FH4ij2vbAcOg68/k354snID2Vc6ceu/0MOyhenNxRSj0K/L4aRmtxW3l5P9E5PxF7nj0Pxrz9M5LHq+2Z8p/IY0b/q7B+Krj8YBNJJf9D581C8V98dm//rUPT0ZGAmeCyStaKgjkvWRzIk15MgECoSt16khfbHla75L5Tj20DdVfvnQmnxfdZMR0RS+5FNFJgVmfzLu9bmzYzUJJa/90d+MDBL1pZp/jJJYxH7/ZvkFU8nU1C94+y9299ZOr7zW8Ta05NKl77z/Ci4E3VXr3h3ZCLnoT54/TKxjdwSBkPTdQxGposZjExXNBgxyxq7C9oWnAEvXlCKLnVQXVjvhCIdIyieW/lgfLr8wcjMA8DY1AjASNUN4G6wWAKVhPoClYSZA5UDOgQ8CphNgOqFVyBTBDAMByXlGk7pmHXAEwvzD2JaFE0EFJ6HXl0TOQcCMxOBQqmJQJHURKBIaiJQJDER5C6ztgAPAS4jpgA1jVsIpC5aCK5IRwiK5y0EiqcWAkXmFgLFUguBIoCFgN1gsxAiCbcQIgm1ECIHthBwFFALAWZLzkGAKGwgViHpHw7ZqH0Aubh7AGLQPABdV30zAqBvM1M5k+HANHXm3VKqnhld1Tntq1CNzRS0qP9ZrD9SmQiOhhIQPbzY3fFDELLyUHfWbcJzZ90nhnIVF8c8HHNwzL9h98a8G2wFUtPk5uLbNtemPZt2bMyvcbfGvNrJqRv4dAOXru/RNR26jj8D2ioMFqYBwYOozgUJiWQbFeYnjw0MKxMAZsP8Ol4GD5GtHRjLASK8uQNDOUSEtnfYnfDmkBwK/Nw3eaAcAEVqmwcKKqgIb/QWodLTIiCS40TLMyNA5MaItXd4VBZNibX2ePAY0JyI+wg2SVBSbO4mbvk0Kzp7CizHaRHdhW0MLkJuAl3fDmAsGknlMoWKzjaySZxIOAg8MzBSXMI/XNJJVnR3D/zxAUCLFTfYbFw8VoFW4V4TZpylMji6gCNYEnwy1EhUCDFkzAaqBIzZ9QIuZldxWMwkjIqF3vhpoIjcwo6JWeJKqodZa4/Gh4WzAEvCYcEHVk2G1pMCK8ZCwBaA6KYBoeOBAjzDhoLWYwU1OJA8X7BCCKx70ACaRQ74RxkGIGPwWxfwg6yiEiwhX9komPfgPl0e9miXWBXp1faI6uyxMx7pENUZtOF0N4numrFdkshkt9Vklw0Icx1zXT2uKw07gx2DHYMdgx2DHYMdgx2DHYPdsmDX9cL+SMamdxvhXS6dIW/zIS9fJV/FoU+Y9ewf9WPU++WnPZt+ANCd9XIv76d/CHAZ2Kvs4NaY95w2ceuAfOWnQVCoDH3EMyFItZ4HPJ8A+dX/1DDY/fW5z+4d+GxAyS/TMfqtC/rB2wo+zLl+hznXHQPzM2mFxzi3BAY/BIORN24EgrNUhsCt+PDf4j9mPse5HAQ6f/MLF/tKIi72cbGPi31c7HNAvkcr9hWtgnEP9wmu9HGljyt99eAueeGOZPdJ9UcDY1qN2C5LZrpzobvsdTPbbTfbrazA5/Tdnkx3THdL0F22gWC022y0W6qax1wHbhQY7VzQDi/jMd0x3THdLVO663mBoa1BI76b5zLebfsJTv6k3iPQ3WYU7yxnKRjwHhvwuHzHjMeMx4zH5TsGPAa8pwd4WvVvblWkmyFels2QtxUnNAGTZsirD3l8PJMLeMx3zHdrxnfNdm+MeHw8k/luFXznZBEMd08J7iom9GsOZl4aPIv9QbODmVkyQ93mV+6oc5mMdIx0jHSMdIx0TxbpuGTHJTtGOi7ZMdWtkuoetWRnUOu68aHMLJnZbvPZjqjWFdyZyY5PZDLcMdwx3DHcbRvccbGOyY6LdYx1oAn9mmLdZ3/oNfuJ8zSTUW7zUY7LdAxzDHMMcwxzmwpzzTZszHPMc8xzXKljpFu378Z81nqXdNM/nvZET+oWyHcplZ2o8ZVZY8/vT8NhYGZaW5x12+JYBVqFe+30V9Lb+d/Ua89/U6G9+ArOdvZlLe3cp/rai6Og7UXlsD1jzocXS/Ii4e0fpRGF2huaVkxaHgOhUIaCUHCOg1BsjoRQbI6FUCxFQ+RuRItYFkp/kJiiRUhfJkZcM6dGSFFkR0gxJ0gotuBIcGhnNAnFQKYEu8VOlkQaRZdEGkGYRBZGmeDIEKQJ6Qu0CU8fmDntWgt3ujRA0Cc46QgGxSdLhURBz7DzKOZC6VYVNyI8nmNT1I7wcA5TEVMi70w3TeRSNFrLoPAUAGItNoWLKjyLmhUeLtAtall4GGPdJsZlzbRgbwP7siYSEFzLxPCUMg87W5mr3I7GyxgaMT1pUHa1NVxNYzNqaue0p2HhBULjjoZFFzSN+RlxV7JdPJPg5XpehmVUKdvmZJimDNy4j2HRPH7jLoZFERhv5GGWRJrLmziYJQ/n83r+hWWUUN3dvdzUVmpfyrvQCUkyvLNzobNxTvSkqxWonlSCZE9mVOieUBcJH38/pqsvpo8Hkp3oeagPXufmlRek88p0ZiD9eBJhO9u8UkfeNxkgwiMzNN9TMaCgnj/8D1BLAQItABQAAgAIAIpJJFEiLU9vqwAAAPoAAAASAAAAAAAAAAAAAAAAAAAAAABDb25maWcvUGFja2FnZS54bWxQSwECLQAUAAIACACKSSRRD8rpq6QAAADpAAAAEwAAAAAAAAAAAAAAAAD3AAAAW0NvbnRlbnRfVHlwZXNdLnhtbFBLAQItABQAAgAIAIpJJFFJEfcqvggAAE+3AAATAAAAAAAAAAAAAAAAAOgBAABGb3JtdWxhcy9TZWN0aW9uMS5tUEsFBgAAAAADAAMAwgAAAPMKAAAAAA==&quot;" command="SELECT * FROM [Full Data Set]"/>
  </connection>
  <connection id="9" name="Query - GM" description="Connection to the 'GM' query in the workbook." type="5" refreshedVersion="0" background="1">
    <dbPr connection="provider=Microsoft.Mashup.OleDb.1;data source=$EmbeddedMashup(1d714b3c-05ae-4229-9343-751d6b61ec8a)$;location=GM;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aJ+iuDnAgAAQA4AABMAHABGb3JtdWxhcy9TZWN0aW9uMS5tIKIYACigFAAAAAAAAAAAAAAAAAAAAAAAAAAAAJWXUU/bMBSF3yv1P1x1L0xrmBgrbEU8lA4YEmXT2okHxIObmMaqY1e2A1QV/31OAqOox2noS6p7zr2ur68/pZbHTmhF4+q5d9RutVs2ZYYndD6iY5LctVvkP2Odm5j7yOljzOXuMDeGK3etzXyq9Xzn4+rmimX8uHM+6tw+3Qy1cl6+7VbJHzrDlKmZLzpZLnjHV5mwqeS7E8OUvdMmG2qZZ6oQ7U61Une16gwMZ50uOR8mxx/dU5dWnT9ccmb5Rnzgd3DPKaKJdkzSb73IJSs29eJUeTblpvSOmOQgfMYzLOwdRPtfQXy/F/VQvNeLDlH8sPcJVw9UQe7LCUmRCSfUjBJh2VRI4ZbAeKWpsfc6FY7TifFWmwb1Xy7lBqj+xFxKAysYavaJZPEcxIepUNyido/EI09AvFyfuEuViGlmdL5A2x7T+HRIe9GXPv0UsyLD6lj4kSgzbDhlP+r1aSSSRPKmKQfRtz5d6ofmi3zv09jlib8clphKSAd6Wtys4tjucilJG1ow48iJDPXrr+LZQuolbNqVdvTwXCwiw50wDXzSX+riG7tzfm+pzi3/HKdCJv7WN0j2D5+XkRXxvPj15fBJuO5zNxpttBqAl4WsYy5HrT5jwsglvZcIdDYIQgFrJRewVKIBSyUdsOQBEVwpXC6Qg28/9gZhge1veFFnqU4MGtaogQ0lONYkppbr4ABKCQ4Q3wQHMG0DR6BxW9hRmxXCR20SJEjgDEIQwfZXjoSGBKCkibWOJs3yQ0AJjFaIKdiOsIKdF4q9FyoXYaYgqUIKUiqiIKUCClIKngRWCdbCGQE6IGuYJcj9FiVhR3VISF8HCdIrjiDlhSQXGCQbYcCRDc9WjMCWbaNITVIQIjU5mCGw+UGEIPcaQfBkIIBsd9byo0l6EB9wnoL0QG4ID2Qc6XvvqIPKOVeJr3XO0Hvtf9fYH7KOTmOtdObHcIv7x+vtq3UWhsGMA9PTx3ZLKPhH7ugfUEsBAi0AFAACAAgAikkkUSItT2+rAAAA+gAAABIAAAAAAAAAAAAAAAAAAAAAAENvbmZpZy9QYWNrYWdlLnhtbFBLAQItABQAAgAIAIpJJFEPyumrpAAAAOkAAAATAAAAAAAAAAAAAAAAAPcAAABbQ29udGVudF9UeXBlc10ueG1sUEsBAi0AFAACAAgAikkkUaJ+iuDnAgAAQA4AABMAAAAAAAAAAAAAAAAA6AEAAEZvcm11bGFzL1NlY3Rpb24xLm1QSwUGAAAAAAMAAwDCAAAAHAUAAAAA" command="SELECT * FROM [GM]"/>
  </connection>
  <connection id="10" name="Query - GMCYP" description="Connection to the 'GMCYP' query in the workbook." type="5" refreshedVersion="0" background="1">
    <dbPr connection="provider=Microsoft.Mashup.OleDb.1;data source=$EmbeddedMashup(1d714b3c-05ae-4229-9343-751d6b61ec8a)$;location=GM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VSYyOE+AQAAFwMAABMAHABGb3JtdWxhcy9TZWN0aW9uMS5tIKIYACigFAAAAAAAAAAAAAAAAAAAAAAAAAAAAJ2S0UsCQRDG3w/ufxi2F8VLssIX8UGOiiBFUoqQHta7yVvc243dOfM4/N8bM8woL2hfFma+3zfM7ucxIWUNTHZ3pxcGYeAz6TCFm2H8NIY+aKQwAD4TW7gEuXK1TlC348I5NPRo3XJu7bLRrGYjmWNffIDieTOLrSFWPEc7/kTEmTQLtp6WryjYaCrnGttTJ41/sS6PrS5ys236xm5YVFVi4FCKCIjLQLimTQSVuEeN0uOP+oD3WG3LY2TckFywPysOmnAKoyKfo/MsuzXUvfxSXEvldAm1Lt80dWZ36H291YGizuhT0T2DXJmC0AOu0JWQyrJ+04s90QJJIE0KtiCvUgSfZNbqv/DWfuJ/OR5bizzwn3NKcJs4elOcL2WAMgQtPUHnHHIOUeaP0EO7UmZR2zz2sJtmGCjzazJ771BLAQItABQAAgAIAIpJJFEiLU9vqwAAAPoAAAASAAAAAAAAAAAAAAAAAAAAAABDb25maWcvUGFja2FnZS54bWxQSwECLQAUAAIACACKSSRRD8rpq6QAAADpAAAAEwAAAAAAAAAAAAAAAAD3AAAAW0NvbnRlbnRfVHlwZXNdLnhtbFBLAQItABQAAgAIAIpJJFFUmMjhPgEAABcDAAATAAAAAAAAAAAAAAAAAOgBAABGb3JtdWxhcy9TZWN0aW9uMS5tUEsFBgAAAAADAAMAwgAAAHMDAAAAAA==&quot;" command="SELECT * FROM [GMCYP]"/>
  </connection>
  <connection id="11" name="Query - Manchester1" description="Connection to the 'Manchester1' query in the workbook." type="5" refreshedVersion="0" background="1">
    <dbPr connection="provider=Microsoft.Mashup.OleDb.1;data source=$EmbeddedMashup(1d714b3c-05ae-4229-9343-751d6b61ec8a)$;location=Manchester1;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a/prncFAwAAHg4AABMAHABGb3JtdWxhcy9TZWN0aW9uMS5tIKIYACigFAAAAAAAAAAAAAAAAAAAAAAAAAAAAJWXTW/aQBCG70j8hxG9JApORVOSligHQvMlhbQqVDlEOSz2BK9Y76LddRKE8t+7tkP48KwhXEDzvrNjz8w+EgZDy5WEQfHdOq3X6jUTM40R9JkMYzQWdQvOQKCt18B9BirVIbrIxWuI4rCXao3S3is9GSk12dufP9yxBM8aK+mNx7eHnpLW+R6bxSlfGr2YybErM5xNseGOG7KRwMOhZtI8KZ30lEgTmYlmryjZnM8bXY2s0QTrwmDx1b41Yd74iwKZwVK8697pGSGAobJMwB81TQXLXnPhlGkyQp17+0wgEb7EhBZax8HRdyJ+1A7aVLzdDk6o+En7YBFlcrY42nPEARG9HYLgCbdcjiHiho244HZGGO8U7Oy9j7lFONfOamKv/tvGqAnVjcvG0DWcUZ0+FyycEPFezCUSU+zzV4w2e5SXBrSx5CGMtUqnpby7AQwuetAKvnXgmo8zv1Ehd4uQ+w3VoiLlKGh3oM+jSOCuKcfBjw7cqpfdi/zswMCmkbsSxr1VBMrTzOxiZfN6SoUApWHKtAXLE2op/0lMpkLNlv1am7+Fl/fDAtBoud7BJ9ydzn6xJ3eRIVapwa9hzEXkLv3mUDYz3ZdLSsDwcJI9er5yYln0Y1TvjdjpHYvJL8oYy2xqNh/kknEtZvDZ+w+XXS8CaC2nAC3lIKClnAW05HCwIqwRwXfWAS3Qd532etFA29foUGUpZlV+nxVAEGoOiJX4x5q8E4KSckhQQhkUlGsbKzxt24KLyiwfMYiGVBGDsHuJQT/PEhpUaQoaW31V0CDbvyM4qFwvO/zbsA4Pyncj2WfZceNHByUV5KCUAhyUUnCDUjJseKp4z6IzPBygrH5qUO51aPgdxYgofZUalF5wg1IW4LjZXNsCG6UwAY2SZysyyJZtI0ZFkhcYFTk0Msjme6FBuVeYUW4MiQx6gXaGxpYqFcggN8nLDMpNQqO8SurZyUT6B0uuUEbuoCs2rXIN3GxVcBEqqRK3fVvcv5aXrtKZGbpjJExv+/Ual+SfstP/UEsBAi0AFAACAAgAikkkUSItT2+rAAAA+gAAABIAAAAAAAAAAAAAAAAAAAAAAENvbmZpZy9QYWNrYWdlLnhtbFBLAQItABQAAgAIAIpJJFEPyumrpAAAAOkAAAATAAAAAAAAAAAAAAAAAPcAAABbQ29udGVudF9UeXBlc10ueG1sUEsBAi0AFAACAAgAikkkUa/prncFAwAAHg4AABMAAAAAAAAAAAAAAAAA6AEAAEZvcm11bGFzL1NlY3Rpb24xLm1QSwUGAAAAAAMAAwDCAAAAOgUAAAAA" command="SELECT * FROM [Manchester1]"/>
  </connection>
  <connection id="12" name="Query - ManchesterCYP" description="Connection to the 'ManchesterCYP' query in the workbook." type="5" refreshedVersion="0" background="1">
    <dbPr connection="provider=Microsoft.Mashup.OleDb.1;data source=$EmbeddedMashup(1d714b3c-05ae-4229-9343-751d6b61ec8a)$;location=Manchester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foOUoBCAQAAJgMAABMAHABGb3JtdWxhcy9TZWN0aW9uMS5tIKIYACigFAAAAAAAAAAAAAAAAAAAAAAAAAAAAJ1STWsCMRC9L+x/GNKL4lZqC72IB1naUxWp0lLEQ9ydusFsUpJZ67L43ztWK0p1C80lMO9jMpPnMSFlDYx3d6cbBmHgM+kwhYE0SYae0MVvI+iBRgoD4DO2hUuQKw/rBHU7LpxDQ6/WLefWLhvNajqUOfbEiYGYbaaxNcTMWbTzuRJxJs2CW03KDxRsOJFzje2Jk8a/W5fHVhe52YK+sWsaVZXoO5QiAuIyEK5pE0ElnlGj9Pir3ue5VtvyCFluSC7YnxlHIFzDsMjn6PyPWpryG3+UyukSaj1OOCdW59hP6H293xHj8sP2+P0N5MoUhB5wha6EVJb1o94dFC2QxH4p2IK8ShF8klmr/5K3Dh3/q+O2tZIX/nSOCW4jSJ+Kg6YMUIagpSfo3ELOKcouLXhgV8osasHza900w0CZs8HsfgFQSwECLQAUAAIACACKSSRRIi1Pb6sAAAD6AAAAEgAAAAAAAAAAAAAAAAAAAAAAQ29uZmlnL1BhY2thZ2UueG1sUEsBAi0AFAACAAgAikkkUQ/K6aukAAAA6QAAABMAAAAAAAAAAAAAAAAA9wAAAFtDb250ZW50X1R5cGVzXS54bWxQSwECLQAUAAIACACKSSRR+g5SgEIBAAAmAwAAEwAAAAAAAAAAAAAAAADoAQAARm9ybXVsYXMvU2VjdGlvbjEubVBLBQYAAAAAAwADAMIAAAB3AwAAAAA=&quot;" command="SELECT * FROM [ManchesterCYP]"/>
  </connection>
  <connection id="13" name="Query - Oldham1" description="Connection to the 'Oldham1' query in the workbook." type="5" refreshedVersion="0" background="1">
    <dbPr connection="provider=Microsoft.Mashup.OleDb.1;data source=$EmbeddedMashup(1d714b3c-05ae-4229-9343-751d6b61ec8a)$;location=Oldham1;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dUeaMEFAwAA6w0AABMAHABGb3JtdWxhcy9TZWN0aW9uMS5tIKIYACigFAAAAAAAAAAAAAAAAAAAAAAAAAAAAJWXUU8aQRDH30n4DpPri0bOhlq0xfiAVFsTxabQ+GB8WO5GbsPeLtnbUwnxu3fvDiq4sxz6gpn5zwwzO/NLyDAyXEkYVp/t02aj2cgSpjGGWxEnLG3DGQg0zQbYv6HKdYTWcvESoTjs51qjNHdKT8dKTff2F/cDluJZsAwNHl7v+0oaq3loVRk+Bf2EyYlNP5rPMLCpRmws8HCkmcwelU77SuSpLJzZXlWutVgEPY0saIGxZjD4Yl5bsAj+oECWoWPv2V6eEEIYKcME/FazXLCivZVS5ukYdam9YQIJ8yWmtKN9HB59JexHnbBD2Tud8ISyn3QO6OyeLJT6egSCp9xwOYGYZ2zMBTdzQjhQsLP2LuEG4VxbaZZ4/bcmQe0M3r6XSaCXcUaN+lywaOrE9BMukXjEG/6CsWMt6wKaRPIIJlrlM0cyGMLwog/t8EsXfvFJoc9UxO0ilPqMmk8VchR2unDD41jgriHH4bcuXKvn3Yt878LQ5LE9iQyYjEGtT5LJeTVke1HFSz3mQoDSMGPagOEptZF/JaYzoebEtAbKwPMyVQgaDddvqo39WNcJe8rFf+zR2LYSlWf4OUq4iO2t15QQyn7YqBQyHk2Lb17umiC+23II/hbfvfmqSGaYyTNHdMm4FnP46OnDZc97/bSvBMCaa/VkJQDokJIBtMtigMhVYsCX64B20AdOJPfCgM67wYNtkuqZ3HprUCC8JRQI+xILhKcEA2F30UA1XwMHusE6PvgL+fjgjyD5QMi9iKBbeKMEuRIEJzyj2BkVtXX8sKC2yIcL7yZsAoOQXUn2UVpc+WFBuSpWXNGooAIqUlCeAhSeEt5cdITn+CmpHxWUepMUfkX1PM5U1jnhOCtMOOYVJRxHBQnHTDDC0dQigpxUHSG2BHkZsSWGpoTTix8SVO41RrhTIRFBL83OhKipsgUQ7vZ4+eBZgnd4cDdIPVk30d9/bPxEGdtEP9lsm2pon1SFF5GSKrVLV6P+8XZiW5WFoDfBdVHxxV/3mw0uyV9ap/8AUEsBAi0AFAACAAgAikkkUSItT2+rAAAA+gAAABIAAAAAAAAAAAAAAAAAAAAAAENvbmZpZy9QYWNrYWdlLnhtbFBLAQItABQAAgAIAIpJJFEPyumrpAAAAOkAAAATAAAAAAAAAAAAAAAAAPcAAABbQ29udGVudF9UeXBlc10ueG1sUEsBAi0AFAACAAgAikkkUdUeaMEFAwAA6w0AABMAAAAAAAAAAAAAAAAA6AEAAEZvcm11bGFzL1NlY3Rpb24xLm1QSwUGAAAAAAMAAwDCAAAAOgUAAAAA" command="SELECT * FROM [Oldham1]"/>
  </connection>
  <connection id="14" name="Query - OldhamCYP" description="Connection to the 'OldhamCYP' query in the workbook." type="5" refreshedVersion="0" background="1">
    <dbPr connection="provider=Microsoft.Mashup.OleDb.1;data source=$EmbeddedMashup(1d714b3c-05ae-4229-9343-751d6b61ec8a)$;location=OldhamCYP;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RhQNFs9AQAAFwMAABMAHABGb3JtdWxhcy9TZWN0aW9uMS5tIKIYACigFAAAAAAAAAAAAAAAAAAAAAAAAAAAAJ1Sz0vDMBS+F/o/POJlY3U4BS9jh1H0pHO4ocjY4a19rmFpIkk6V8r+d9+sjolbBXMJvO8XL/kcJV4aDZP67vXDIAxchpZSeFBphnn8MoYBKPJhAHwmprAJ8eRmk5DqxoW1pP2zsauFMatWu5qNMKeB2IvFfDuLjfbMmke1x5mIM9RLjpiWbyTYbIoLRd2pRe1ejc1jo4pc70DXqgOjqhJDSygi8DwGTxu/jaASj6QIHf2aD3mf9W48JpZrj0v2Z8YBCOcwKvIFWfetRl1+4rcorSqh0eMH57TVHTnXbHTAOG3zhV9fQC514ckBrcmWkGLZvOPVXtEB9OyXgim8kymBSzJj1F/yzj7xvzqObZQ88W9zP2jXOf8uuV1Sg88IFDoPvUvIuT6ZO6G+N2upl43g8WfdtsNA6qON7H8AUEsBAi0AFAACAAgAikkkUSItT2+rAAAA+gAAABIAAAAAAAAAAAAAAAAAAAAAAENvbmZpZy9QYWNrYWdlLnhtbFBLAQItABQAAgAIAIpJJFEPyumrpAAAAOkAAAATAAAAAAAAAAAAAAAAAPcAAABbQ29udGVudF9UeXBlc10ueG1sUEsBAi0AFAACAAgAikkkURhQNFs9AQAAFwMAABMAAAAAAAAAAAAAAAAA6AEAAEZvcm11bGFzL1NlY3Rpb24xLm1QSwUGAAAAAAMAAwDCAAAAcgMAAAAA" command="SELECT * FROM [OldhamCYP]"/>
  </connection>
  <connection id="15" name="Query - Rochdale1" description="Connection to the 'Rochdale1' query in the workbook." type="5" refreshedVersion="0" background="1">
    <dbPr connection="provider=Microsoft.Mashup.OleDb.1;data source=$EmbeddedMashup(1d714b3c-05ae-4229-9343-751d6b61ec8a)$;location=Rochdale1;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eJ8PrsIAwAA8g0AABMAHABGb3JtdWxhcy9TZWN0aW9uMS5tIKIYACigFAAAAAAAAAAAAAAAAAAAAAAAAAAAAJWXUU8iMRDH3034DhPuRSPrhfPQO4wPyKlnot5FuPhgfCi7I9vQbUnbVQnxu193FwTsFJAXyMx/ZtrpzC/BYGy5ktCrvpsntZ3ajkmZxgTuVJwmTGATTkGgre2A+/RUrmN0lvPXGMVBN9capb1XejRQarS7N324ZRme1t+D649vD10lrVM9NqocX+rdlMmhK9GfjLHukvXZQOBBXzNpnpTOukrkmSycZrcq2JhO6x2NrN4A68xg8dW+NWBav0OBzKBn77j7PCNE0FeWCfirxrlgxRXnSplnA9Sl9sadkzBfYEY7mkfR4XfCftiKWpS91YqOKftxa987t8sdyLFPWK/7IHjGLZdDSLhhAy64nRDCWwVba+9TbhHOtJOaNOj/Y1PU3vHda9kUOoYzqtFngsUjL6abconEE97wV0w8a1kX0KaSxzDUKh97ktse9M670Iy+teE3HxZ6o2LuxqDUG6o/Vchh1GrDDU8SgduGHEU/2nCtXrYv8rMNPZsnbiEMMJmAWu7kcp/dUhWP9ZQLAUrDmGkLlmfUSP6TmI2FmiwaxuRk9vIWXmaZItBouV6IViZkWSfcMhe/2JN1F0tVbvBrnHKRuG33+/0h1H25qAwMj0fFwctpE8RbztoQvuGHV58XMZbZ3HiiC8a1mMBnVx8uOsHtp30lAJZc816XAKBDSgbQLocBIlcJglCufdpBrziRPIgDOu8KEYh0S0QgvEtMILwlEwj7jAqEp+QCYffJQN18AxvoBmzCQ7hQCA/hCBIPVNNDeKCvsCAEOQ8EJDbq1kFii+AQJqgRCoEiOAarqCBkV5J9lhNXYUxQrooSlKfiBOWpMEF5CkoEqgRz0RGBzaekYU5Q6lVMhBXVC12t4wQVXJHCC5uDwnNUnPDMBCY8zUZKkM3aBIk1QUFMrImhQeHdJcwJKvcSJvyukJSg52ZrTmyosgYT/gAFKREYgg+Q8CdIPTs3cb93eFyiTFyiSzZep+q5J1XReaykytzQbVD/WmzZWmUh6AyREL3t1Xa4JP9snfwHUEsBAi0AFAACAAgAikkkUSItT2+rAAAA+gAAABIAAAAAAAAAAAAAAAAAAAAAAENvbmZpZy9QYWNrYWdlLnhtbFBLAQItABQAAgAIAIpJJFEPyumrpAAAAOkAAAATAAAAAAAAAAAAAAAAAPcAAABbQ29udGVudF9UeXBlc10ueG1sUEsBAi0AFAACAAgAikkkUeJ8PrsIAwAA8g0AABMAAAAAAAAAAAAAAAAA6AEAAEZvcm11bGFzL1NlY3Rpb24xLm1QSwUGAAAAAAMAAwDCAAAAPQUAAAAA" command="SELECT * FROM [Rochdale1]"/>
  </connection>
  <connection id="16" name="Query - RochdaleCYP" description="Connection to the 'RochdaleCYP' query in the workbook." type="5" refreshedVersion="0" background="1">
    <dbPr connection="provider=Microsoft.Mashup.OleDb.1;data source=$EmbeddedMashup(1d714b3c-05ae-4229-9343-751d6b61ec8a)$;location=RochdaleCYP;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T9r7yVAAQAAIwMAABMAHABGb3JtdWxhcy9TZWN0aW9uMS5tIKIYACigFAAAAAAAAAAAAAAAAAAAAAAAAAAAAJ1STWsCMRC9L+x/GNKL4lZqW7yIB1laKLQiKpYiHuLu1A1mk5LMWpfF/94Ri7W0bqG5BN68DyZ5HhNS1sDkcHd6YRAGPpMOUxjbJEulxvhlBH3QSGEAfCa2cAkycrdNULfjwjk09GzdemntutGs5kOZY1+cyMViN4+tIeYtooPLhYgzaVYcMy3fULDdVC41tqdOGv9qXR5bXeRmP/SNQ2RUVWLgUIoIiGEg3NIugkqMUaP0+AMf8E6bPTxClhuSK/ZnxskQLmFY5Et0nmkPhrq3X4x7qZwuodblG6fO7BG9r7c6YdQZfTK6V5ArUxB6wA26ElJZ1m96c1S0QBJIk4ItyKsUwSeZtfoveeuY+F8dx9ZKZvzn3BLct4/eFbdMGaAMQUtP0LmGnEuU+TPqJ7tRZlU7PPewu2YYKPNrM3sfUEsBAi0AFAACAAgAikkkUSItT2+rAAAA+gAAABIAAAAAAAAAAAAAAAAAAAAAAENvbmZpZy9QYWNrYWdlLnhtbFBLAQItABQAAgAIAIpJJFEPyumrpAAAAOkAAAATAAAAAAAAAAAAAAAAAPcAAABbQ29udGVudF9UeXBlc10ueG1sUEsBAi0AFAACAAgAikkkUT9r7yVAAQAAIwMAABMAAAAAAAAAAAAAAAAA6AEAAEZvcm11bGFzL1NlY3Rpb24xLm1QSwUGAAAAAAMAAwDCAAAAdQMAAAAA" command="SELECT * FROM [RochdaleCYP]"/>
  </connection>
  <connection id="17" name="Query - Salford1" description="Connection to the 'Salford1' query in the workbook." type="5" refreshedVersion="0" background="1">
    <dbPr connection="provider=Microsoft.Mashup.OleDb.1;data source=$EmbeddedMashup(1d714b3c-05ae-4229-9343-751d6b61ec8a)$;location=Salford1;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W9Hg1gCAwAA8g0AABMAHABGb3JtdWxhcy9TZWN0aW9uMS5tIKIYACigFAAAAAAAAAAAAAAAAAAAAAAAAAAAAJWXUU/bMBDH3yv1O5yyFxANU8cKWxEPpYMNCbpp6cQD4sFNTGPVsSvbAaqK7z4nIaOdz0nhpejuf3c9391PqqaxYVJAVH32T7udbkenRNEEIsIfpEr6cAacmm4H7F8kcxVTa7l4jik/HOdKUWFupVrMpFzs7a/vJiSjZ0EdG9y/3I2lMFZ036tSfAjGKRFzW2C6WtLA5pqSGaeHU0WEtkHZWPI8E4VT71X1eut1MFKUBD0w1gyGPpuXHqyD35RToqljH9luHimEMJWGcPgllzknRYO1UuTZjKpSe0M4RcyXNMMd/ePw6DNiPxqEA8w+GIQnmP1kcFBbiVjVqT0pDhDr9RQ4y5hhYg4J02TGODMrRDiRsLP2NmWGwrmyUp16/T9NShXiteMyKYw0I8KZyTkn8cKxjlMmKDLBG/ZME8da1gVqUsFimCuZLx3JJILoYgz98NMQfrB5odcyZnYLSr3G3qcKOQoHQ7hhScLpriHH4ZchXMun3Yt8HUJk8sTeg7ZjT0B6XrI4qWJYDznnIBUsiTJgWIZt5B9BsyWXK+TBJtLA02uqEBQ1TL2ptlZkU8ftLRf/kQdjO0tlrunHOGU8scfeUoJL+2GjMtAsXhTfvFw3jny313fYqcVq8HUZbYjJtZPwkjDFV/De44fLkff+cV+JgA1Xfb8lAvCQkgK4y4IAyVWywJfrAHfgV44k9xIBz7sFhSZJNSa33gYXEG9JBsT+ygbEU9IBsbt8wJpvIQTeYBsk/IV8kPBHoJBA5F5I4C28cQJdCYQUrbomUuwQ7GMFtkI+WnjXYJsWiOxKkPei4spPCsxVgQLzVKjAPBUpME8BCk8Vby48wnP8mNSPCky9TQq/oprQVRMnHGeFCcdcU8JxVJBwzAgjHE0rItCXaiNEQ5CXEQ0xOCWcXvyQwHJvMMJ9FRQR+NLsDImWKg2McLfHiwjPEvxHCHeD5KN1I/39I8d3KhKb6DtZNqkiO1IZXsRSyMwuXYv629uJNSoLwWhOEdHLfrfDBPpz6/QvUEsBAi0AFAACAAgAikkkUSItT2+rAAAA+gAAABIAAAAAAAAAAAAAAAAAAAAAAENvbmZpZy9QYWNrYWdlLnhtbFBLAQItABQAAgAIAIpJJFEPyumrpAAAAOkAAAATAAAAAAAAAAAAAAAAAPcAAABbQ29udGVudF9UeXBlc10ueG1sUEsBAi0AFAACAAgAikkkUW9Hg1gCAwAA8g0AABMAAAAAAAAAAAAAAAAA6AEAAEZvcm11bGFzL1NlY3Rpb24xLm1QSwUGAAAAAAMAAwDCAAAANwUAAAAA" command="SELECT * FROM [Salford1]"/>
  </connection>
  <connection id="18" name="Query - SalfordCYP" description="Connection to the 'SalfordCYP' query in the workbook." type="5" refreshedVersion="0" background="1">
    <dbPr connection="provider=Microsoft.Mashup.OleDb.1;data source=$EmbeddedMashup(1d714b3c-05ae-4229-9343-751d6b61ec8a)$;location=Salford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QBWamw/AQAAIQMAABMAHABGb3JtdWxhcy9TZWN0aW9uMS5tIKIYACigFAAAAAAAAAAAAAAAAAAAAAAAAAAAAJ1STWsCMRC9L+x/GLYXxa3UtngRD7K0UGhFqliKeIi7UzeYTUoya10W/3tHLGppTaG5BN68DyZ5DlOSRsN4f3d6YRAGLhcWMxgL9WZslryOoA8KKQyAz9iUNkVG7jYpqnZSWouaXoxdLYxZNZr1bCgK7EdHdTTfzhKjiWnzeG9yESW50EsOmVTvGLHbRCwUtidWaMeyIjGqLPRu6Br7xLiuo4FFEcVADAPhhrYx1NEzKhQOf+AD3mi9g0fIck1iyf7MOBnCJQzLYoHWMe1BU/f2yLgX0qoKvC7fOD6zR3TOb3XC8Bl9MbpXUEhdEjrANdoKMlH5N705KFogCITOwJTkZIbg0twY9Ze8dUj8r45jvZIp/zm3BHfdow/JJZMaKEdQwhF0rqHgEuXujPrJrKVeeofnHnbbDAOpf21m7xNQSwECLQAUAAIACACKSSRRIi1Pb6sAAAD6AAAAEgAAAAAAAAAAAAAAAAAAAAAAQ29uZmlnL1BhY2thZ2UueG1sUEsBAi0AFAACAAgAikkkUQ/K6aukAAAA6QAAABMAAAAAAAAAAAAAAAAA9wAAAFtDb250ZW50X1R5cGVzXS54bWxQSwECLQAUAAIACACKSSRRAFZqbD8BAAAhAwAAEwAAAAAAAAAAAAAAAADoAQAARm9ybXVsYXMvU2VjdGlvbjEubVBLBQYAAAAAAwADAMIAAAB0AwAAAAA=&quot;" command="SELECT * FROM [SalfordCYP]"/>
  </connection>
  <connection id="19" name="Query - Stockport1" description="Connection to the 'Stockport1' query in the workbook." type="5" refreshedVersion="0" background="1">
    <dbPr connection="provider=Microsoft.Mashup.OleDb.1;data source=$EmbeddedMashup(1d714b3c-05ae-4229-9343-751d6b61ec8a)$;location=Stockport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XT1/JwHAwAA6A0AABMAHABGb3JtdWxhcy9TZWN0aW9uMS5tIKIYACigFAAAAAAAAAAAAAAAAAAAAAAAAAAAAJWXUU8aQRDH30n4DhP6opGzoRZtMT4gVWuitCk0PhgflruR27C3S3b3VEL87t27kwLuLCAvkJn/zOzuzPwSDMaWKwmD6rt1Wq/VayZlGhMYWBVPpkrbFpyBQFuvgfsMVK5jdJaLlxjFYS/XGqW9U3oyUmqytz+/77MMzxrL6MbD631PSetkD80qyadGL2Vy7IoMZ1NsuGxDNhJ4ONRMmkels54SeSYLp9mrKjbn80ZXI2s0wTozWHyxr02YN/6gQGbQs3fdjZ4QIhgqywT8VtNcsOKSC6XMsxHqUnvLBBLmS8xoR+s4OvpK2I/aUZuyt9vRCWU/aR/Q2QNZKPXNEATPuOVyDAk3bMQFtzNC2Fews/Yu5RbhXDupSYP+XzZFvfAyOStdrl02ha7hTHo9ORcsnnjWXsolEh285S+YeNayKKBNJY9hrFU+9ST9AQwuetCKvnTgJx8XeqNi7qag1BvqcaqQo6jdgVueJAJ3DTmOvnXgRj3vXuR7x+1Wnrh9MO7VElDUMxYbVbTpMRcClIYp0xYsz6hx/Csxmwo1I16rryw8v6WKQKPleqlaG45VnXCrXPxij9ZdK1W5wc9xykXidn1LCaHcl4vKwPB4Upy8HDRBnO3tEcJXfNfzRRFjmc2NJ7pkXIsZfHTv4bIbXH3aV27/imvRsnL76ZASALTLMYDIVTIglOuAdtDbTSQPkoDOuwaDTZKqTX69FSQQ3hIKhP0NC4SnBANh99FAXX4LHOgLbuNDuFCID+EIkg+EPIgI+gpLSpAjQXAi8BQ7o2JrnTAsqCkK4SI4CevAIGTXkn2UFtdhWFCuihXXNCqogIoUlKcARaBEMBcdEVh+ShpGBaVeJ0VYUbXHe5VVTnjOChOeeUEJz1FBwjMTjPA0WxFBvtQ2QmwICjIidDQaEZ46TAjqMCuA8OuSfKAnZmc8bKmygQ7+6AThEJiAd2zwx0c9OTdxv//MuEKZuERXbLpJNXD9VNFFrKTK3MStqD0I/Vgu18akhaA7xve5XvfrNS7JP1in/wBQSwECLQAUAAIACACKSSRRIi1Pb6sAAAD6AAAAEgAAAAAAAAAAAAAAAAAAAAAAQ29uZmlnL1BhY2thZ2UueG1sUEsBAi0AFAACAAgAikkkUQ/K6aukAAAA6QAAABMAAAAAAAAAAAAAAAAA9wAAAFtDb250ZW50X1R5cGVzXS54bWxQSwECLQAUAAIACACKSSRRdPX8nAcDAADoDQAAEwAAAAAAAAAAAAAAAADoAQAARm9ybXVsYXMvU2VjdGlvbjEubVBLBQYAAAAAAwADAMIAAAA8BQAAAAA=&quot;" command="SELECT * FROM [Stockport1]"/>
  </connection>
  <connection id="20" name="Query - StockportCYP" description="Connection to the 'StockportCYP' query in the workbook." type="5" refreshedVersion="0" background="1">
    <dbPr connection="provider=Microsoft.Mashup.OleDb.1;data source=$EmbeddedMashup(1d714b3c-05ae-4229-9343-751d6b61ec8a)$;location=Stockport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cAs33xBAQAAJQMAABMAHABGb3JtdWxhcy9TZWN0aW9uMS5tIKIYACigFAAAAAAAAAAAAAAAAAAAAAAAAAAAAJ1STWsCMRC9L+x/GNKL4lZqW7yIB1laKLQiVSxFPMTdqRvMJpLMWpfF/94Ri7W0bqG5BN68DyZ5HhNS1sD4cHd6YRAGPpMOUxiTTVZr6yh+HUEfNFIYAJ+xLVyCjNxtE9TtuHAODb1Yt1pYu2o0q9lQ5tgXp3ox381ia4iJ8+hgcyHiTJolB03KNQr2m8iFxvbESePfrMtjq4vc7Ie+cciMqkoMHEoRATEMhFvaRVCJZ9QoPf7AB7zVZg+PkOWG5JL9mXEyhEsYFvkCnWfag6Hu7RfjXiqnS6h1+capM3tE7+utThh1Rp+M7hXkyhSEHnCDroRUlvWb3hwVLZAE0qRgC/IqRfBJZq3+S946Jv5Xx7G1kin/ObcE9/2jd8U1UwYoQ9DSE3SuIecSZf6M+slulFnWDs897K4ZBsr82szeB1BLAQItABQAAgAIAIpJJFEiLU9vqwAAAPoAAAASAAAAAAAAAAAAAAAAAAAAAABDb25maWcvUGFja2FnZS54bWxQSwECLQAUAAIACACKSSRRD8rpq6QAAADpAAAAEwAAAAAAAAAAAAAAAAD3AAAAW0NvbnRlbnRfVHlwZXNdLnhtbFBLAQItABQAAgAIAIpJJFHALN98QQEAACUDAAATAAAAAAAAAAAAAAAAAOgBAABGb3JtdWxhcy9TZWN0aW9uMS5tUEsFBgAAAAADAAMAwgAAAHYDAAAAAA==&quot;" command="SELECT * FROM [StockportCYP]"/>
  </connection>
  <connection id="21" name="Query - Tameside1" description="Connection to the 'Tameside1' query in the workbook." type="5" refreshedVersion="0" background="1">
    <dbPr connection="provider=Microsoft.Mashup.OleDb.1;data source=$EmbeddedMashup(1d714b3c-05ae-4229-9343-751d6b61ec8a)$;location=Tameside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aerpckEAwAA7Q0AABMAHABGb3JtdWxhcy9TZWN0aW9uMS5tIKIYACigFAAAAAAAAAAAAAAAAAAAAAAAAAAAAJWXUU8aQRDH3034DhP6opGzoRZtMT4g1dZEaVNofDA+LHcjt2Fvl+zuqYT43bt3Jwru7IG+YGb+M8PszPwSDMaWKwnD6rN90thp7JiUaUxgxDI0PME2nIJA29gB9zdUuY7RWc6fYhQH/VxrlPZG6elYqenu3uJ24MJOm6/Bzbvn276S1qnuWlWOT81+yuSkKDGfYdMlG7GxwIORZtLcK531lcgzWTjNblWwtVg0expZswXWmcHik31uwaL5FwUyg5695/p5QIhgpCwT8EfNcsGKFpdKmWdj1KX2mgkkzBeY0Y72UXT4lbAfdqIOZe90omPKftzZX1qZnC9TB1LsE9arEQieccvlBBJu2JgLbueEcKBga+1Nyi3CmXZSkwb9v22K2nt1NyybQs9wJj3fmWDx1LP2Uy6RmN81f8LEs5ZVAW0qeQwTrfKZJxkMYXjeh3b0pQu/+KTQGxVztwOl3lCvU4UcRp0uXPMkEbhtyFH0rQtX6nH7It+7MLR54q7BuKEnoFbfcbkFxTkVc7rPhQClYca0Bcszahn/ScxmQs2J1xooC48vqSLQaLl+U61tx6pOuDsu/mP31rWVqtzg5zjlInGHvqGEUO7DRWVgeDwtvnm5aYL4bi+PEG7x3cyXRYxlNjee6IJxLebw0auHi17w8GlfefsrruXIytunQ8rzp12OAESuEgKhXPu0gz5vInkQBXTeNRrUSaox+fVWkEB4SygQ9hcsEJ4SDITdRwPV/AY40A1u4kO4UIgP4QiSD4Q8iAi6hTdKkCtBcGKjro4TWwSHSEGtUIgVwTVYpwUhu5Tso6i4DJOCclWgoDwVKihPRQrKU4AiUCWYi44IHD8lDaOCUq+TIqyoJnRZxwnPWWHCMy8p4TkqSHhmghGeZiMiyJfaRIiaoCAjamJoSni9hCFB5V5hhP8qJCLopdkaEhuq1DDC354gIgJL8I4Q/gapB+cm+nslx0+UiUv0k83qVEM3UhWdx0qqzC3dBvWPtxOrVRaC3gQJ0fNeY4dL8nfWyX9QSwECLQAUAAIACACKSSRRIi1Pb6sAAAD6AAAAEgAAAAAAAAAAAAAAAAAAAAAAQ29uZmlnL1BhY2thZ2UueG1sUEsBAi0AFAACAAgAikkkUQ/K6aukAAAA6QAAABMAAAAAAAAAAAAAAAAA9wAAAFtDb250ZW50X1R5cGVzXS54bWxQSwECLQAUAAIACACKSSRRp6ulyQQDAADtDQAAEwAAAAAAAAAAAAAAAADoAQAARm9ybXVsYXMvU2VjdGlvbjEubVBLBQYAAAAAAwADAMIAAAA5BQAAAAA=&quot;" command="SELECT * FROM [Tameside1]"/>
  </connection>
  <connection id="22" name="Query - TamesideCYP" description="Connection to the 'TamesideCYP' query in the workbook." type="5" refreshedVersion="0" background="1">
    <dbPr connection="provider=Microsoft.Mashup.OleDb.1;data source=$EmbeddedMashup(1d714b3c-05ae-4229-9343-751d6b61ec8a)$;location=Tameside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VV3YqY/AQAAIwMAABMAHABGb3JtdWxhcy9TZWN0aW9uMS5tIKIYACigFAAAAAAAAAAAAAAAAAAAAAAAAAAAAJ1STUvDQBC9B/IfhnhpaSxWpZfSQwkKgpZiiyKlh20yNks3u7I7qQ2h/90JlVrRruBeFt68D2b3OUxJGg3T/d0bhEEYuFxYzGAmCnQyw+RlAkNQSGEAfKamtCkycrNNUXWT0lrU9GzsemnMutWu52MWDqMjebTYzROjiXmLeO9yFiW50KsmpnrDiO1mYqmwO7NCu1dji8SostDN0LX2kXFdRyOLIoqBGAbCLe1iqKNHVCgc/sBHvNOmgSfIck1ixf7MOBrCOYzLYonWMe1OU//6i3ErpFUVeF2+cXxm9+ic3+qI4TP6ZPQvoJC6JHSAG7QVZKLyb3p1UHRAEAidgSmp+SFwaW6M+kveOST+V8exXskT/zm3BJv20bvklkkNlCMo4Qh6l1BwiXJ3Qv1gNlKvvMNTD7trh4HUvzZz8AFQSwECLQAUAAIACACKSSRRIi1Pb6sAAAD6AAAAEgAAAAAAAAAAAAAAAAAAAAAAQ29uZmlnL1BhY2thZ2UueG1sUEsBAi0AFAACAAgAikkkUQ/K6aukAAAA6QAAABMAAAAAAAAAAAAAAAAA9wAAAFtDb250ZW50X1R5cGVzXS54bWxQSwECLQAUAAIACACKSSRRVXdipj8BAAAjAwAAEwAAAAAAAAAAAAAAAADoAQAARm9ybXVsYXMvU2VjdGlvbjEubVBLBQYAAAAAAwADAMIAAAB0AwAAAAA=&quot;" command="SELECT * FROM [TamesideCYP]"/>
  </connection>
  <connection id="23" name="Query - Trafford1" description="Connection to the 'Trafford1' query in the workbook." type="5" refreshedVersion="0" background="1">
    <dbPr connection="provider=Microsoft.Mashup.OleDb.1;data source=$EmbeddedMashup(1d714b3c-05ae-4229-9343-751d6b61ec8a)$;location=Trafford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YFUtWoJAwAA4g0AABMAHABGb3JtdWxhcy9TZWN0aW9uMS5tIKIYACigFAAAAAAAAAAAAAAAAAAAAAAAAAAAAJWX32/aMBDH35H4H07ZS6uSTqyj3aj6QFl/SS2bBlMfqj6YxBALx0a20xah/u9zktIGfCaUF9Dd9+589t1HQtPIMClgWH63T5uNZkMnRNEYRopMJlLFbTgDTk2zAfYzlJmKqLVcvESUH/Yzpagw91LNxlLO9vaXDwOS0rPgPTh4fH3oS2Gs6rFV5vgS9BMipnmJxZwGNtmIjDk9tDFC26C0L3mWityp98qCreUy6ClKghYYawZDX8xrC5bBX8op0dSx92w/TxRCGElDOPyR84yTvMWVUmTpmKpCe0c4RcyXNMUd7ePw6DtiP+qEHcze6YQnmP2kc7CyErFYpfakOECstyPgLGWGiSnETJMx48wsEOFAws7a+4QZCufKSnXi9f82CVWbp7dvZRLoaUbEpuuck2jmvFI/YYIir3fHXmjsWIuaQE0iWARTJbO5IxkMYXjRh3b4rQvXbJrrtYyYnYBCr7G7KUOOwk4X7lgcc7pryHH4owu38nn3Ij+7MDRZbHdB25uJQVZvsXrHdp/yh5pknINUMCfKgGEpNo3/BE3nXC6QCxtIA89vqUJQ1DD1oVobj6qO20XOf5GJsZ0lMtP0a5QwHttNrynBpf2yUSloFs3ykxejxpGzvd2Dv8WNZ18V0YaYTDuiS8IUX8Bn1x4ue97Nx33F8ldcqwEvlh8PKfYfd1kEILkKCvhyHeAOfL+R5F4W4HnXcLBNUj6TW68CBcRbcAGxv5EB8RRsQOwuHbDma/iAN1iHCH8hHyL8ESgiELkXEXgLH5RARwLhRK1uGyd2CPaRAhshHyu8Y7BOC0R2I8hnUXHjJwXmKkFxg3MCCygxgXlySnhKeHPhEZ7Nx6R+TmDqdUz4FeXzOLdShYTjLBnhmFeIcBwlIRwzAghHU8sH9Kbq8LAlyAsI39FwPjhqPx6ww1To4NZF4YBPzM54qKmyhQ7u6Hjh4JmADTa44yOfrBvp750ZV1TENtEVmW9TDe17yvAikkKmduIqagdCvz6Wa2vSXNCb0s1cr/vNBhPon6vT/1BLAQItABQAAgAIAIpJJFEiLU9vqwAAAPoAAAASAAAAAAAAAAAAAAAAAAAAAABDb25maWcvUGFja2FnZS54bWxQSwECLQAUAAIACACKSSRRD8rpq6QAAADpAAAAEwAAAAAAAAAAAAAAAAD3AAAAW0NvbnRlbnRfVHlwZXNdLnhtbFBLAQItABQAAgAIAIpJJFGBVLVqCQMAAOINAAATAAAAAAAAAAAAAAAAAOgBAABGb3JtdWxhcy9TZWN0aW9uMS5tUEsFBgAAAAADAAMAwgAAAD4FAAAAAA==&quot;" command="SELECT * FROM [Trafford1]"/>
  </connection>
  <connection id="24" name="Query - TraffordCYP" description="Connection to the 'TraffordCYP' query in the workbook." type="5" refreshedVersion="0" background="1">
    <dbPr connection="provider=Microsoft.Mashup.OleDb.1;data source=$EmbeddedMashup(1d714b3c-05ae-4229-9343-751d6b61ec8a)$;location=TraffordCYP;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RzLgiUlAQAAjwIAABMAHABGb3JtdWxhcy9TZWN0aW9uMS5tIKIYACigFAAAAAAAAAAAAAAAAAAAAAAAAAAAAJ2SQUvDQBCF74H8h2G9tDQUq+Cl9FCCnlSKLYqUHrbJNFm62ZXdSWwI/e9ODJSCNYJ7WXjvfTMsbz0mpKyBZXdPpmEQBj6XDlNYObnbWZfG7wuYgUYKA+CztKVLkJX7Q4J6HJfOoaE36/Zba/eDYbN+lgXOxBkuNsd1bA1xbhN1U65EnEuTtWvqDxQ8biW3GsdMGc9YEVtdFqY1/aBbGTWNmDuUIgJiGQgPdIygES+oUXr8oc/5TVUrL5BxQzLj+Zz4Nh+kcrqG3swjet+f6Ey4u4ZCmZLQA1boakhl3U/cnogRSAJpUrAleZUi+CS3Vv+Fj04b/8vx2l7klRvgzrD9C/SpuHNlgHIELT3B5AYKrjT3v9BPtlImu2Aeh2GgzMVfMP0CUEsBAi0AFAACAAgAikkkUSItT2+rAAAA+gAAABIAAAAAAAAAAAAAAAAAAAAAAENvbmZpZy9QYWNrYWdlLnhtbFBLAQItABQAAgAIAIpJJFEPyumrpAAAAOkAAAATAAAAAAAAAAAAAAAAAPcAAABbQ29udGVudF9UeXBlc10ueG1sUEsBAi0AFAACAAgAikkkURzLgiUlAQAAjwIAABMAAAAAAAAAAAAAAAAA6AEAAEZvcm11bGFzL1NlY3Rpb24xLm1QSwUGAAAAAAMAAwDCAAAAWgMAAAAA" command="SELECT * FROM [TraffordCYP]"/>
  </connection>
  <connection id="25" name="Query - Wigan1" description="Connection to the 'Wigan1' query in the workbook." type="5" refreshedVersion="0" background="1">
    <dbPr connection="provider=Microsoft.Mashup.OleDb.1;data source=$EmbeddedMashup(1d714b3c-05ae-4229-9343-751d6b61ec8a)$;location=Wigan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TGMlPEHAwAA5w0AABMAHABGb3JtdWxhcy9TZWN0aW9uMS5tIKIYACigFAAAAAAAAAAAAAAAAAAAAAAAAAAAAJWXUU8aQRDH30n4DhP6opGzoRZtMT4gVUuitCk0PhgflruR27C3S/b2VEL87t27k3q4sxz6gpn5zwwzO/NLSDE0XEkYl5+d02aj2UhjpjGCWz5jsgNnINA0G2D/xirTIVrLxXOI4nCQaY3S3Co9nyo139tf3Y1YgmetMrJ1/3I3UNJYyX27TPCpNYiZnNnkk+UCWzbThE0FHk40k+mD0slAiSyRuTPdK6u1V6tWXyNrtcFYMxh8Ni9tWLX+oECWomPv204eEQKYKMME/FaLTLC8ubVSZskUdaG9YQIJ8yUmtKNzHBx9JexH3aBL2bvd4ISyn3QP1lYml+vUnhQHhPV6AoIn3HA5g4inbMoFN0tCOFKws/Y25gbhXFtpGnv9v0yM2pm6fSwTQz/lTDq+c8HCuWMdxFwi8X43/Bkjx1pUBTSx5CHMtMoWjmQ0hvHFADrBlx785LNcn6qQ2x0o9Ck1nTLkKOj24IZHkcBdQ46Dbz24Vk+7F/neg7HJInsNqX30CFR1jtUp23PKn+ohEwKUhgXTBgxPqH38KzFZCLUkBjZSBp5eUwWg0XD9ptpYkKpO2DvO/2MPxnYWqyzFz2HMRWQPvaaEUPbDRiWQ8nCef/Ni2QTx3V7n4G/x3bOvi6SGmSx1RJeMa7GEjx4+XPa9t0/7ivOvuNa3W5w/HVIQgHZZCBC5Cg74ch3QDvrCieReGtB5N4CwTVI+k1uvQgXCW3CBsL+SgfAUbCDsLh2o5mv4QDdYhwh/IR8i/BEkIgi5FxF0C2+UIFeC4IRnFDujoraOHxbUFvlw4d2ETWAQsqFkH6XF0A8LylWyYkijggooSUF5clB4Snhz0RGe46ekflRQ6k1S+BXl8zhTqXLCcZaYcMxrSjiOEhKOmWCEo6lFBDmpOkJsCfIyYksMTQmnFz8kqNwVRrhTIRFBL83OhKipsgUQ7vZ4+eBZgnd4cDdIPVo30d9/bFyhjGyiK7bYphrbJ1XBRaikSuzS1ah/vJ3YVmUu6M+wKsq/+Mt+s8El+Tvr9B9QSwECLQAUAAIACACKSSRRIi1Pb6sAAAD6AAAAEgAAAAAAAAAAAAAAAAAAAAAAQ29uZmlnL1BhY2thZ2UueG1sUEsBAi0AFAACAAgAikkkUQ/K6aukAAAA6QAAABMAAAAAAAAAAAAAAAAA9wAAAFtDb250ZW50X1R5cGVzXS54bWxQSwECLQAUAAIACACKSSRRMYyU8QcDAADnDQAAEwAAAAAAAAAAAAAAAADoAQAARm9ybXVsYXMvU2VjdGlvbjEubVBLBQYAAAAAAwADAMIAAAA8BQAAAAA=&quot;" command="SELECT * FROM [Wigan1]"/>
  </connection>
  <connection id="26" name="Query - WiganCYP" description="Connection to the 'WiganCYP' query in the workbook." type="5" refreshedVersion="0" background="1">
    <dbPr connection="provider=Microsoft.Mashup.OleDb.1;data source=$EmbeddedMashup(1d714b3c-05ae-4229-9343-751d6b61ec8a)$;location=Wigan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fG+ljU/AQAAHQMAABMAHABGb3JtdWxhcy9TZWN0aW9uMS5tIKIYACigFAAAAAAAAAAAAAAAAAAAAAAAAAAAAJ1STUvDQBC9B/IfhnhpaSxWpZfSQwkKgpZii0VKD5tkTJZudmV3UhtC/7tTqrWijeBeFt68D2b3OUxIGg3T/d0b+J7vuVxYTGEuM6Gj5wkMQSH5HvCZmtImyMjNJkHVjUprUdPc2FVszKrVrhdjUeAw+NQGy+0iMpqYtAz3FmdBlAudccCsesWAvWYiVtidWaHdi7FFZFRZ6N3QtfZ5YV0HI4siCIEYBsINbUOog0dUKBz+wEe8zXoHT5DlmkTG/sw4GsI5jMsiRuuYdqepf/3FuBXSqgoaXb5xmszu0blmqyNGk9EHo38BhdQloQNco60gFVXzplcHRQcEgdApmJKcTBFckhuj/pJ3Don/1XFso+SJ/5xbgrve0ZvkikkNlCMo4Qh6l1BwiXJ3Qv1g1lJnjcNTD7tt+57UvzZz8A5QSwECLQAUAAIACACKSSRRIi1Pb6sAAAD6AAAAEgAAAAAAAAAAAAAAAAAAAAAAQ29uZmlnL1BhY2thZ2UueG1sUEsBAi0AFAACAAgAikkkUQ/K6aukAAAA6QAAABMAAAAAAAAAAAAAAAAA9wAAAFtDb250ZW50X1R5cGVzXS54bWxQSwECLQAUAAIACACKSSRR8b6WNT8BAAAdAwAAEwAAAAAAAAAAAAAAAADoAQAARm9ybXVsYXMvU2VjdGlvbjEubVBLBQYAAAAAAwADAMIAAAB0AwAAAAA=&quot;" command="SELECT * FROM [WiganCYP]"/>
  </connection>
</connections>
</file>

<file path=xl/sharedStrings.xml><?xml version="1.0" encoding="utf-8"?>
<sst xmlns="http://schemas.openxmlformats.org/spreadsheetml/2006/main" count="3460" uniqueCount="344">
  <si>
    <t>Release</t>
  </si>
  <si>
    <t>Male</t>
  </si>
  <si>
    <t>Female</t>
  </si>
  <si>
    <t>16-34</t>
  </si>
  <si>
    <t>35-54</t>
  </si>
  <si>
    <t>55-74</t>
  </si>
  <si>
    <t>75+</t>
  </si>
  <si>
    <t>16-54</t>
  </si>
  <si>
    <t>55+</t>
  </si>
  <si>
    <t>LT limiting disability</t>
  </si>
  <si>
    <t>No LT limiting disability</t>
  </si>
  <si>
    <t>White British</t>
  </si>
  <si>
    <t>White Other</t>
  </si>
  <si>
    <t>South Asian</t>
  </si>
  <si>
    <t>Black</t>
  </si>
  <si>
    <t>Chinese</t>
  </si>
  <si>
    <t>Mixed</t>
  </si>
  <si>
    <t>Other ethnic group</t>
  </si>
  <si>
    <t>NS SEC 1-2: Higher social groups</t>
  </si>
  <si>
    <t>NS SEC 3-5: Middle social groups</t>
  </si>
  <si>
    <t>NS SEC 6-8: Lower social groups</t>
  </si>
  <si>
    <t>NS SEC 9: Students and other</t>
  </si>
  <si>
    <t>Working full or part time</t>
  </si>
  <si>
    <t>Unemployed</t>
  </si>
  <si>
    <t>Not working - retired</t>
  </si>
  <si>
    <t>Not working - looking after house/children</t>
  </si>
  <si>
    <t>Not working - long term sick or disabled</t>
  </si>
  <si>
    <t>Student full or part time</t>
  </si>
  <si>
    <t>Other working status</t>
  </si>
  <si>
    <t>Active - Total Population</t>
  </si>
  <si>
    <t>Active Demographics</t>
  </si>
  <si>
    <t>Fairly Active - Total Population</t>
  </si>
  <si>
    <t>Fairly Active Demographics</t>
  </si>
  <si>
    <t>Inactive - Total Population</t>
  </si>
  <si>
    <t>Inactive Demographics</t>
  </si>
  <si>
    <t>Nov 15-16</t>
  </si>
  <si>
    <t>May 16-17</t>
  </si>
  <si>
    <t>Nov 16-17</t>
  </si>
  <si>
    <t>May 17-18</t>
  </si>
  <si>
    <t>Nov 17-18</t>
  </si>
  <si>
    <t>May 18-19</t>
  </si>
  <si>
    <t>Nov 18-19</t>
  </si>
  <si>
    <t>Total change</t>
  </si>
  <si>
    <t>Male FA</t>
  </si>
  <si>
    <t>Female FA</t>
  </si>
  <si>
    <t>16-34 FA</t>
  </si>
  <si>
    <t>35-54 FA</t>
  </si>
  <si>
    <t>55-74 FA</t>
  </si>
  <si>
    <t>75+ FA</t>
  </si>
  <si>
    <t>16-54 FA</t>
  </si>
  <si>
    <t>55+ FA</t>
  </si>
  <si>
    <t>LT limiting disability FA</t>
  </si>
  <si>
    <t>No LT limiting disability FA</t>
  </si>
  <si>
    <t>White British FA</t>
  </si>
  <si>
    <t>White Other FA</t>
  </si>
  <si>
    <t>South Asian FA</t>
  </si>
  <si>
    <t>Black FA</t>
  </si>
  <si>
    <t>Chinese FA</t>
  </si>
  <si>
    <t>Mixed FA</t>
  </si>
  <si>
    <t>Other ethnic group FA</t>
  </si>
  <si>
    <t>NS SEC 1-2: Higher social groups FA</t>
  </si>
  <si>
    <t>NS SEC 3-5: Middle social groups FA</t>
  </si>
  <si>
    <t>NS SEC 6-8: Lower social groups FA</t>
  </si>
  <si>
    <t>NS SEC 9: Students and other FA</t>
  </si>
  <si>
    <t>Working full or part time FA</t>
  </si>
  <si>
    <t>Unemployed FA</t>
  </si>
  <si>
    <t>Not working - retired FA</t>
  </si>
  <si>
    <t>Not working - looking after house/children FA</t>
  </si>
  <si>
    <t>Not working - long term sick or disabled FA</t>
  </si>
  <si>
    <t>Student full or part time FA</t>
  </si>
  <si>
    <t>Other working status FA</t>
  </si>
  <si>
    <t>Male I</t>
  </si>
  <si>
    <t>Female I</t>
  </si>
  <si>
    <t>16-34 I</t>
  </si>
  <si>
    <t>35-54 I</t>
  </si>
  <si>
    <t>55-74 I</t>
  </si>
  <si>
    <t>75+ I</t>
  </si>
  <si>
    <t>16-54 I</t>
  </si>
  <si>
    <t>55+ I</t>
  </si>
  <si>
    <t>LT limiting disability I</t>
  </si>
  <si>
    <t>No LT limiting disability I</t>
  </si>
  <si>
    <t>White British I</t>
  </si>
  <si>
    <t>White Other I</t>
  </si>
  <si>
    <t>South Asian I</t>
  </si>
  <si>
    <t>Black I</t>
  </si>
  <si>
    <t>Chinese I</t>
  </si>
  <si>
    <t>Mixed I</t>
  </si>
  <si>
    <t>Other ethnic group I</t>
  </si>
  <si>
    <t>NS SEC 1-2: Higher social groups I</t>
  </si>
  <si>
    <t>NS SEC 3-5: Middle social groups I</t>
  </si>
  <si>
    <t>NS SEC 6-8: Lower social groups I</t>
  </si>
  <si>
    <t>NS SEC 9: Students and other I</t>
  </si>
  <si>
    <t>Working full or part time I</t>
  </si>
  <si>
    <t>Unemployed I</t>
  </si>
  <si>
    <t>Not working - retired I</t>
  </si>
  <si>
    <t>Not working - looking after house/children I</t>
  </si>
  <si>
    <t>Not working - long term sick or disabled I</t>
  </si>
  <si>
    <t>Student full or part time I</t>
  </si>
  <si>
    <t>Other working status I</t>
  </si>
  <si>
    <t>Moving</t>
  </si>
  <si>
    <t>*</t>
  </si>
  <si>
    <t>Disability</t>
  </si>
  <si>
    <t>Inactive Gender Gap</t>
  </si>
  <si>
    <t>Inactive Socio-Economic Gap</t>
  </si>
  <si>
    <t>Inactive Disability Gap</t>
  </si>
  <si>
    <t>Inactivity Age Gap</t>
  </si>
  <si>
    <t>Area</t>
  </si>
  <si>
    <t>England</t>
  </si>
  <si>
    <t>GM</t>
  </si>
  <si>
    <t>Bolton</t>
  </si>
  <si>
    <t>Bury</t>
  </si>
  <si>
    <t>Manchester</t>
  </si>
  <si>
    <t>Oldham</t>
  </si>
  <si>
    <t>Rochdale</t>
  </si>
  <si>
    <t>Salford</t>
  </si>
  <si>
    <t>Stockport</t>
  </si>
  <si>
    <t>Tameside</t>
  </si>
  <si>
    <t>Trafford</t>
  </si>
  <si>
    <t>Wigan</t>
  </si>
  <si>
    <t>Inactive</t>
  </si>
  <si>
    <t>Fairly Active</t>
  </si>
  <si>
    <t>Active</t>
  </si>
  <si>
    <t>Source: Sport England Active Lives Survey, November 2015/16 to November 2018/19, adults 16+</t>
  </si>
  <si>
    <t>Active Lives Adult Survey</t>
  </si>
  <si>
    <t>Background</t>
  </si>
  <si>
    <t>Data Collection Methodology &amp; Sampling</t>
  </si>
  <si>
    <t>Less Active</t>
  </si>
  <si>
    <t>Active 60 minutes every day</t>
  </si>
  <si>
    <t>Active 30 minutes+ at and outside school</t>
  </si>
  <si>
    <t>Active 30+ minutes outside school</t>
  </si>
  <si>
    <t>Active 30+ minutes at school</t>
  </si>
  <si>
    <t>Volunteered twice in the last 12 months</t>
  </si>
  <si>
    <t>2017-18</t>
  </si>
  <si>
    <t>2018-19</t>
  </si>
  <si>
    <t>Adults</t>
  </si>
  <si>
    <t>CYP</t>
  </si>
  <si>
    <t>Source: Sport England Active Lives Children and Young People Survey, 2017/18 to 2018/19, children years 1-11</t>
  </si>
  <si>
    <t>FAQ's</t>
  </si>
  <si>
    <t>How confident can we be that these results reflect the real picture?</t>
  </si>
  <si>
    <t>Inequalities</t>
  </si>
  <si>
    <t>Gender</t>
  </si>
  <si>
    <t>Socio-Economic</t>
  </si>
  <si>
    <t>Age</t>
  </si>
  <si>
    <t>Latest Release</t>
  </si>
  <si>
    <t>Change</t>
  </si>
  <si>
    <t>Gap</t>
  </si>
  <si>
    <t>Baseline</t>
  </si>
  <si>
    <t>Back to selection</t>
  </si>
  <si>
    <t>Area for comparison</t>
  </si>
  <si>
    <t>More information on the Active Lives Survey, including the data collection process, methodology and FAQ's can be found on the description tab.</t>
  </si>
  <si>
    <t>Back to description</t>
  </si>
  <si>
    <t>GM Moving</t>
  </si>
  <si>
    <t>Target</t>
  </si>
  <si>
    <t>CYP 2017-18</t>
  </si>
  <si>
    <t>CYP 2018-19</t>
  </si>
  <si>
    <t>May 19-20</t>
  </si>
  <si>
    <t>CYP 2019-20</t>
  </si>
  <si>
    <t>Active - Numbers</t>
  </si>
  <si>
    <t>Fairly Active - Numbers</t>
  </si>
  <si>
    <t>Inactive - Numbers</t>
  </si>
  <si>
    <t>Less Active - Numbers</t>
  </si>
  <si>
    <t>Adults Moving</t>
  </si>
  <si>
    <t>CYP Moving</t>
  </si>
  <si>
    <t>Population Moving</t>
  </si>
  <si>
    <t>Total Population</t>
  </si>
  <si>
    <t>Moving - Numbers</t>
  </si>
  <si>
    <t>2 million target</t>
  </si>
  <si>
    <t>Progress Towards our Target of 2 Million Moving by 2021</t>
  </si>
  <si>
    <t>Progress Towards our Target of 75% of GM Moving by 2025</t>
  </si>
  <si>
    <t>This is your primary area and you can see a breakdown of activity levels in the bar graphs and inequalities rates.</t>
  </si>
  <si>
    <t>This is your comparator area, this is used for the line graphs.</t>
  </si>
  <si>
    <t>Active Lives Children &amp; Young People Survey</t>
  </si>
  <si>
    <t>It’s carried out by IPSOS-MORI and produced by Sport England in collaboration with Arts Council England, Public Health England and the Department for Transport.</t>
  </si>
  <si>
    <t>The results will shape and influence local decision-making as well as inform government policy.</t>
  </si>
  <si>
    <t>The survey was established in November 2015 to replace the Active People Survey. The survey provides a world-leading approach to gathering data on how adults, 16+, in England engage with sport and physical activity.</t>
  </si>
  <si>
    <t>It gives anyone working with children aged 5-16 key insight to help understand children’s attitudes and behaviours around sport and physical activity.</t>
  </si>
  <si>
    <t>The survey was established in September 2017 and it provides a world-leading approach to gathering data on how children engage with sport and physical activity.</t>
  </si>
  <si>
    <t>The results will shape and influence local decision-making as well as inform government policy on the PE and Sport Premium, Childhood Obesity Plan and other cross-departmental programmes.</t>
  </si>
  <si>
    <t>The survey is sent out to a randomly selected sample of households across England, this is drawn from the Royal Mail's Postal Address File (generally regarded as the ‘Gold Standard’ for population surveys). Two adults are invited to take part by logging online and entering the password in their invite letter. There's also an option to complete a paper questionnaire which is supplied with the second of three reminders.</t>
  </si>
  <si>
    <t>Data is weighted to Office for National Statistics population measures for geography and key demographics.</t>
  </si>
  <si>
    <t>This includes academies, free schools, and boarding schools. Infant, junior, primary, middle, secondary and all-through schools are all included and results in 96% coverage of all Year 1-11 pupils in England.</t>
  </si>
  <si>
    <t>One teacher per school is also asked to complete a questionnaire on facilities, teacher training, active travel, types of physical activity on offer and the impact of PE and School Sport Premium funding, to provide context to children's responses.</t>
  </si>
  <si>
    <t>The survey has a different design for Years 1-2, Years 3-6 and Years 7-11 to ensure it's suitable for each age group.</t>
  </si>
  <si>
    <t xml:space="preserve">Schools are selected randomly within each local authority. Up to three year groups are randomly chosen per school and within these year groups a single mixed-ability class is randomly selected. Therefore, each school will carry out the survey with up to three classes.
</t>
  </si>
  <si>
    <t>A sample of schools is drawn each year from the ‘Get Information about Schools’ database, a register of educational establishments maintained by the Department for Education. The sample includes both state-funded and independent schools.</t>
  </si>
  <si>
    <t>In addition to this, parents of children sampled in Years 1-2 are asked to complete a questionnaire to provide more detail about their child’s physical activity behaviours.</t>
  </si>
  <si>
    <t>CONCATENATE("The inactivity ", (LOWER(D39))," gap in ",B39," is ",(TEXT((ABS(J41)),"0.0%")),", this has", (IF(J41-J48&gt;0," closed the gap", " widened the gap"))," since baseline by ",(TEXT(J39,"0.0%")),".")</t>
  </si>
  <si>
    <t>May 18/19</t>
  </si>
  <si>
    <t>Nov 17/18</t>
  </si>
  <si>
    <t>May 17/18</t>
  </si>
  <si>
    <t>Nov 16/17</t>
  </si>
  <si>
    <t>May 16/17</t>
  </si>
  <si>
    <t>Nov 18/19</t>
  </si>
  <si>
    <t>Nov 15/16</t>
  </si>
  <si>
    <t xml:space="preserve">The number we use is the rate (the percentage of people who are active etc), however, Sport England provides us with the 95% confidence intervals, the numbers we use sit within this. These intervals are the range of values around the statistic that are believed to contain, with a 95% probability, the true population value. </t>
  </si>
  <si>
    <t>The overall sample size is around 175,000 people for each survey. The minimum annual sample size for each English local authority (excluding the City of London and Isles of Scilly) is 500, though some key areas will involve surveying a bigger number of people. The boroughs of Greater Manchester have a target of 1000 with Manchester having a target of 2000.</t>
  </si>
  <si>
    <t>Through weighting the bias is reduced and helps ensure the weighted sample matches the population as closely as possible.</t>
  </si>
  <si>
    <t>How are population estimates created?</t>
  </si>
  <si>
    <t>Estimates are created using the rate (%) and the relevant population estimate from the Office for National Statistics, for the latest release this was the 2018 mid-year population estimate.</t>
  </si>
  <si>
    <t>NS-SEC 1 - Larger employers and higher managerial and professional occupations e.g. directors of major organisations; officers in armed forces; senior officers in national government; clergy; medical practicioners; higher education teaching professionals
NS-SEC 2 - Lower managerial and professional occupations e.g. journalists; newspaper editors; musicians; nurses; paramedics; school teachers
NS-SEC 3 - Intermediate occupations e.g. graphic designers; medical secretaries; travel agents; ambulance staff (excluding paramedics); police officers (sergeant and below)
NS-SEC 4 - Small employers and own account workers e.g. farmers; hotel managers; product designers; roofers; taxi-cab drivers
NS-SEC 5 - Lower supervisory and technical occupations e.g. bakers; electricians; gardners; road construction operatives; train drivers
NS-SEC 6 - Semi-routine occupations e.g. dental nurses; farm workers; housekeepers; scaffolders; traffic wardens
NS-SEC 7 - Routine occupations e.g. butchers; cleaners, domestics; furniture makers; labourers in building and woodworking trades; waiters, waitresses
NS-SEC 8 - Never worked and long term unemployed
NS-SEC 9 - Students</t>
  </si>
  <si>
    <t>Area Overview</t>
  </si>
  <si>
    <t>Bar Graphs</t>
  </si>
  <si>
    <t>Line Graphs</t>
  </si>
  <si>
    <t>Inequalities Over Time</t>
  </si>
  <si>
    <t>Inequalities Gap</t>
  </si>
  <si>
    <t>This is an overview of adult and CYP activity levels for your primary area and the changes in the moving population</t>
  </si>
  <si>
    <t>A comparision between your two selected areas moving levels over time.</t>
  </si>
  <si>
    <t>Walking for leisure</t>
  </si>
  <si>
    <t>Walking for travel</t>
  </si>
  <si>
    <t>All walking</t>
  </si>
  <si>
    <t>Nov 19-20</t>
  </si>
  <si>
    <t>May 20-21</t>
  </si>
  <si>
    <t>Nov 20-21</t>
  </si>
  <si>
    <t>May 21-22</t>
  </si>
  <si>
    <t>Nov 21-22</t>
  </si>
  <si>
    <t>May 22-23</t>
  </si>
  <si>
    <t>Nov 22-23</t>
  </si>
  <si>
    <t>May 23-24</t>
  </si>
  <si>
    <t>Nov 23-24</t>
  </si>
  <si>
    <t>May 24-25</t>
  </si>
  <si>
    <t>Nov 24-25</t>
  </si>
  <si>
    <t>May 25-26</t>
  </si>
  <si>
    <t>Adults Most Active</t>
  </si>
  <si>
    <t>Ranking</t>
  </si>
  <si>
    <t>CYP Most Active</t>
  </si>
  <si>
    <t>CYP 2020-21</t>
  </si>
  <si>
    <t>CYP 2021-22</t>
  </si>
  <si>
    <t>CYP 2022-23</t>
  </si>
  <si>
    <t>CYP 2023-24</t>
  </si>
  <si>
    <t>CYP 2024-25</t>
  </si>
  <si>
    <t>CYP 2025-26</t>
  </si>
  <si>
    <t>What does active, fairly active, inactive and moving mean?</t>
  </si>
  <si>
    <t>For socio-economic status social grade is determined by NS-SEC, what do NS-SEC actually relate to?</t>
  </si>
  <si>
    <t>Why does all walking not equal the sum of walking for travel and walking for leisure?</t>
  </si>
  <si>
    <t>Some people will have participated in both walking for travel and walking for leisure but they would only be counted once in the all walking figure.</t>
  </si>
  <si>
    <t xml:space="preserve">2 million target </t>
  </si>
  <si>
    <t>How does this represent the overall population?</t>
  </si>
  <si>
    <t>Leisure Change</t>
  </si>
  <si>
    <t>Travel Change</t>
  </si>
  <si>
    <t>All Change</t>
  </si>
  <si>
    <t>Gender Gap</t>
  </si>
  <si>
    <t>Socio-Economic Gap</t>
  </si>
  <si>
    <t>Disability Gap</t>
  </si>
  <si>
    <t>Age Gap</t>
  </si>
  <si>
    <t>An overview of your chosen inequality showing inactivity levels across the group with a comparision to baseline levels (Nov 15/16).</t>
  </si>
  <si>
    <t>A breakdown of your selected inequality showing the yearly change since baseline (Nov 15/16).</t>
  </si>
  <si>
    <t>The inactivity gap amongst your selected group across all ten boroughs, GM and England.</t>
  </si>
  <si>
    <t>Targets</t>
  </si>
  <si>
    <t>The progress GreaterSport has made towards its targets for people moving.</t>
  </si>
  <si>
    <t>5-16</t>
  </si>
  <si>
    <t>Other Ethnic Group</t>
  </si>
  <si>
    <t>Mid Year Estimate</t>
  </si>
  <si>
    <t>Source Nomis</t>
  </si>
  <si>
    <t>Progress Towards our Target of Most Active Region for Children and Young People</t>
  </si>
  <si>
    <t>Progress Towards our Target of Most Active Region for Adults</t>
  </si>
  <si>
    <t>Source: Office for National Statistics</t>
  </si>
  <si>
    <t>Office for National Statistics (2011): 2001 Census aggregate data (Edition: May 2011). UK Data Service. DOI: http://dx.doi.org/10.5257/census/aggregate-2001-2</t>
  </si>
  <si>
    <t>Ethnicity</t>
  </si>
  <si>
    <t>Low Affluence - Fairly Active</t>
  </si>
  <si>
    <t>Medium Affluence - Fairly Active</t>
  </si>
  <si>
    <t>High Affluence - Fairly Active</t>
  </si>
  <si>
    <t>White British - Fairly Active</t>
  </si>
  <si>
    <t>White Other - Fairly Active</t>
  </si>
  <si>
    <t>Asian - Fairly Active</t>
  </si>
  <si>
    <t>Black - Fairly Active</t>
  </si>
  <si>
    <t>Mixed - Fairly Active</t>
  </si>
  <si>
    <t>Other - Fairly Active</t>
  </si>
  <si>
    <t>Low Affluence - Less Active</t>
  </si>
  <si>
    <t>Medium Affluence - Less Active</t>
  </si>
  <si>
    <t>High Affluence - Less Active</t>
  </si>
  <si>
    <t>White British - Less Active</t>
  </si>
  <si>
    <t>White Other - Less Active</t>
  </si>
  <si>
    <t>Asian - Less Active</t>
  </si>
  <si>
    <t>Black - Less Active</t>
  </si>
  <si>
    <t>Mixed - Less Active</t>
  </si>
  <si>
    <t>Other - Less Active</t>
  </si>
  <si>
    <t>Low Affluence - Active</t>
  </si>
  <si>
    <t>Medium Affluence - Active</t>
  </si>
  <si>
    <t>High Affluence - Active</t>
  </si>
  <si>
    <t>White British - Active</t>
  </si>
  <si>
    <t>White Other - Active</t>
  </si>
  <si>
    <t>Asian - Active</t>
  </si>
  <si>
    <t>Black - Active</t>
  </si>
  <si>
    <t>Mixed - Active</t>
  </si>
  <si>
    <t>Other - Active</t>
  </si>
  <si>
    <t>Boy - Active</t>
  </si>
  <si>
    <t>Girl - Active</t>
  </si>
  <si>
    <t>Boy - Fairly Active</t>
  </si>
  <si>
    <t>Girl - Fairly Active</t>
  </si>
  <si>
    <t>Boy - Less Active</t>
  </si>
  <si>
    <t>Girl - Less Active</t>
  </si>
  <si>
    <t>On the inequalities tabs you can view your primary area and how it is performing against the selected demographic.
N.B. Ethnicity analysis is only available at a Greater Manchester level.</t>
  </si>
  <si>
    <t>Affluence</t>
  </si>
  <si>
    <t>How is affluence calculated for children and young people?</t>
  </si>
  <si>
    <t>A series of questions are asked at the end of the questionnaire and these form the basis of the Family Affluence Scale which been developed as a means of getting an indication of the socioeconomic status of a young person.</t>
  </si>
  <si>
    <t>An overview of the changes in the proportion of active, fairly active and less active children and young people in your primary area over time.</t>
  </si>
  <si>
    <t>An overview of the changes in the proportion of active, fairly active and inactive adults in your primary area over time.</t>
  </si>
  <si>
    <t>Bar Graphs CYP</t>
  </si>
  <si>
    <t>Line Graphs CYP</t>
  </si>
  <si>
    <t>Inequalities CYP</t>
  </si>
  <si>
    <t>An overview of your chosen inequality showing inactivity levels across the group with a comparision to baseline levels (2018/19).</t>
  </si>
  <si>
    <t>Volunteering</t>
  </si>
  <si>
    <t>Work Status</t>
  </si>
  <si>
    <t>Walking</t>
  </si>
  <si>
    <t>An overview of walking rates in your selected area.</t>
  </si>
  <si>
    <t>An overview of volunteering levels in your selected areas over time.</t>
  </si>
  <si>
    <t>How much volunteering does someone need to do to count as a volunteer?</t>
  </si>
  <si>
    <t>Individuals will have volunteered at least twice over the previous 12 months to support sport and physical activity across various roles.</t>
  </si>
  <si>
    <t>On the inequalities tabs you can view your primary area and how it is performing against the selected demographic.
N.B. Ethnicity and work status analysis is only available on the Inequalities tab.</t>
  </si>
  <si>
    <t>Source: Sport England Active Lives Children and Young People Survey, 2017/18 to 2018/19, children years 5-11</t>
  </si>
  <si>
    <t>Volunteering Comparision</t>
  </si>
  <si>
    <t>Source: Sport England Active Lives Children and Young People Survey, 2018/19, children years 5-11</t>
  </si>
  <si>
    <t>Source: Sport England Active Lives Survey, November 2015/16 to May 2019/20, adults 16+ and Sport England Active Lives Children and Young People Survey, 2017/18 to 2018/19, children years 1-11</t>
  </si>
  <si>
    <t xml:space="preserve">Source: Sport England Active Lives Survey, November 2015/16 to May 2019/20, adults 16+ </t>
  </si>
  <si>
    <t>Source: Sport England Active Lives Survey, November 2015/16 to May 2019/20, adults 16+</t>
  </si>
  <si>
    <t>Source: Sport England Active Lives Survey, November 2017/18 to May 2019/20, adults 16+</t>
  </si>
  <si>
    <t>Source: Sport England Active Lives Survey, May 2016/17 to May 2019/20, adults 16+</t>
  </si>
  <si>
    <t>May 19/20</t>
  </si>
  <si>
    <t>Source: Sport England Active Lives Survey, May 2019/20, adults 16+</t>
  </si>
  <si>
    <t>Source: Sport England Active Lives Survey, May 2019/20, adults 16+ and Sport England Active Lives Children and Young People Survey, 2018/19, children years 1-11</t>
  </si>
  <si>
    <t>How often is data released?</t>
  </si>
  <si>
    <t>Adult data is released twice a year, April and October and children and young people data is released once a year in December.</t>
  </si>
  <si>
    <t>For adults inactive is classified as less than 30 minutes of physical activity a week, fairly active is 30-149 minutes a week and active is more than 150 minutes of physical activity a week, moving is a combination of active and fairly active. 
For children inactive (also referred to as less active) is classed as less than 30 minutes of physical activity a day, fairly active is 30-59 minutes a day and active is more than 60 minutes a day, it is recommended that the  60 minutes is split equally between activity in school and out of school, as with adults moving is the combination on active and fairly active.
Activity levels for adults and children is based on guidance from the Chief Medical Officer.</t>
  </si>
  <si>
    <t>Moving Comparision</t>
  </si>
  <si>
    <t>An overview of the moving population across England, Greater Manchester and the 10 boroughs of Greater Manchester.</t>
  </si>
  <si>
    <t>An overview of the rates of volunteering across England, Greater Manchester and the ten boroughs of Greater Manchester</t>
  </si>
  <si>
    <t>NS SEC 1-2</t>
  </si>
  <si>
    <t>NS SEC 3-5</t>
  </si>
  <si>
    <t>NS SEC 6-8</t>
  </si>
  <si>
    <t>NS SEC 9</t>
  </si>
  <si>
    <t>INDEX(D72:D99, MATCH(LARGE(E72:E99,1),E72:E99,0))</t>
  </si>
  <si>
    <t>male</t>
  </si>
  <si>
    <t>female</t>
  </si>
  <si>
    <t>no LT limiting disability</t>
  </si>
  <si>
    <t>working full or part time</t>
  </si>
  <si>
    <t>unemployed</t>
  </si>
  <si>
    <t>not working - retired</t>
  </si>
  <si>
    <t>not working - looking after house/children</t>
  </si>
  <si>
    <t>not working - long term sick or disabled</t>
  </si>
  <si>
    <t>student full or part time</t>
  </si>
  <si>
    <t>oOther working status</t>
  </si>
  <si>
    <t>Demographics</t>
  </si>
  <si>
    <t>An overview of inacitivity across all demographics from baseline and the latest release.</t>
  </si>
  <si>
    <t>Activity Levels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</si>
</sst>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3"/>
      <name val="Verdana"/>
      <family val="2"/>
      <scheme val="minor"/>
    </font>
    <font>
      <sz val="11"/>
      <color theme="1"/>
      <name val="Verdana"/>
      <family val="2"/>
      <scheme val="minor"/>
    </font>
    <font>
      <sz val="11"/>
      <color theme="1"/>
      <name val="Verdana"/>
      <family val="2"/>
      <scheme val="minor"/>
    </font>
    <font>
      <sz val="11"/>
      <color theme="1"/>
      <name val="Verdana"/>
      <family val="2"/>
      <scheme val="minor"/>
    </font>
    <font>
      <sz val="11"/>
      <color theme="1"/>
      <name val="Verdana"/>
      <family val="2"/>
      <scheme val="minor"/>
    </font>
    <font>
      <sz val="9"/>
      <color indexed="81"/>
      <name val="Tahoma"/>
      <family val="2"/>
    </font>
    <font>
      <b/>
      <sz val="9"/>
      <color indexed="81"/>
      <name val="Tahoma"/>
      <family val="2"/>
    </font>
    <font>
      <b/>
      <sz val="11"/>
      <color theme="0"/>
      <name val="Verdana"/>
      <family val="2"/>
      <scheme val="minor"/>
    </font>
    <font>
      <b/>
      <sz val="15"/>
      <color theme="3"/>
      <name val="Verdana"/>
      <family val="2"/>
      <scheme val="minor"/>
    </font>
    <font>
      <b/>
      <sz val="13"/>
      <color theme="3"/>
      <name val="Verdana"/>
      <family val="2"/>
      <scheme val="minor"/>
    </font>
    <font>
      <i/>
      <sz val="9"/>
      <color theme="1"/>
      <name val="Verdana"/>
      <family val="2"/>
      <scheme val="minor"/>
    </font>
    <font>
      <b/>
      <u/>
      <sz val="11"/>
      <color theme="1"/>
      <name val="Verdana"/>
      <family val="2"/>
      <scheme val="minor"/>
    </font>
    <font>
      <sz val="11"/>
      <color theme="3"/>
      <name val="Verdana"/>
      <family val="2"/>
      <scheme val="minor"/>
    </font>
    <font>
      <b/>
      <sz val="11"/>
      <color theme="2"/>
      <name val="Verdana"/>
      <family val="2"/>
      <scheme val="minor"/>
    </font>
    <font>
      <i/>
      <sz val="11"/>
      <color theme="1"/>
      <name val="Verdana"/>
      <family val="2"/>
      <scheme val="minor"/>
    </font>
    <font>
      <i/>
      <sz val="9"/>
      <color rgb="FF7F7F7F"/>
      <name val="Verdana"/>
      <family val="2"/>
      <scheme val="minor"/>
    </font>
    <font>
      <sz val="11"/>
      <name val="Verdana"/>
      <family val="2"/>
      <scheme val="minor"/>
    </font>
    <font>
      <i/>
      <sz val="9"/>
      <color theme="3"/>
      <name val="Verdana"/>
      <family val="2"/>
      <scheme val="minor"/>
    </font>
    <font>
      <b/>
      <u/>
      <sz val="11"/>
      <color theme="3"/>
      <name val="Verdana"/>
      <family val="2"/>
      <scheme val="minor"/>
    </font>
    <font>
      <sz val="11"/>
      <color theme="2"/>
      <name val="Verdana"/>
      <family val="2"/>
      <scheme val="minor"/>
    </font>
    <font>
      <u/>
      <sz val="11"/>
      <color theme="4"/>
      <name val="Verdana"/>
      <family val="2"/>
      <scheme val="minor"/>
    </font>
    <font>
      <sz val="11"/>
      <color rgb="FFFF0000"/>
      <name val="Verdana"/>
      <family val="2"/>
      <scheme val="minor"/>
    </font>
    <font>
      <sz val="10"/>
      <color rgb="FF333333"/>
      <name val="Segoe UI"/>
      <family val="2"/>
    </font>
    <font>
      <sz val="11"/>
      <color indexed="8"/>
      <name val="Verdana"/>
      <family val="2"/>
      <scheme val="minor"/>
    </font>
    <font>
      <b/>
      <sz val="11"/>
      <color theme="2"/>
      <name val="Verdana"/>
      <family val="2"/>
      <scheme val="minor"/>
    </font>
    <font>
      <sz val="11"/>
      <color theme="3"/>
      <name val="Verdana"/>
      <family val="2"/>
      <scheme val="minor"/>
    </font>
    <font>
      <u/>
      <sz val="11"/>
      <color theme="9"/>
      <name val="Verdana"/>
      <family val="2"/>
      <scheme val="minor"/>
    </font>
    <font>
      <b/>
      <sz val="11"/>
      <color theme="3"/>
      <name val="Verdana"/>
      <family val="2"/>
      <scheme val="minor"/>
    </font>
  </fonts>
  <fills count="7">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3"/>
        <bgColor indexed="64"/>
      </patternFill>
    </fill>
    <fill>
      <patternFill patternType="solid">
        <fgColor theme="2"/>
        <bgColor indexed="64"/>
      </patternFill>
    </fill>
    <fill>
      <patternFill patternType="solid">
        <fgColor theme="4" tint="0.79998168889431442"/>
        <bgColor indexed="65"/>
      </patternFill>
    </fill>
  </fills>
  <borders count="27">
    <border>
      <left/>
      <right/>
      <top/>
      <bottom/>
      <diagonal/>
    </border>
    <border>
      <left style="thin">
        <color indexed="64"/>
      </left>
      <right style="thin">
        <color indexed="64"/>
      </right>
      <top style="thin">
        <color indexed="64"/>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style="thick">
        <color theme="4"/>
      </left>
      <right/>
      <top style="thick">
        <color theme="4"/>
      </top>
      <bottom/>
      <diagonal/>
    </border>
    <border>
      <left/>
      <right/>
      <top style="thick">
        <color theme="4"/>
      </top>
      <bottom/>
      <diagonal/>
    </border>
    <border>
      <left/>
      <right style="thick">
        <color theme="4"/>
      </right>
      <top style="thick">
        <color theme="4"/>
      </top>
      <bottom/>
      <diagonal/>
    </border>
    <border>
      <left style="thick">
        <color theme="4"/>
      </left>
      <right/>
      <top/>
      <bottom/>
      <diagonal/>
    </border>
    <border>
      <left/>
      <right style="thick">
        <color theme="4"/>
      </right>
      <top/>
      <bottom/>
      <diagonal/>
    </border>
    <border>
      <left style="thick">
        <color theme="4"/>
      </left>
      <right/>
      <top/>
      <bottom style="thick">
        <color theme="4"/>
      </bottom>
      <diagonal/>
    </border>
    <border>
      <left/>
      <right style="thick">
        <color theme="4"/>
      </right>
      <top/>
      <bottom style="thick">
        <color theme="4"/>
      </bottom>
      <diagonal/>
    </border>
    <border>
      <left/>
      <right/>
      <top style="thin">
        <color indexed="65"/>
      </top>
      <bottom/>
      <diagonal/>
    </border>
    <border>
      <left style="thin">
        <color indexed="64"/>
      </left>
      <right/>
      <top/>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theme="4"/>
      </top>
      <bottom/>
      <diagonal/>
    </border>
    <border>
      <left style="thick">
        <color theme="4"/>
      </left>
      <right style="thick">
        <color theme="4"/>
      </right>
      <top style="thick">
        <color theme="4"/>
      </top>
      <bottom style="thick">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s>
  <cellStyleXfs count="12">
    <xf numFmtId="0" fontId="0" fillId="0" borderId="0"/>
    <xf numFmtId="164" fontId="12" fillId="0" borderId="0" applyBorder="0" applyAlignment="0" applyProtection="0"/>
    <xf numFmtId="0" fontId="8" fillId="0" borderId="4" applyNumberFormat="0" applyFill="0" applyAlignment="0" applyProtection="0"/>
    <xf numFmtId="0" fontId="9" fillId="0" borderId="5" applyNumberFormat="0" applyFill="0" applyAlignment="0" applyProtection="0"/>
    <xf numFmtId="0" fontId="12" fillId="6" borderId="0" applyNumberFormat="0" applyBorder="0" applyAlignment="0" applyProtection="0"/>
    <xf numFmtId="0" fontId="26" fillId="0" borderId="0" applyNumberFormat="0" applyFill="0" applyBorder="0" applyAlignment="0" applyProtection="0"/>
    <xf numFmtId="0" fontId="15" fillId="0" borderId="0" applyNumberFormat="0" applyFill="0" applyBorder="0" applyAlignment="0" applyProtection="0"/>
    <xf numFmtId="3" fontId="12" fillId="0" borderId="0"/>
    <xf numFmtId="0" fontId="4" fillId="0" borderId="0"/>
    <xf numFmtId="0" fontId="4" fillId="0" borderId="0"/>
    <xf numFmtId="0" fontId="20" fillId="0" borderId="0" applyFill="0" applyBorder="0" applyAlignment="0" applyProtection="0"/>
    <xf numFmtId="0" fontId="23" fillId="0" borderId="0"/>
  </cellStyleXfs>
  <cellXfs count="232">
    <xf numFmtId="0" fontId="0" fillId="0" borderId="0" xfId="0"/>
    <xf numFmtId="164" fontId="0" fillId="0" borderId="1" xfId="0" applyNumberFormat="1" applyBorder="1"/>
    <xf numFmtId="0" fontId="0" fillId="0" borderId="0" xfId="0" applyFill="1"/>
    <xf numFmtId="164" fontId="0" fillId="0" borderId="0" xfId="0" applyNumberFormat="1"/>
    <xf numFmtId="164" fontId="0" fillId="0" borderId="0" xfId="1" applyNumberFormat="1" applyFont="1"/>
    <xf numFmtId="0" fontId="7" fillId="3" borderId="2" xfId="0" applyFont="1" applyFill="1" applyBorder="1"/>
    <xf numFmtId="0" fontId="7" fillId="3" borderId="3" xfId="0" applyFont="1" applyFill="1" applyBorder="1"/>
    <xf numFmtId="0" fontId="0" fillId="4" borderId="0" xfId="0" applyFill="1"/>
    <xf numFmtId="164" fontId="0" fillId="4" borderId="0" xfId="1" applyNumberFormat="1" applyFont="1" applyFill="1"/>
    <xf numFmtId="0" fontId="0" fillId="2" borderId="0" xfId="0" applyFill="1" applyBorder="1"/>
    <xf numFmtId="0" fontId="10" fillId="2" borderId="0" xfId="0" applyFont="1"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4" xfId="0" applyFill="1" applyBorder="1"/>
    <xf numFmtId="0" fontId="0" fillId="2" borderId="12" xfId="0" applyFill="1" applyBorder="1"/>
    <xf numFmtId="164" fontId="0" fillId="4" borderId="0" xfId="0" applyNumberFormat="1" applyFill="1"/>
    <xf numFmtId="0" fontId="13" fillId="0" borderId="0" xfId="0" applyFont="1"/>
    <xf numFmtId="0" fontId="0" fillId="0" borderId="0" xfId="1" applyNumberFormat="1" applyFont="1"/>
    <xf numFmtId="0" fontId="0" fillId="4" borderId="0" xfId="0" applyFill="1" applyBorder="1"/>
    <xf numFmtId="0" fontId="0" fillId="5" borderId="4" xfId="0" applyFill="1" applyBorder="1"/>
    <xf numFmtId="164" fontId="0" fillId="0" borderId="0" xfId="1" applyFont="1"/>
    <xf numFmtId="164" fontId="0" fillId="0" borderId="0" xfId="1" applyNumberFormat="1" applyFont="1"/>
    <xf numFmtId="164" fontId="0" fillId="0" borderId="0" xfId="1" applyNumberFormat="1" applyFont="1"/>
    <xf numFmtId="3" fontId="0" fillId="0" borderId="0" xfId="0" applyNumberFormat="1"/>
    <xf numFmtId="164" fontId="0" fillId="0" borderId="0" xfId="1" applyNumberFormat="1" applyFont="1"/>
    <xf numFmtId="0" fontId="0" fillId="0" borderId="0" xfId="0"/>
    <xf numFmtId="3" fontId="12" fillId="0" borderId="0" xfId="7"/>
    <xf numFmtId="0" fontId="7" fillId="0" borderId="0" xfId="0" applyFont="1"/>
    <xf numFmtId="0" fontId="0" fillId="5" borderId="0" xfId="0" applyFill="1" applyBorder="1"/>
    <xf numFmtId="0" fontId="16" fillId="4" borderId="0" xfId="0" applyFont="1" applyFill="1" applyBorder="1" applyAlignment="1">
      <alignment vertical="center"/>
    </xf>
    <xf numFmtId="0" fontId="16" fillId="4" borderId="0" xfId="0" applyFont="1" applyFill="1"/>
    <xf numFmtId="0" fontId="16" fillId="4" borderId="0" xfId="0" applyFont="1" applyFill="1" applyBorder="1"/>
    <xf numFmtId="0" fontId="16" fillId="4" borderId="0" xfId="0" applyNumberFormat="1" applyFont="1" applyFill="1" applyBorder="1" applyAlignment="1"/>
    <xf numFmtId="164" fontId="16" fillId="4" borderId="0" xfId="1" applyNumberFormat="1" applyFont="1" applyFill="1"/>
    <xf numFmtId="164" fontId="16" fillId="4" borderId="0" xfId="0" applyNumberFormat="1" applyFont="1" applyFill="1"/>
    <xf numFmtId="10" fontId="16" fillId="4" borderId="0" xfId="1" applyNumberFormat="1" applyFont="1" applyFill="1"/>
    <xf numFmtId="3" fontId="16" fillId="4" borderId="0" xfId="0" applyNumberFormat="1" applyFont="1" applyFill="1"/>
    <xf numFmtId="3" fontId="12" fillId="0" borderId="0" xfId="7" applyFont="1"/>
    <xf numFmtId="164" fontId="12" fillId="0" borderId="0" xfId="1" applyNumberFormat="1" applyFont="1"/>
    <xf numFmtId="164" fontId="12" fillId="0" borderId="13" xfId="1" applyFill="1" applyBorder="1"/>
    <xf numFmtId="164" fontId="12" fillId="0" borderId="0" xfId="1" applyBorder="1" applyAlignment="1">
      <alignment vertical="center"/>
    </xf>
    <xf numFmtId="164" fontId="12" fillId="0" borderId="13" xfId="1" applyBorder="1"/>
    <xf numFmtId="164" fontId="12" fillId="0" borderId="0" xfId="1" applyBorder="1" applyAlignment="1">
      <alignment horizontal="right" vertical="center"/>
    </xf>
    <xf numFmtId="3" fontId="12" fillId="0" borderId="0" xfId="7" applyBorder="1"/>
    <xf numFmtId="164" fontId="12" fillId="0" borderId="0" xfId="1"/>
    <xf numFmtId="164" fontId="16" fillId="4" borderId="0" xfId="1" applyFont="1" applyFill="1"/>
    <xf numFmtId="0" fontId="0" fillId="5" borderId="0" xfId="0" applyFill="1"/>
    <xf numFmtId="0" fontId="12" fillId="5" borderId="0" xfId="4" applyFill="1" applyBorder="1" applyAlignment="1" applyProtection="1">
      <alignment horizontal="center" vertical="center"/>
      <protection locked="0"/>
    </xf>
    <xf numFmtId="0" fontId="15" fillId="5" borderId="0" xfId="6" applyFont="1" applyFill="1" applyBorder="1" applyAlignment="1">
      <alignment horizontal="left" wrapText="1"/>
    </xf>
    <xf numFmtId="0" fontId="15" fillId="5" borderId="0" xfId="6" applyFont="1" applyFill="1" applyBorder="1" applyAlignment="1">
      <alignment horizontal="left" vertical="top" wrapText="1"/>
    </xf>
    <xf numFmtId="0" fontId="15" fillId="5" borderId="0" xfId="6" applyFont="1" applyFill="1" applyBorder="1" applyAlignment="1">
      <alignment wrapText="1"/>
    </xf>
    <xf numFmtId="0" fontId="0" fillId="0" borderId="0" xfId="0" applyNumberFormat="1" applyAlignment="1" applyProtection="1">
      <protection locked="0"/>
    </xf>
    <xf numFmtId="164" fontId="0" fillId="0" borderId="0" xfId="0" applyNumberFormat="1" applyAlignment="1" applyProtection="1">
      <protection locked="0"/>
    </xf>
    <xf numFmtId="3" fontId="19" fillId="0" borderId="0" xfId="7" quotePrefix="1" applyNumberFormat="1" applyFont="1" applyProtection="1">
      <protection locked="0"/>
    </xf>
    <xf numFmtId="164" fontId="19" fillId="0" borderId="0" xfId="1" quotePrefix="1" applyNumberFormat="1" applyFont="1" applyAlignment="1" applyProtection="1">
      <protection locked="0"/>
    </xf>
    <xf numFmtId="0" fontId="0" fillId="0" borderId="0" xfId="0" applyNumberFormat="1" applyAlignment="1" applyProtection="1"/>
    <xf numFmtId="164" fontId="0" fillId="0" borderId="0" xfId="1" applyNumberFormat="1" applyFont="1" applyAlignment="1" applyProtection="1"/>
    <xf numFmtId="0" fontId="0" fillId="0" borderId="0" xfId="1" applyNumberFormat="1" applyFont="1" applyAlignment="1" applyProtection="1"/>
    <xf numFmtId="3" fontId="12" fillId="0" borderId="0" xfId="7" quotePrefix="1" applyNumberFormat="1" applyProtection="1"/>
    <xf numFmtId="164" fontId="0" fillId="0" borderId="0" xfId="1" quotePrefix="1" applyNumberFormat="1" applyFont="1" applyAlignment="1" applyProtection="1"/>
    <xf numFmtId="164" fontId="12" fillId="0" borderId="0" xfId="1" applyNumberFormat="1"/>
    <xf numFmtId="164" fontId="12" fillId="0" borderId="0" xfId="1" applyBorder="1"/>
    <xf numFmtId="164" fontId="12" fillId="0" borderId="14" xfId="1" applyBorder="1" applyAlignment="1">
      <alignment horizontal="right" vertical="center"/>
    </xf>
    <xf numFmtId="0" fontId="3" fillId="4" borderId="0" xfId="0" applyFont="1" applyFill="1"/>
    <xf numFmtId="164" fontId="3" fillId="4" borderId="0" xfId="1" applyFont="1" applyFill="1"/>
    <xf numFmtId="0" fontId="3" fillId="4" borderId="0" xfId="0" applyFont="1" applyFill="1" applyBorder="1"/>
    <xf numFmtId="0" fontId="3" fillId="4" borderId="0" xfId="0" applyNumberFormat="1" applyFont="1" applyFill="1" applyBorder="1" applyAlignment="1"/>
    <xf numFmtId="164" fontId="3" fillId="4" borderId="0" xfId="1" applyNumberFormat="1" applyFont="1" applyFill="1"/>
    <xf numFmtId="164" fontId="3" fillId="4" borderId="0" xfId="0" applyNumberFormat="1" applyFont="1" applyFill="1"/>
    <xf numFmtId="0" fontId="26" fillId="4" borderId="0" xfId="5" applyFill="1" applyBorder="1" applyAlignment="1">
      <alignment horizontal="center"/>
    </xf>
    <xf numFmtId="3" fontId="16" fillId="4" borderId="0" xfId="7" applyFont="1" applyFill="1"/>
    <xf numFmtId="0" fontId="0" fillId="4" borderId="0" xfId="0" applyFill="1" applyProtection="1"/>
    <xf numFmtId="0" fontId="0" fillId="4" borderId="0" xfId="0" applyFill="1" applyAlignment="1" applyProtection="1">
      <alignment vertical="top"/>
    </xf>
    <xf numFmtId="0" fontId="0" fillId="5" borderId="6" xfId="0" applyFill="1" applyBorder="1" applyProtection="1"/>
    <xf numFmtId="0" fontId="0" fillId="5" borderId="7" xfId="0" applyFill="1" applyBorder="1" applyProtection="1"/>
    <xf numFmtId="0" fontId="0" fillId="5" borderId="8" xfId="0" applyFill="1" applyBorder="1" applyProtection="1"/>
    <xf numFmtId="0" fontId="0" fillId="5" borderId="9" xfId="0" applyFill="1" applyBorder="1" applyProtection="1"/>
    <xf numFmtId="0" fontId="0" fillId="5" borderId="10" xfId="0" applyFill="1" applyBorder="1" applyProtection="1"/>
    <xf numFmtId="0" fontId="12" fillId="5" borderId="0" xfId="4" applyFill="1" applyBorder="1" applyAlignment="1" applyProtection="1">
      <alignment horizontal="center" vertical="center"/>
    </xf>
    <xf numFmtId="0" fontId="21" fillId="4" borderId="0" xfId="0" applyFont="1" applyFill="1"/>
    <xf numFmtId="0" fontId="0" fillId="0" borderId="0" xfId="0" quotePrefix="1" applyNumberFormat="1" applyAlignment="1"/>
    <xf numFmtId="0" fontId="0" fillId="0" borderId="0" xfId="0" applyNumberFormat="1" applyAlignment="1"/>
    <xf numFmtId="0" fontId="0" fillId="0" borderId="0" xfId="0" quotePrefix="1" applyNumberFormat="1" applyAlignment="1" applyProtection="1">
      <protection locked="0"/>
    </xf>
    <xf numFmtId="0" fontId="0" fillId="4" borderId="0" xfId="0" applyFill="1" applyBorder="1" applyProtection="1"/>
    <xf numFmtId="0" fontId="0" fillId="4" borderId="0" xfId="0" applyFill="1" applyBorder="1" applyAlignment="1" applyProtection="1">
      <alignment horizontal="left" wrapText="1"/>
    </xf>
    <xf numFmtId="0" fontId="0" fillId="4" borderId="0" xfId="0" applyFill="1" applyBorder="1" applyAlignment="1" applyProtection="1">
      <alignment horizontal="left"/>
    </xf>
    <xf numFmtId="0" fontId="22" fillId="4" borderId="0" xfId="0" applyFont="1" applyFill="1"/>
    <xf numFmtId="0" fontId="16" fillId="4" borderId="0" xfId="0" applyFont="1" applyFill="1" applyAlignment="1">
      <alignment wrapText="1"/>
    </xf>
    <xf numFmtId="0" fontId="16" fillId="4" borderId="0" xfId="0" applyFont="1" applyFill="1" applyAlignment="1"/>
    <xf numFmtId="164" fontId="12" fillId="0" borderId="0" xfId="1" applyNumberFormat="1" applyAlignment="1" applyProtection="1">
      <protection locked="0"/>
    </xf>
    <xf numFmtId="164" fontId="12" fillId="0" borderId="0" xfId="1" applyNumberFormat="1" applyAlignment="1"/>
    <xf numFmtId="0" fontId="0" fillId="4" borderId="7" xfId="0" applyFill="1" applyBorder="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0" fillId="5" borderId="12" xfId="0" applyFill="1" applyBorder="1"/>
    <xf numFmtId="0" fontId="0" fillId="5" borderId="15" xfId="0" applyFill="1" applyBorder="1"/>
    <xf numFmtId="0" fontId="12" fillId="5" borderId="16" xfId="0" applyFont="1" applyFill="1" applyBorder="1" applyAlignment="1">
      <alignment wrapText="1"/>
    </xf>
    <xf numFmtId="0" fontId="0" fillId="5" borderId="17" xfId="0" applyFill="1" applyBorder="1"/>
    <xf numFmtId="0" fontId="0" fillId="5" borderId="18" xfId="0" applyFill="1" applyBorder="1"/>
    <xf numFmtId="0" fontId="0" fillId="5" borderId="19" xfId="0" applyFill="1" applyBorder="1"/>
    <xf numFmtId="0" fontId="0" fillId="5" borderId="20" xfId="0" applyFill="1" applyBorder="1"/>
    <xf numFmtId="0" fontId="0" fillId="5" borderId="21" xfId="0" applyFill="1" applyBorder="1"/>
    <xf numFmtId="0" fontId="0" fillId="5" borderId="22" xfId="0" applyFill="1" applyBorder="1"/>
    <xf numFmtId="0" fontId="0" fillId="5" borderId="0" xfId="0" applyFill="1" applyBorder="1" applyProtection="1"/>
    <xf numFmtId="0" fontId="0" fillId="5" borderId="10" xfId="0" applyFill="1" applyBorder="1" applyAlignment="1" applyProtection="1">
      <alignment vertical="top"/>
    </xf>
    <xf numFmtId="0" fontId="0" fillId="5" borderId="11" xfId="0" applyFill="1" applyBorder="1" applyProtection="1"/>
    <xf numFmtId="0" fontId="0" fillId="5" borderId="12" xfId="0" applyFill="1" applyBorder="1" applyProtection="1"/>
    <xf numFmtId="0" fontId="0" fillId="5" borderId="9" xfId="0" applyFill="1" applyBorder="1" applyAlignment="1" applyProtection="1">
      <alignment vertical="top"/>
    </xf>
    <xf numFmtId="0" fontId="0" fillId="5" borderId="4" xfId="0" applyFill="1" applyBorder="1" applyAlignment="1" applyProtection="1">
      <alignment horizontal="left" wrapText="1"/>
    </xf>
    <xf numFmtId="0" fontId="0" fillId="5" borderId="4" xfId="0" applyFill="1" applyBorder="1" applyAlignment="1" applyProtection="1">
      <alignment horizontal="left"/>
    </xf>
    <xf numFmtId="0" fontId="9" fillId="5" borderId="5" xfId="3" applyFill="1" applyBorder="1" applyProtection="1"/>
    <xf numFmtId="0" fontId="0" fillId="5" borderId="4" xfId="0" applyFill="1" applyBorder="1" applyProtection="1"/>
    <xf numFmtId="0" fontId="9" fillId="5" borderId="5" xfId="3" applyFill="1"/>
    <xf numFmtId="0" fontId="14" fillId="5" borderId="0" xfId="0" applyFont="1" applyFill="1" applyBorder="1" applyAlignment="1">
      <alignment wrapText="1"/>
    </xf>
    <xf numFmtId="0" fontId="14" fillId="5" borderId="0" xfId="0" applyFont="1" applyFill="1" applyBorder="1" applyAlignment="1">
      <alignment horizontal="left" wrapText="1"/>
    </xf>
    <xf numFmtId="0" fontId="0" fillId="5" borderId="0" xfId="0" applyFill="1" applyBorder="1" applyAlignment="1"/>
    <xf numFmtId="0" fontId="15" fillId="5" borderId="0" xfId="6" applyFill="1" applyBorder="1" applyAlignment="1">
      <alignment horizontal="left" wrapText="1"/>
    </xf>
    <xf numFmtId="164" fontId="7" fillId="3" borderId="23" xfId="0" applyNumberFormat="1" applyFont="1" applyFill="1" applyBorder="1" applyAlignment="1"/>
    <xf numFmtId="49" fontId="0" fillId="0" borderId="0" xfId="0" applyNumberFormat="1"/>
    <xf numFmtId="164" fontId="7" fillId="3" borderId="0" xfId="0" applyNumberFormat="1" applyFont="1" applyFill="1" applyBorder="1" applyAlignment="1"/>
    <xf numFmtId="0" fontId="26" fillId="4" borderId="0" xfId="5" applyFill="1" applyBorder="1" applyAlignment="1">
      <alignment horizontal="center"/>
    </xf>
    <xf numFmtId="0" fontId="12" fillId="5" borderId="24" xfId="4" applyFill="1" applyBorder="1" applyAlignment="1" applyProtection="1">
      <alignment horizontal="center" vertical="center"/>
      <protection locked="0"/>
    </xf>
    <xf numFmtId="3" fontId="12" fillId="0" borderId="0" xfId="7" applyFill="1"/>
    <xf numFmtId="0" fontId="15" fillId="5" borderId="0" xfId="6" applyFill="1" applyBorder="1" applyAlignment="1">
      <alignment horizontal="left" wrapText="1"/>
    </xf>
    <xf numFmtId="0" fontId="15" fillId="5" borderId="0" xfId="6" applyFill="1" applyBorder="1" applyAlignment="1">
      <alignment horizontal="left" vertical="center" wrapText="1"/>
    </xf>
    <xf numFmtId="164" fontId="0" fillId="0" borderId="25" xfId="1" applyNumberFormat="1" applyFont="1" applyBorder="1"/>
    <xf numFmtId="164" fontId="0" fillId="0" borderId="25" xfId="1" applyNumberFormat="1" applyFont="1" applyBorder="1" applyAlignment="1">
      <alignment horizontal="center"/>
    </xf>
    <xf numFmtId="0" fontId="0" fillId="5" borderId="0" xfId="0" applyFill="1" applyBorder="1" applyAlignment="1" applyProtection="1">
      <alignment horizontal="left"/>
    </xf>
    <xf numFmtId="0" fontId="20" fillId="5" borderId="0" xfId="10" applyFill="1"/>
    <xf numFmtId="0" fontId="24" fillId="0" borderId="0" xfId="0" applyFont="1"/>
    <xf numFmtId="164" fontId="12" fillId="0" borderId="25" xfId="1" applyBorder="1"/>
    <xf numFmtId="164" fontId="12" fillId="0" borderId="0" xfId="1" quotePrefix="1" applyAlignment="1"/>
    <xf numFmtId="0" fontId="12" fillId="0" borderId="0" xfId="1" applyNumberFormat="1" applyAlignment="1" applyProtection="1">
      <protection locked="0"/>
    </xf>
    <xf numFmtId="0" fontId="12" fillId="0" borderId="0" xfId="1" applyNumberFormat="1" applyAlignment="1"/>
    <xf numFmtId="0" fontId="2" fillId="4" borderId="0" xfId="0" applyFont="1" applyFill="1" applyBorder="1" applyAlignment="1">
      <alignment vertical="center"/>
    </xf>
    <xf numFmtId="0" fontId="2" fillId="4" borderId="0" xfId="0" applyFont="1" applyFill="1" applyAlignment="1"/>
    <xf numFmtId="0" fontId="2" fillId="4" borderId="0" xfId="0" applyFont="1" applyFill="1" applyAlignment="1">
      <alignment wrapText="1"/>
    </xf>
    <xf numFmtId="0" fontId="2" fillId="4" borderId="0" xfId="0" applyFont="1" applyFill="1"/>
    <xf numFmtId="164" fontId="2" fillId="4" borderId="0" xfId="1" applyFont="1" applyFill="1"/>
    <xf numFmtId="0" fontId="0" fillId="5" borderId="0" xfId="0" applyFill="1" applyBorder="1" applyAlignment="1" applyProtection="1"/>
    <xf numFmtId="0" fontId="9" fillId="5" borderId="0" xfId="3" applyFill="1" applyBorder="1" applyProtection="1"/>
    <xf numFmtId="0" fontId="0" fillId="2" borderId="0" xfId="0" applyFill="1" applyProtection="1"/>
    <xf numFmtId="164" fontId="12" fillId="0" borderId="0" xfId="1" applyNumberFormat="1" applyBorder="1" applyAlignment="1">
      <alignment horizontal="right"/>
    </xf>
    <xf numFmtId="164" fontId="12" fillId="0" borderId="26" xfId="1" applyNumberFormat="1" applyBorder="1" applyAlignment="1">
      <alignment vertical="center"/>
    </xf>
    <xf numFmtId="164" fontId="12" fillId="0" borderId="13" xfId="1" applyNumberFormat="1" applyBorder="1" applyAlignment="1">
      <alignment horizontal="right"/>
    </xf>
    <xf numFmtId="164" fontId="12" fillId="0" borderId="0" xfId="1" applyNumberFormat="1" applyBorder="1" applyAlignment="1">
      <alignment vertical="center"/>
    </xf>
    <xf numFmtId="164" fontId="12" fillId="0" borderId="0" xfId="1" applyNumberFormat="1" applyBorder="1" applyAlignment="1">
      <alignment horizontal="right" vertical="center"/>
    </xf>
    <xf numFmtId="164" fontId="12" fillId="0" borderId="13" xfId="1" applyBorder="1" applyAlignment="1">
      <alignment horizontal="right"/>
    </xf>
    <xf numFmtId="164" fontId="0" fillId="0" borderId="0" xfId="1" applyNumberFormat="1" applyFont="1"/>
    <xf numFmtId="3" fontId="25" fillId="0" borderId="0" xfId="7" applyFont="1" applyFill="1"/>
    <xf numFmtId="0" fontId="12" fillId="0" borderId="0" xfId="1" quotePrefix="1" applyNumberFormat="1" applyAlignment="1" applyProtection="1"/>
    <xf numFmtId="0" fontId="12" fillId="0" borderId="0" xfId="1" quotePrefix="1" applyNumberFormat="1" applyAlignment="1" applyProtection="1">
      <protection locked="0"/>
    </xf>
    <xf numFmtId="164" fontId="0" fillId="0" borderId="0" xfId="0" applyNumberFormat="1" applyAlignment="1" applyProtection="1"/>
    <xf numFmtId="3" fontId="0" fillId="0" borderId="0" xfId="0" applyNumberFormat="1" applyAlignment="1" applyProtection="1"/>
    <xf numFmtId="164" fontId="12" fillId="0" borderId="0" xfId="1" quotePrefix="1" applyNumberFormat="1" applyAlignment="1" applyProtection="1">
      <protection locked="0"/>
    </xf>
    <xf numFmtId="164" fontId="12" fillId="0" borderId="0" xfId="1" quotePrefix="1" applyNumberFormat="1" applyAlignment="1" applyProtection="1"/>
    <xf numFmtId="0" fontId="1" fillId="4" borderId="0" xfId="0" applyFont="1" applyFill="1" applyBorder="1"/>
    <xf numFmtId="164" fontId="0" fillId="0" borderId="0" xfId="1" applyNumberFormat="1" applyFont="1"/>
    <xf numFmtId="0" fontId="0" fillId="5" borderId="0" xfId="0" applyFill="1" applyAlignment="1">
      <alignment horizontal="left" vertical="top" wrapText="1"/>
    </xf>
    <xf numFmtId="0" fontId="20" fillId="5" borderId="0" xfId="10" applyFill="1" applyAlignment="1">
      <alignment horizontal="left"/>
    </xf>
    <xf numFmtId="0" fontId="20" fillId="5" borderId="0" xfId="10" applyFill="1"/>
    <xf numFmtId="164" fontId="0" fillId="0" borderId="0" xfId="1" applyNumberFormat="1" applyFont="1"/>
    <xf numFmtId="164" fontId="12" fillId="0" borderId="0" xfId="1" applyBorder="1" applyAlignment="1">
      <alignment horizontal="right" vertical="center" wrapText="1"/>
    </xf>
    <xf numFmtId="164" fontId="12" fillId="0" borderId="0" xfId="1" applyNumberFormat="1" applyAlignment="1">
      <alignment horizontal="right"/>
    </xf>
    <xf numFmtId="3" fontId="12" fillId="0" borderId="0" xfId="7" applyAlignment="1">
      <alignment horizontal="right"/>
    </xf>
    <xf numFmtId="164" fontId="12" fillId="0" borderId="0" xfId="1" applyBorder="1" applyAlignment="1">
      <alignment horizontal="right"/>
    </xf>
    <xf numFmtId="0" fontId="20" fillId="5" borderId="0" xfId="10" applyFill="1"/>
    <xf numFmtId="0" fontId="0" fillId="5" borderId="0" xfId="0" applyFill="1" applyAlignment="1">
      <alignment horizontal="left" vertical="top" wrapText="1"/>
    </xf>
    <xf numFmtId="164" fontId="12" fillId="0" borderId="0" xfId="1" applyNumberFormat="1" applyBorder="1"/>
    <xf numFmtId="0" fontId="0" fillId="0" borderId="0" xfId="0" applyBorder="1"/>
    <xf numFmtId="164" fontId="16" fillId="4" borderId="0" xfId="1" applyFont="1" applyFill="1" applyAlignment="1"/>
    <xf numFmtId="0" fontId="16" fillId="5" borderId="0" xfId="0" applyFont="1" applyFill="1" applyBorder="1"/>
    <xf numFmtId="0" fontId="20" fillId="5" borderId="0" xfId="5" applyFont="1" applyFill="1"/>
    <xf numFmtId="0" fontId="27" fillId="5" borderId="0" xfId="0" applyFont="1" applyFill="1" applyBorder="1" applyAlignment="1" applyProtection="1">
      <alignment horizontal="left"/>
    </xf>
    <xf numFmtId="0" fontId="27" fillId="2" borderId="0" xfId="0" applyFont="1" applyFill="1" applyProtection="1"/>
    <xf numFmtId="0" fontId="27" fillId="2" borderId="0" xfId="0" applyFont="1" applyFill="1" applyProtection="1"/>
    <xf numFmtId="0" fontId="0" fillId="2" borderId="0" xfId="0" applyFill="1" applyAlignment="1" applyProtection="1">
      <alignment horizontal="left" vertical="top" wrapText="1"/>
    </xf>
    <xf numFmtId="0" fontId="0" fillId="2" borderId="0" xfId="0" applyFill="1" applyAlignment="1" applyProtection="1">
      <alignment horizontal="left" wrapText="1"/>
    </xf>
    <xf numFmtId="0" fontId="0" fillId="5" borderId="0" xfId="0" applyFill="1" applyBorder="1" applyAlignment="1" applyProtection="1">
      <alignment horizontal="left" vertical="top" wrapText="1"/>
    </xf>
    <xf numFmtId="0" fontId="0" fillId="5" borderId="0" xfId="0" applyFont="1" applyFill="1" applyBorder="1" applyAlignment="1" applyProtection="1">
      <alignment horizontal="left" vertical="top" wrapText="1"/>
    </xf>
    <xf numFmtId="0" fontId="27" fillId="5" borderId="0" xfId="0" applyFont="1" applyFill="1" applyBorder="1" applyAlignment="1" applyProtection="1">
      <alignment horizontal="left" wrapText="1"/>
    </xf>
    <xf numFmtId="0" fontId="9" fillId="5" borderId="5" xfId="3" applyFill="1" applyBorder="1" applyAlignment="1" applyProtection="1">
      <alignment horizontal="left"/>
    </xf>
    <xf numFmtId="0" fontId="0" fillId="5" borderId="0" xfId="0" applyFill="1" applyBorder="1" applyAlignment="1" applyProtection="1">
      <alignment horizontal="left" vertical="top"/>
    </xf>
    <xf numFmtId="0" fontId="0" fillId="5" borderId="4" xfId="0" applyFill="1" applyBorder="1" applyAlignment="1" applyProtection="1">
      <alignment horizontal="left" vertical="top" wrapText="1"/>
    </xf>
    <xf numFmtId="0" fontId="0" fillId="5" borderId="0" xfId="0" applyFill="1" applyBorder="1" applyAlignment="1" applyProtection="1">
      <alignment vertical="top" wrapText="1"/>
    </xf>
    <xf numFmtId="0" fontId="8" fillId="5" borderId="4" xfId="2" applyFill="1" applyBorder="1" applyAlignment="1" applyProtection="1">
      <alignment horizontal="left"/>
    </xf>
    <xf numFmtId="0" fontId="12" fillId="5" borderId="0" xfId="0" applyFont="1" applyFill="1" applyBorder="1" applyAlignment="1" applyProtection="1">
      <alignment horizontal="left" wrapText="1"/>
    </xf>
    <xf numFmtId="0" fontId="26" fillId="4" borderId="0" xfId="5" applyFill="1" applyAlignment="1">
      <alignment horizontal="center"/>
    </xf>
    <xf numFmtId="0" fontId="0" fillId="5" borderId="0" xfId="0" applyFill="1" applyBorder="1" applyAlignment="1">
      <alignment horizontal="center" vertical="center" wrapText="1"/>
    </xf>
    <xf numFmtId="0" fontId="20" fillId="5" borderId="0" xfId="10" applyFill="1" applyAlignment="1">
      <alignment horizontal="left"/>
    </xf>
    <xf numFmtId="0" fontId="20" fillId="5" borderId="0" xfId="10" applyFill="1"/>
    <xf numFmtId="0" fontId="0" fillId="5" borderId="0" xfId="0" applyFill="1" applyAlignment="1">
      <alignment horizontal="left" vertical="top" wrapText="1"/>
    </xf>
    <xf numFmtId="0" fontId="15" fillId="5" borderId="0" xfId="6" applyFont="1" applyFill="1" applyBorder="1" applyAlignment="1">
      <alignment horizontal="left" wrapText="1"/>
    </xf>
    <xf numFmtId="0" fontId="15" fillId="5" borderId="0" xfId="6" applyFont="1" applyFill="1" applyBorder="1" applyAlignment="1">
      <alignment horizontal="left" vertical="top" wrapText="1"/>
    </xf>
    <xf numFmtId="0" fontId="0" fillId="5" borderId="0" xfId="0" applyFill="1" applyBorder="1" applyAlignment="1">
      <alignment horizontal="left" wrapText="1"/>
    </xf>
    <xf numFmtId="0" fontId="15" fillId="5" borderId="0" xfId="6" applyFill="1" applyBorder="1" applyAlignment="1">
      <alignment horizontal="left" vertical="center" wrapText="1"/>
    </xf>
    <xf numFmtId="0" fontId="17" fillId="5" borderId="0" xfId="0" applyFont="1" applyFill="1" applyBorder="1" applyAlignment="1">
      <alignment horizontal="center" vertical="center" wrapText="1"/>
    </xf>
    <xf numFmtId="0" fontId="18" fillId="5" borderId="0" xfId="0" applyFont="1" applyFill="1" applyBorder="1" applyAlignment="1">
      <alignment horizontal="center"/>
    </xf>
    <xf numFmtId="0" fontId="26" fillId="4" borderId="0" xfId="5" applyFill="1" applyBorder="1" applyAlignment="1">
      <alignment horizontal="center"/>
    </xf>
    <xf numFmtId="0" fontId="18" fillId="5" borderId="0" xfId="0" applyFont="1" applyFill="1" applyBorder="1" applyAlignment="1">
      <alignment horizontal="center" wrapText="1"/>
    </xf>
    <xf numFmtId="0" fontId="16" fillId="4" borderId="0" xfId="0" applyFont="1" applyFill="1" applyAlignment="1">
      <alignment horizontal="left" wrapText="1"/>
    </xf>
    <xf numFmtId="0" fontId="17" fillId="5" borderId="4" xfId="0" applyFont="1" applyFill="1" applyBorder="1" applyAlignment="1">
      <alignment horizontal="center" vertical="center" wrapText="1"/>
    </xf>
    <xf numFmtId="0" fontId="0" fillId="5" borderId="0" xfId="0" applyFill="1" applyBorder="1" applyAlignment="1">
      <alignment horizontal="center" wrapText="1"/>
    </xf>
    <xf numFmtId="0" fontId="12" fillId="5" borderId="0" xfId="0" applyFont="1" applyFill="1" applyBorder="1" applyAlignment="1">
      <alignment horizontal="left" vertical="top" wrapText="1"/>
    </xf>
    <xf numFmtId="0" fontId="0" fillId="5" borderId="0" xfId="0" applyFill="1" applyBorder="1" applyAlignment="1">
      <alignment horizontal="left"/>
    </xf>
    <xf numFmtId="0" fontId="0" fillId="5" borderId="0" xfId="0" applyFont="1" applyFill="1" applyBorder="1" applyAlignment="1">
      <alignment horizontal="left" wrapText="1"/>
    </xf>
    <xf numFmtId="0" fontId="0" fillId="5" borderId="0" xfId="0" applyFont="1" applyFill="1" applyBorder="1" applyAlignment="1">
      <alignment horizontal="left"/>
    </xf>
    <xf numFmtId="0" fontId="12" fillId="4" borderId="0" xfId="0" applyFont="1" applyFill="1" applyBorder="1" applyAlignment="1">
      <alignment horizontal="left" vertical="top" wrapText="1"/>
    </xf>
    <xf numFmtId="0" fontId="0" fillId="4" borderId="0" xfId="0" applyFill="1" applyBorder="1" applyAlignment="1">
      <alignment horizontal="center" wrapText="1"/>
    </xf>
    <xf numFmtId="0" fontId="18" fillId="5" borderId="0" xfId="0" applyFont="1" applyFill="1" applyAlignment="1">
      <alignment horizontal="center"/>
    </xf>
    <xf numFmtId="0" fontId="0" fillId="5" borderId="0" xfId="0" applyFont="1" applyFill="1" applyAlignment="1">
      <alignment horizontal="left" wrapText="1"/>
    </xf>
    <xf numFmtId="0" fontId="0" fillId="5" borderId="0" xfId="0" applyFont="1" applyFill="1" applyAlignment="1">
      <alignment horizontal="left"/>
    </xf>
    <xf numFmtId="0" fontId="26" fillId="4" borderId="0" xfId="5" applyFill="1" applyAlignment="1" applyProtection="1">
      <alignment horizontal="center"/>
      <protection locked="0"/>
    </xf>
    <xf numFmtId="0" fontId="17" fillId="5" borderId="0" xfId="0" applyFont="1" applyFill="1" applyBorder="1" applyAlignment="1">
      <alignment horizontal="left"/>
    </xf>
    <xf numFmtId="0" fontId="12" fillId="5" borderId="0" xfId="0" applyFont="1" applyFill="1" applyBorder="1" applyAlignment="1">
      <alignment horizontal="center" wrapText="1"/>
    </xf>
    <xf numFmtId="0" fontId="12" fillId="5" borderId="0" xfId="0" applyFont="1" applyFill="1" applyBorder="1" applyAlignment="1">
      <alignment horizontal="center" vertical="center" wrapText="1"/>
    </xf>
    <xf numFmtId="0" fontId="12" fillId="5" borderId="0" xfId="0" applyFont="1" applyFill="1" applyAlignment="1">
      <alignment horizontal="center"/>
    </xf>
    <xf numFmtId="0" fontId="12" fillId="5" borderId="0" xfId="0" applyFont="1" applyFill="1" applyAlignment="1">
      <alignment horizontal="center" wrapText="1"/>
    </xf>
    <xf numFmtId="0" fontId="17" fillId="5" borderId="0" xfId="0" applyFont="1" applyFill="1" applyBorder="1" applyAlignment="1">
      <alignment horizontal="left" wrapText="1"/>
    </xf>
    <xf numFmtId="0" fontId="11" fillId="2" borderId="0" xfId="0" applyFont="1" applyFill="1" applyBorder="1" applyAlignment="1">
      <alignment horizontal="center"/>
    </xf>
    <xf numFmtId="0" fontId="0" fillId="2" borderId="0" xfId="0" applyFill="1" applyBorder="1" applyAlignment="1">
      <alignment horizontal="left"/>
    </xf>
    <xf numFmtId="0" fontId="0" fillId="0" borderId="0" xfId="0" applyAlignment="1">
      <alignment horizontal="center"/>
    </xf>
    <xf numFmtId="164" fontId="0" fillId="0" borderId="0" xfId="1" applyNumberFormat="1" applyFont="1" applyAlignment="1">
      <alignment horizontal="center"/>
    </xf>
    <xf numFmtId="164" fontId="0" fillId="0" borderId="0" xfId="1" applyNumberFormat="1" applyFont="1"/>
  </cellXfs>
  <cellStyles count="12">
    <cellStyle name="20% - Accent1" xfId="4" builtinId="30" customBuiltin="1"/>
    <cellStyle name="Explanatory Text" xfId="6" builtinId="53" customBuiltin="1"/>
    <cellStyle name="Heading 1" xfId="2" builtinId="16"/>
    <cellStyle name="Heading 2" xfId="3" builtinId="17"/>
    <cellStyle name="Hyperlink" xfId="5" builtinId="8" customBuiltin="1"/>
    <cellStyle name="Hyperlink 2" xfId="10"/>
    <cellStyle name="Normal" xfId="0" builtinId="0" customBuiltin="1"/>
    <cellStyle name="Normal 2" xfId="11"/>
    <cellStyle name="Numbers" xfId="7"/>
    <cellStyle name="Percent" xfId="1" builtinId="5" customBuiltin="1"/>
    <cellStyle name="style1505405916090" xfId="8"/>
    <cellStyle name="style1519746546028" xfId="9"/>
  </cellStyles>
  <dxfs count="2899">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numFmt numFmtId="3" formatCode="#,##0"/>
    </dxf>
    <dxf>
      <numFmt numFmtId="3" formatCode="#,##0"/>
    </dxf>
    <dxf>
      <numFmt numFmtId="3" formatCode="#,##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numFmt numFmtId="3" formatCode="#,##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3" formatCode="#,##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ill>
        <patternFill patternType="none">
          <fgColor indexed="64"/>
          <bgColor indexed="65"/>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strike val="0"/>
        <outline val="0"/>
        <shadow val="0"/>
        <u val="none"/>
        <vertAlign val="baseline"/>
        <sz val="11"/>
        <color theme="3"/>
        <name val="Verdana"/>
        <scheme val="minor"/>
      </font>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3"/>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protection locked="0" hidden="0"/>
    </dxf>
    <dxf>
      <numFmt numFmtId="0" formatCode="General"/>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3" formatCode="#,##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0" hidden="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2898"/>
      <tableStyleElement type="headerRow" dxfId="2897"/>
      <tableStyleElement type="firstRowStripe" dxfId="2896"/>
    </tableStyle>
    <tableStyle name="TableStyleQueryResult" pivot="0" count="3">
      <tableStyleElement type="wholeTable" dxfId="2895"/>
      <tableStyleElement type="headerRow" dxfId="2894"/>
      <tableStyleElement type="firstRowStripe" dxfId="289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Targets!$H$104</c:f>
              <c:strCache>
                <c:ptCount val="1"/>
                <c:pt idx="0">
                  <c:v>Moving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Targets!$C$105:$C$115</c:f>
              <c:strCache>
                <c:ptCount val="11"/>
                <c:pt idx="0">
                  <c:v>Nov 15-16</c:v>
                </c:pt>
                <c:pt idx="1">
                  <c:v>May 16-17</c:v>
                </c:pt>
                <c:pt idx="2">
                  <c:v>Nov 16-17</c:v>
                </c:pt>
                <c:pt idx="3">
                  <c:v>May 17-18</c:v>
                </c:pt>
                <c:pt idx="4">
                  <c:v>CYP 2017-18</c:v>
                </c:pt>
                <c:pt idx="5">
                  <c:v>Nov 17-18</c:v>
                </c:pt>
                <c:pt idx="6">
                  <c:v>May 18-19</c:v>
                </c:pt>
                <c:pt idx="7">
                  <c:v>CYP 2018-19</c:v>
                </c:pt>
                <c:pt idx="8">
                  <c:v>Nov 18-19</c:v>
                </c:pt>
                <c:pt idx="9">
                  <c:v>May 19-20</c:v>
                </c:pt>
                <c:pt idx="10">
                  <c:v>CYP 2019-20</c:v>
                </c:pt>
              </c:strCache>
            </c:strRef>
          </c:cat>
          <c:val>
            <c:numRef>
              <c:f>Targets!$H$105:$H$114</c:f>
              <c:numCache>
                <c:formatCode>0.0%</c:formatCode>
                <c:ptCount val="10"/>
                <c:pt idx="0">
                  <c:v>0.68242536164973833</c:v>
                </c:pt>
                <c:pt idx="1">
                  <c:v>0.68841321269843614</c:v>
                </c:pt>
                <c:pt idx="2">
                  <c:v>0.68730488881664265</c:v>
                </c:pt>
                <c:pt idx="3">
                  <c:v>0.6930460176302693</c:v>
                </c:pt>
                <c:pt idx="4">
                  <c:v>0.69372306048322874</c:v>
                </c:pt>
                <c:pt idx="5">
                  <c:v>0.69680553200889805</c:v>
                </c:pt>
                <c:pt idx="6">
                  <c:v>0.69513996160477731</c:v>
                </c:pt>
                <c:pt idx="7">
                  <c:v>0.70221775826478694</c:v>
                </c:pt>
                <c:pt idx="8">
                  <c:v>0.70619445845005013</c:v>
                </c:pt>
                <c:pt idx="9">
                  <c:v>0.68971346294587454</c:v>
                </c:pt>
              </c:numCache>
            </c:numRef>
          </c:val>
        </c:ser>
        <c:dLbls>
          <c:showLegendKey val="0"/>
          <c:showVal val="0"/>
          <c:showCatName val="0"/>
          <c:showSerName val="0"/>
          <c:showPercent val="0"/>
          <c:showBubbleSize val="0"/>
        </c:dLbls>
        <c:gapWidth val="30"/>
        <c:axId val="566421296"/>
        <c:axId val="566422080"/>
      </c:barChart>
      <c:lineChart>
        <c:grouping val="standard"/>
        <c:varyColors val="0"/>
        <c:ser>
          <c:idx val="1"/>
          <c:order val="1"/>
          <c:tx>
            <c:strRef>
              <c:f>Targets!$I$104</c:f>
              <c:strCache>
                <c:ptCount val="1"/>
                <c:pt idx="0">
                  <c:v>Target</c:v>
                </c:pt>
              </c:strCache>
            </c:strRef>
          </c:tx>
          <c:spPr>
            <a:ln w="28575" cap="rnd">
              <a:solidFill>
                <a:schemeClr val="accent2"/>
              </a:solidFill>
              <a:prstDash val="sysDot"/>
              <a:round/>
            </a:ln>
            <a:effectLst/>
          </c:spPr>
          <c:marker>
            <c:symbol val="none"/>
          </c:marker>
          <c:val>
            <c:numRef>
              <c:f>Targets!$I$105:$I$115</c:f>
              <c:numCache>
                <c:formatCode>0.0%</c:formatCode>
                <c:ptCount val="11"/>
                <c:pt idx="0">
                  <c:v>0.68200000000000005</c:v>
                </c:pt>
                <c:pt idx="1">
                  <c:v>0.68899999999999995</c:v>
                </c:pt>
                <c:pt idx="2">
                  <c:v>0.68899999999999995</c:v>
                </c:pt>
                <c:pt idx="3">
                  <c:v>0.69599999999999995</c:v>
                </c:pt>
                <c:pt idx="4">
                  <c:v>0.69599999999999995</c:v>
                </c:pt>
                <c:pt idx="5">
                  <c:v>0.69599999999999995</c:v>
                </c:pt>
                <c:pt idx="6">
                  <c:v>0.70299999999999996</c:v>
                </c:pt>
                <c:pt idx="7">
                  <c:v>0.70299999999999996</c:v>
                </c:pt>
                <c:pt idx="8">
                  <c:v>0.70299999999999996</c:v>
                </c:pt>
                <c:pt idx="9">
                  <c:v>0.71</c:v>
                </c:pt>
                <c:pt idx="10">
                  <c:v>0.71</c:v>
                </c:pt>
              </c:numCache>
            </c:numRef>
          </c:val>
          <c:smooth val="0"/>
        </c:ser>
        <c:dLbls>
          <c:showLegendKey val="0"/>
          <c:showVal val="0"/>
          <c:showCatName val="0"/>
          <c:showSerName val="0"/>
          <c:showPercent val="0"/>
          <c:showBubbleSize val="0"/>
        </c:dLbls>
        <c:marker val="1"/>
        <c:smooth val="0"/>
        <c:axId val="566421296"/>
        <c:axId val="566422080"/>
      </c:lineChart>
      <c:catAx>
        <c:axId val="56642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422080"/>
        <c:crosses val="autoZero"/>
        <c:auto val="1"/>
        <c:lblAlgn val="ctr"/>
        <c:lblOffset val="100"/>
        <c:noMultiLvlLbl val="0"/>
      </c:catAx>
      <c:valAx>
        <c:axId val="566422080"/>
        <c:scaling>
          <c:orientation val="minMax"/>
        </c:scaling>
        <c:delete val="1"/>
        <c:axPos val="l"/>
        <c:numFmt formatCode="0.0%" sourceLinked="1"/>
        <c:majorTickMark val="none"/>
        <c:minorTickMark val="none"/>
        <c:tickLblPos val="nextTo"/>
        <c:crossAx val="566421296"/>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c:spPr>
          </c:dPt>
          <c:dPt>
            <c:idx val="1"/>
            <c:bubble3D val="0"/>
            <c:spPr>
              <a:solidFill>
                <a:schemeClr val="accent2"/>
              </a:solidFill>
              <a:ln>
                <a:noFill/>
              </a:ln>
              <a:effectLst/>
            </c:spPr>
          </c:dPt>
          <c:dLbls>
            <c:dLbl>
              <c:idx val="0"/>
              <c:layout>
                <c:manualLayout>
                  <c:x val="-1.8982536066818528E-2"/>
                  <c:y val="-0.30825985238225456"/>
                </c:manualLayout>
              </c:layout>
              <c:tx>
                <c:rich>
                  <a:bodyPr/>
                  <a:lstStyle/>
                  <a:p>
                    <a:fld id="{EC2C1A65-DBE9-4126-9AEC-31DF276D4086}" type="CELLRANGE">
                      <a:rPr lang="en-US" sz="1400"/>
                      <a:pPr/>
                      <a:t>[CELLRANGE]</a:t>
                    </a:fld>
                    <a:endParaRPr lang="en-US" sz="1400"/>
                  </a:p>
                  <a:p>
                    <a:r>
                      <a:rPr lang="en-US" sz="1400"/>
                      <a:t>Moving</a:t>
                    </a:r>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Lst>
            </c:dLbl>
            <c:dLbl>
              <c:idx val="1"/>
              <c:delete val="1"/>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DataLabelsRange val="1"/>
              </c:ext>
            </c:extLst>
          </c:dLbls>
          <c:cat>
            <c:numRef>
              <c:f>Targets!$F$114</c:f>
              <c:numCache>
                <c:formatCode>#,##0</c:formatCode>
                <c:ptCount val="1"/>
                <c:pt idx="0">
                  <c:v>1907455</c:v>
                </c:pt>
              </c:numCache>
            </c:numRef>
          </c:cat>
          <c:val>
            <c:numRef>
              <c:f>Targets!$K$114:$L$114</c:f>
              <c:numCache>
                <c:formatCode>0.0%</c:formatCode>
                <c:ptCount val="2"/>
                <c:pt idx="0">
                  <c:v>0.95372749999999995</c:v>
                </c:pt>
                <c:pt idx="1">
                  <c:v>4.627250000000005E-2</c:v>
                </c:pt>
              </c:numCache>
            </c:numRef>
          </c:val>
          <c:extLst>
            <c:ext xmlns:c15="http://schemas.microsoft.com/office/drawing/2012/chart" uri="{02D57815-91ED-43cb-92C2-25804820EDAC}">
              <c15:datalabelsRange>
                <c15:f>Targets!$F$114</c15:f>
                <c15:dlblRangeCache>
                  <c:ptCount val="1"/>
                  <c:pt idx="0">
                    <c:v>1,907,455</c:v>
                  </c:pt>
                </c15:dlblRangeCache>
              </c15:datalabelsRange>
            </c:ext>
          </c:extLst>
        </c:ser>
        <c:dLbls>
          <c:showLegendKey val="0"/>
          <c:showVal val="1"/>
          <c:showCatName val="0"/>
          <c:showSerName val="0"/>
          <c:showPercent val="0"/>
          <c:showBubbleSize val="0"/>
          <c:showLeaderLines val="0"/>
        </c:dLbls>
        <c:firstSliceAng val="0"/>
        <c:holeSize val="70"/>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Targets!$F$104</c:f>
              <c:strCache>
                <c:ptCount val="1"/>
                <c:pt idx="0">
                  <c:v>Population Moving</c:v>
                </c:pt>
              </c:strCache>
            </c:strRef>
          </c:tx>
          <c:spPr>
            <a:solidFill>
              <a:schemeClr val="accent1"/>
            </a:solidFill>
            <a:ln>
              <a:noFill/>
            </a:ln>
            <a:effectLst/>
          </c:spPr>
          <c:invertIfNegative val="0"/>
          <c:dLbls>
            <c:dLbl>
              <c:idx val="8"/>
              <c:tx>
                <c:rich>
                  <a:bodyPr rot="-5400000" spcFirstLastPara="1" vertOverflow="clip" horzOverflow="clip" vert="horz" wrap="none" lIns="38100" tIns="18000" rIns="38100" bIns="18000" anchor="ctr" anchorCtr="1">
                    <a:spAutoFit/>
                  </a:bodyPr>
                  <a:lstStyle/>
                  <a:p>
                    <a:pPr>
                      <a:defRPr sz="900" b="1" i="0" u="none" strike="noStrike" kern="1200" baseline="0">
                        <a:solidFill>
                          <a:schemeClr val="bg2"/>
                        </a:solidFill>
                        <a:latin typeface="+mn-lt"/>
                        <a:ea typeface="+mn-ea"/>
                        <a:cs typeface="+mn-cs"/>
                      </a:defRPr>
                    </a:pPr>
                    <a:fld id="{5AC7161B-6AD1-4964-9572-45C142F8356B}" type="VALUE">
                      <a:rPr lang="en-US" sz="900" b="1">
                        <a:solidFill>
                          <a:schemeClr val="bg2"/>
                        </a:solidFill>
                      </a:rPr>
                      <a:pPr>
                        <a:defRPr b="1">
                          <a:solidFill>
                            <a:schemeClr val="bg2"/>
                          </a:solidFill>
                        </a:defRPr>
                      </a:pPr>
                      <a:t>[VALUE]</a:t>
                    </a:fld>
                    <a:endParaRPr lang="en-GB"/>
                  </a:p>
                </c:rich>
              </c:tx>
              <c:spPr>
                <a:noFill/>
                <a:ln>
                  <a:noFill/>
                </a:ln>
                <a:effectLst/>
              </c:spPr>
              <c:txPr>
                <a:bodyPr rot="-5400000" spcFirstLastPara="1" vertOverflow="clip" horzOverflow="clip" vert="horz" wrap="none" lIns="38100" tIns="18000" rIns="38100" bIns="1800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dLbl>
              <c:idx val="9"/>
              <c:layout>
                <c:manualLayout>
                  <c:x val="1.651391297167864E-3"/>
                  <c:y val="-4.9621648184572506E-3"/>
                </c:manualLayout>
              </c:layout>
              <c:spPr>
                <a:noFill/>
                <a:ln>
                  <a:noFill/>
                </a:ln>
                <a:effectLst/>
              </c:spPr>
              <c:txPr>
                <a:bodyPr rot="0" spcFirstLastPara="1" vertOverflow="clip" horzOverflow="clip" vert="horz" wrap="square" lIns="38100" tIns="18000" rIns="38100" bIns="1800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spPr>
              <a:noFill/>
              <a:ln>
                <a:noFill/>
              </a:ln>
              <a:effectLst/>
            </c:spPr>
            <c:txPr>
              <a:bodyPr rot="-5400000" spcFirstLastPara="1" vertOverflow="clip" horzOverflow="clip" vert="horz" wrap="square" lIns="38100" tIns="18000" rIns="38100" bIns="1800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Targets!$C$105:$C$115</c:f>
              <c:strCache>
                <c:ptCount val="11"/>
                <c:pt idx="0">
                  <c:v>Nov 15-16</c:v>
                </c:pt>
                <c:pt idx="1">
                  <c:v>May 16-17</c:v>
                </c:pt>
                <c:pt idx="2">
                  <c:v>Nov 16-17</c:v>
                </c:pt>
                <c:pt idx="3">
                  <c:v>May 17-18</c:v>
                </c:pt>
                <c:pt idx="4">
                  <c:v>CYP 2017-18</c:v>
                </c:pt>
                <c:pt idx="5">
                  <c:v>Nov 17-18</c:v>
                </c:pt>
                <c:pt idx="6">
                  <c:v>May 18-19</c:v>
                </c:pt>
                <c:pt idx="7">
                  <c:v>CYP 2018-19</c:v>
                </c:pt>
                <c:pt idx="8">
                  <c:v>Nov 18-19</c:v>
                </c:pt>
                <c:pt idx="9">
                  <c:v>May 19-20</c:v>
                </c:pt>
                <c:pt idx="10">
                  <c:v>CYP 2019-20</c:v>
                </c:pt>
              </c:strCache>
            </c:strRef>
          </c:cat>
          <c:val>
            <c:numRef>
              <c:f>Targets!$F$105:$F$114</c:f>
              <c:numCache>
                <c:formatCode>#,##0</c:formatCode>
                <c:ptCount val="10"/>
                <c:pt idx="0">
                  <c:v>1829190</c:v>
                </c:pt>
                <c:pt idx="1">
                  <c:v>1863390</c:v>
                </c:pt>
                <c:pt idx="2">
                  <c:v>1860390</c:v>
                </c:pt>
                <c:pt idx="3">
                  <c:v>1888610</c:v>
                </c:pt>
                <c:pt idx="4">
                  <c:v>1890455</c:v>
                </c:pt>
                <c:pt idx="5">
                  <c:v>1898855</c:v>
                </c:pt>
                <c:pt idx="6">
                  <c:v>1905355</c:v>
                </c:pt>
                <c:pt idx="7">
                  <c:v>1924755</c:v>
                </c:pt>
                <c:pt idx="8">
                  <c:v>1935655</c:v>
                </c:pt>
                <c:pt idx="9">
                  <c:v>1907455</c:v>
                </c:pt>
              </c:numCache>
            </c:numRef>
          </c:val>
        </c:ser>
        <c:dLbls>
          <c:showLegendKey val="0"/>
          <c:showVal val="0"/>
          <c:showCatName val="0"/>
          <c:showSerName val="0"/>
          <c:showPercent val="0"/>
          <c:showBubbleSize val="0"/>
        </c:dLbls>
        <c:gapWidth val="30"/>
        <c:axId val="572291832"/>
        <c:axId val="572289088"/>
      </c:barChart>
      <c:lineChart>
        <c:grouping val="standard"/>
        <c:varyColors val="0"/>
        <c:ser>
          <c:idx val="1"/>
          <c:order val="1"/>
          <c:tx>
            <c:strRef>
              <c:f>Targets!$J$104</c:f>
              <c:strCache>
                <c:ptCount val="1"/>
                <c:pt idx="0">
                  <c:v>2 million target </c:v>
                </c:pt>
              </c:strCache>
            </c:strRef>
          </c:tx>
          <c:spPr>
            <a:ln w="28575" cap="rnd">
              <a:solidFill>
                <a:schemeClr val="accent2"/>
              </a:solidFill>
              <a:prstDash val="sysDot"/>
              <a:round/>
            </a:ln>
            <a:effectLst/>
          </c:spPr>
          <c:marker>
            <c:symbol val="none"/>
          </c:marker>
          <c:cat>
            <c:strRef>
              <c:f>Targets!$C$105:$C$115</c:f>
              <c:strCache>
                <c:ptCount val="11"/>
                <c:pt idx="0">
                  <c:v>Nov 15-16</c:v>
                </c:pt>
                <c:pt idx="1">
                  <c:v>May 16-17</c:v>
                </c:pt>
                <c:pt idx="2">
                  <c:v>Nov 16-17</c:v>
                </c:pt>
                <c:pt idx="3">
                  <c:v>May 17-18</c:v>
                </c:pt>
                <c:pt idx="4">
                  <c:v>CYP 2017-18</c:v>
                </c:pt>
                <c:pt idx="5">
                  <c:v>Nov 17-18</c:v>
                </c:pt>
                <c:pt idx="6">
                  <c:v>May 18-19</c:v>
                </c:pt>
                <c:pt idx="7">
                  <c:v>CYP 2018-19</c:v>
                </c:pt>
                <c:pt idx="8">
                  <c:v>Nov 18-19</c:v>
                </c:pt>
                <c:pt idx="9">
                  <c:v>May 19-20</c:v>
                </c:pt>
                <c:pt idx="10">
                  <c:v>CYP 2019-20</c:v>
                </c:pt>
              </c:strCache>
            </c:strRef>
          </c:cat>
          <c:val>
            <c:numRef>
              <c:f>Targets!$J$105:$J$115</c:f>
              <c:numCache>
                <c:formatCode>#,##0</c:formatCode>
                <c:ptCount val="11"/>
                <c:pt idx="0">
                  <c:v>1829190</c:v>
                </c:pt>
                <c:pt idx="1">
                  <c:v>1859290</c:v>
                </c:pt>
                <c:pt idx="2">
                  <c:v>1859290</c:v>
                </c:pt>
                <c:pt idx="3">
                  <c:v>1887432</c:v>
                </c:pt>
                <c:pt idx="4">
                  <c:v>1887432</c:v>
                </c:pt>
                <c:pt idx="5">
                  <c:v>1887432</c:v>
                </c:pt>
                <c:pt idx="6">
                  <c:v>1915574</c:v>
                </c:pt>
                <c:pt idx="7">
                  <c:v>1915574</c:v>
                </c:pt>
                <c:pt idx="8">
                  <c:v>1915574</c:v>
                </c:pt>
                <c:pt idx="9">
                  <c:v>1943716</c:v>
                </c:pt>
                <c:pt idx="10">
                  <c:v>1943716</c:v>
                </c:pt>
              </c:numCache>
            </c:numRef>
          </c:val>
          <c:smooth val="0"/>
        </c:ser>
        <c:dLbls>
          <c:showLegendKey val="0"/>
          <c:showVal val="0"/>
          <c:showCatName val="0"/>
          <c:showSerName val="0"/>
          <c:showPercent val="0"/>
          <c:showBubbleSize val="0"/>
        </c:dLbls>
        <c:marker val="1"/>
        <c:smooth val="0"/>
        <c:axId val="572291832"/>
        <c:axId val="572289088"/>
      </c:lineChart>
      <c:catAx>
        <c:axId val="572291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289088"/>
        <c:crosses val="autoZero"/>
        <c:auto val="1"/>
        <c:lblAlgn val="ctr"/>
        <c:lblOffset val="100"/>
        <c:noMultiLvlLbl val="0"/>
      </c:catAx>
      <c:valAx>
        <c:axId val="572289088"/>
        <c:scaling>
          <c:orientation val="minMax"/>
        </c:scaling>
        <c:delete val="1"/>
        <c:axPos val="l"/>
        <c:numFmt formatCode="#,##0" sourceLinked="1"/>
        <c:majorTickMark val="none"/>
        <c:minorTickMark val="none"/>
        <c:tickLblPos val="nextTo"/>
        <c:crossAx val="572291832"/>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Targets!$E$117</c:f>
              <c:strCache>
                <c:ptCount val="1"/>
                <c:pt idx="0">
                  <c:v>Target</c:v>
                </c:pt>
              </c:strCache>
            </c:strRef>
          </c:tx>
          <c:spPr>
            <a:ln w="22225" cap="rnd">
              <a:solidFill>
                <a:schemeClr val="accent2"/>
              </a:solidFill>
              <a:prstDash val="sysDot"/>
              <a:round/>
            </a:ln>
            <a:effectLst/>
          </c:spPr>
          <c:marker>
            <c:symbol val="square"/>
            <c:size val="12"/>
            <c:spPr>
              <a:solidFill>
                <a:schemeClr val="accent2"/>
              </a:solidFill>
              <a:ln w="9525">
                <a:solidFill>
                  <a:schemeClr val="accent2"/>
                </a:solidFill>
              </a:ln>
              <a:effectLst/>
            </c:spPr>
          </c:marker>
          <c:dLbls>
            <c:dLbl>
              <c:idx val="4"/>
              <c:delete val="1"/>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Targets!$C$118:$C$137</c:f>
              <c:strCache>
                <c:ptCount val="20"/>
                <c:pt idx="0">
                  <c:v>Nov 15-16</c:v>
                </c:pt>
                <c:pt idx="1">
                  <c:v>May 16-17</c:v>
                </c:pt>
                <c:pt idx="2">
                  <c:v>Nov 16-17</c:v>
                </c:pt>
                <c:pt idx="3">
                  <c:v>May 17-18</c:v>
                </c:pt>
                <c:pt idx="4">
                  <c:v>Nov 17-18</c:v>
                </c:pt>
                <c:pt idx="5">
                  <c:v>May 18-19</c:v>
                </c:pt>
                <c:pt idx="6">
                  <c:v>Nov 18-19</c:v>
                </c:pt>
                <c:pt idx="7">
                  <c:v>May 19-20</c:v>
                </c:pt>
                <c:pt idx="8">
                  <c:v>Nov 19-20</c:v>
                </c:pt>
                <c:pt idx="9">
                  <c:v>May 20-21</c:v>
                </c:pt>
                <c:pt idx="10">
                  <c:v>Nov 20-21</c:v>
                </c:pt>
                <c:pt idx="11">
                  <c:v>May 21-22</c:v>
                </c:pt>
                <c:pt idx="12">
                  <c:v>Nov 21-22</c:v>
                </c:pt>
                <c:pt idx="13">
                  <c:v>May 22-23</c:v>
                </c:pt>
                <c:pt idx="14">
                  <c:v>Nov 22-23</c:v>
                </c:pt>
                <c:pt idx="15">
                  <c:v>May 23-24</c:v>
                </c:pt>
                <c:pt idx="16">
                  <c:v>Nov 23-24</c:v>
                </c:pt>
                <c:pt idx="17">
                  <c:v>May 24-25</c:v>
                </c:pt>
                <c:pt idx="18">
                  <c:v>Nov 24-25</c:v>
                </c:pt>
                <c:pt idx="19">
                  <c:v>May 25-26</c:v>
                </c:pt>
              </c:strCache>
            </c:strRef>
          </c:cat>
          <c:val>
            <c:numRef>
              <c:f>Targets!$E$118:$E$137</c:f>
              <c:numCache>
                <c:formatCode>General</c:formatCode>
                <c:ptCount val="20"/>
                <c:pt idx="0">
                  <c:v>39</c:v>
                </c:pt>
                <c:pt idx="1">
                  <c:v>37</c:v>
                </c:pt>
                <c:pt idx="2">
                  <c:v>35</c:v>
                </c:pt>
                <c:pt idx="3">
                  <c:v>33</c:v>
                </c:pt>
                <c:pt idx="4">
                  <c:v>31</c:v>
                </c:pt>
                <c:pt idx="5">
                  <c:v>29</c:v>
                </c:pt>
                <c:pt idx="6">
                  <c:v>27</c:v>
                </c:pt>
                <c:pt idx="7">
                  <c:v>25</c:v>
                </c:pt>
                <c:pt idx="8">
                  <c:v>23</c:v>
                </c:pt>
                <c:pt idx="9">
                  <c:v>21</c:v>
                </c:pt>
                <c:pt idx="10">
                  <c:v>19</c:v>
                </c:pt>
                <c:pt idx="11">
                  <c:v>17</c:v>
                </c:pt>
                <c:pt idx="12">
                  <c:v>15</c:v>
                </c:pt>
                <c:pt idx="13">
                  <c:v>13</c:v>
                </c:pt>
                <c:pt idx="14">
                  <c:v>11</c:v>
                </c:pt>
                <c:pt idx="15">
                  <c:v>9</c:v>
                </c:pt>
                <c:pt idx="16">
                  <c:v>7</c:v>
                </c:pt>
                <c:pt idx="17">
                  <c:v>5</c:v>
                </c:pt>
                <c:pt idx="18">
                  <c:v>3</c:v>
                </c:pt>
                <c:pt idx="19">
                  <c:v>1</c:v>
                </c:pt>
              </c:numCache>
            </c:numRef>
          </c:val>
          <c:smooth val="0"/>
        </c:ser>
        <c:ser>
          <c:idx val="0"/>
          <c:order val="1"/>
          <c:tx>
            <c:strRef>
              <c:f>Targets!$D$117</c:f>
              <c:strCache>
                <c:ptCount val="1"/>
                <c:pt idx="0">
                  <c:v>Ranking</c:v>
                </c:pt>
              </c:strCache>
            </c:strRef>
          </c:tx>
          <c:spPr>
            <a:ln w="19050" cap="rnd">
              <a:solidFill>
                <a:schemeClr val="accent1"/>
              </a:solidFill>
              <a:round/>
            </a:ln>
            <a:effectLst/>
          </c:spPr>
          <c:marker>
            <c:symbol val="square"/>
            <c:size val="12"/>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Targets!$C$118:$C$137</c:f>
              <c:strCache>
                <c:ptCount val="20"/>
                <c:pt idx="0">
                  <c:v>Nov 15-16</c:v>
                </c:pt>
                <c:pt idx="1">
                  <c:v>May 16-17</c:v>
                </c:pt>
                <c:pt idx="2">
                  <c:v>Nov 16-17</c:v>
                </c:pt>
                <c:pt idx="3">
                  <c:v>May 17-18</c:v>
                </c:pt>
                <c:pt idx="4">
                  <c:v>Nov 17-18</c:v>
                </c:pt>
                <c:pt idx="5">
                  <c:v>May 18-19</c:v>
                </c:pt>
                <c:pt idx="6">
                  <c:v>Nov 18-19</c:v>
                </c:pt>
                <c:pt idx="7">
                  <c:v>May 19-20</c:v>
                </c:pt>
                <c:pt idx="8">
                  <c:v>Nov 19-20</c:v>
                </c:pt>
                <c:pt idx="9">
                  <c:v>May 20-21</c:v>
                </c:pt>
                <c:pt idx="10">
                  <c:v>Nov 20-21</c:v>
                </c:pt>
                <c:pt idx="11">
                  <c:v>May 21-22</c:v>
                </c:pt>
                <c:pt idx="12">
                  <c:v>Nov 21-22</c:v>
                </c:pt>
                <c:pt idx="13">
                  <c:v>May 22-23</c:v>
                </c:pt>
                <c:pt idx="14">
                  <c:v>Nov 22-23</c:v>
                </c:pt>
                <c:pt idx="15">
                  <c:v>May 23-24</c:v>
                </c:pt>
                <c:pt idx="16">
                  <c:v>Nov 23-24</c:v>
                </c:pt>
                <c:pt idx="17">
                  <c:v>May 24-25</c:v>
                </c:pt>
                <c:pt idx="18">
                  <c:v>Nov 24-25</c:v>
                </c:pt>
                <c:pt idx="19">
                  <c:v>May 25-26</c:v>
                </c:pt>
              </c:strCache>
            </c:strRef>
          </c:cat>
          <c:val>
            <c:numRef>
              <c:f>Targets!$D$118:$D$125</c:f>
              <c:numCache>
                <c:formatCode>General</c:formatCode>
                <c:ptCount val="8"/>
                <c:pt idx="0">
                  <c:v>39</c:v>
                </c:pt>
                <c:pt idx="1">
                  <c:v>35</c:v>
                </c:pt>
                <c:pt idx="2">
                  <c:v>33</c:v>
                </c:pt>
                <c:pt idx="3">
                  <c:v>30</c:v>
                </c:pt>
                <c:pt idx="4">
                  <c:v>30</c:v>
                </c:pt>
                <c:pt idx="5">
                  <c:v>33</c:v>
                </c:pt>
                <c:pt idx="6">
                  <c:v>33</c:v>
                </c:pt>
                <c:pt idx="7">
                  <c:v>34</c:v>
                </c:pt>
              </c:numCache>
            </c:numRef>
          </c:val>
          <c:smooth val="0"/>
        </c:ser>
        <c:dLbls>
          <c:dLblPos val="ctr"/>
          <c:showLegendKey val="0"/>
          <c:showVal val="1"/>
          <c:showCatName val="0"/>
          <c:showSerName val="0"/>
          <c:showPercent val="0"/>
          <c:showBubbleSize val="0"/>
        </c:dLbls>
        <c:marker val="1"/>
        <c:smooth val="0"/>
        <c:axId val="572287128"/>
        <c:axId val="572292616"/>
      </c:lineChart>
      <c:catAx>
        <c:axId val="572287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292616"/>
        <c:crosses val="autoZero"/>
        <c:auto val="1"/>
        <c:lblAlgn val="ctr"/>
        <c:lblOffset val="100"/>
        <c:noMultiLvlLbl val="0"/>
      </c:catAx>
      <c:valAx>
        <c:axId val="572292616"/>
        <c:scaling>
          <c:orientation val="minMax"/>
        </c:scaling>
        <c:delete val="1"/>
        <c:axPos val="l"/>
        <c:numFmt formatCode="General" sourceLinked="1"/>
        <c:majorTickMark val="none"/>
        <c:minorTickMark val="none"/>
        <c:tickLblPos val="nextTo"/>
        <c:crossAx val="572287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Targets!$E$117</c:f>
              <c:strCache>
                <c:ptCount val="1"/>
                <c:pt idx="0">
                  <c:v>Target</c:v>
                </c:pt>
              </c:strCache>
            </c:strRef>
          </c:tx>
          <c:spPr>
            <a:ln w="22225" cap="rnd">
              <a:solidFill>
                <a:schemeClr val="accent2"/>
              </a:solidFill>
              <a:prstDash val="sysDot"/>
              <a:round/>
            </a:ln>
            <a:effectLst/>
          </c:spPr>
          <c:marker>
            <c:symbol val="square"/>
            <c:size val="12"/>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Targets!$G$118:$G$126</c:f>
              <c:strCache>
                <c:ptCount val="9"/>
                <c:pt idx="0">
                  <c:v>CYP 2017-18</c:v>
                </c:pt>
                <c:pt idx="1">
                  <c:v>CYP 2018-19</c:v>
                </c:pt>
                <c:pt idx="2">
                  <c:v>CYP 2019-20</c:v>
                </c:pt>
                <c:pt idx="3">
                  <c:v>CYP 2020-21</c:v>
                </c:pt>
                <c:pt idx="4">
                  <c:v>CYP 2021-22</c:v>
                </c:pt>
                <c:pt idx="5">
                  <c:v>CYP 2022-23</c:v>
                </c:pt>
                <c:pt idx="6">
                  <c:v>CYP 2023-24</c:v>
                </c:pt>
                <c:pt idx="7">
                  <c:v>CYP 2024-25</c:v>
                </c:pt>
                <c:pt idx="8">
                  <c:v>CYP 2025-26</c:v>
                </c:pt>
              </c:strCache>
            </c:strRef>
          </c:cat>
          <c:val>
            <c:numRef>
              <c:f>Targets!$I$118:$I$126</c:f>
              <c:numCache>
                <c:formatCode>General</c:formatCode>
                <c:ptCount val="9"/>
                <c:pt idx="0">
                  <c:v>39</c:v>
                </c:pt>
                <c:pt idx="1">
                  <c:v>34</c:v>
                </c:pt>
                <c:pt idx="2">
                  <c:v>29</c:v>
                </c:pt>
                <c:pt idx="3">
                  <c:v>24</c:v>
                </c:pt>
                <c:pt idx="4">
                  <c:v>19</c:v>
                </c:pt>
                <c:pt idx="5">
                  <c:v>14</c:v>
                </c:pt>
                <c:pt idx="6">
                  <c:v>9</c:v>
                </c:pt>
                <c:pt idx="7">
                  <c:v>4</c:v>
                </c:pt>
                <c:pt idx="8">
                  <c:v>1</c:v>
                </c:pt>
              </c:numCache>
            </c:numRef>
          </c:val>
          <c:smooth val="0"/>
        </c:ser>
        <c:ser>
          <c:idx val="0"/>
          <c:order val="1"/>
          <c:tx>
            <c:strRef>
              <c:f>Targets!$D$117</c:f>
              <c:strCache>
                <c:ptCount val="1"/>
                <c:pt idx="0">
                  <c:v>Ranking</c:v>
                </c:pt>
              </c:strCache>
            </c:strRef>
          </c:tx>
          <c:spPr>
            <a:ln w="28575" cap="rnd">
              <a:solidFill>
                <a:schemeClr val="accent1"/>
              </a:solidFill>
              <a:round/>
            </a:ln>
            <a:effectLst/>
          </c:spPr>
          <c:marker>
            <c:symbol val="square"/>
            <c:size val="12"/>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Targets!$G$118:$G$126</c:f>
              <c:strCache>
                <c:ptCount val="9"/>
                <c:pt idx="0">
                  <c:v>CYP 2017-18</c:v>
                </c:pt>
                <c:pt idx="1">
                  <c:v>CYP 2018-19</c:v>
                </c:pt>
                <c:pt idx="2">
                  <c:v>CYP 2019-20</c:v>
                </c:pt>
                <c:pt idx="3">
                  <c:v>CYP 2020-21</c:v>
                </c:pt>
                <c:pt idx="4">
                  <c:v>CYP 2021-22</c:v>
                </c:pt>
                <c:pt idx="5">
                  <c:v>CYP 2022-23</c:v>
                </c:pt>
                <c:pt idx="6">
                  <c:v>CYP 2023-24</c:v>
                </c:pt>
                <c:pt idx="7">
                  <c:v>CYP 2024-25</c:v>
                </c:pt>
                <c:pt idx="8">
                  <c:v>CYP 2025-26</c:v>
                </c:pt>
              </c:strCache>
            </c:strRef>
          </c:cat>
          <c:val>
            <c:numRef>
              <c:f>Targets!$H$118:$H$119</c:f>
              <c:numCache>
                <c:formatCode>General</c:formatCode>
                <c:ptCount val="2"/>
                <c:pt idx="0">
                  <c:v>39</c:v>
                </c:pt>
                <c:pt idx="1">
                  <c:v>40</c:v>
                </c:pt>
              </c:numCache>
            </c:numRef>
          </c:val>
          <c:smooth val="0"/>
        </c:ser>
        <c:dLbls>
          <c:dLblPos val="ctr"/>
          <c:showLegendKey val="0"/>
          <c:showVal val="1"/>
          <c:showCatName val="0"/>
          <c:showSerName val="0"/>
          <c:showPercent val="0"/>
          <c:showBubbleSize val="0"/>
        </c:dLbls>
        <c:marker val="1"/>
        <c:smooth val="0"/>
        <c:axId val="572286736"/>
        <c:axId val="572291440"/>
      </c:lineChart>
      <c:catAx>
        <c:axId val="57228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291440"/>
        <c:crosses val="autoZero"/>
        <c:auto val="1"/>
        <c:lblAlgn val="ctr"/>
        <c:lblOffset val="100"/>
        <c:noMultiLvlLbl val="0"/>
      </c:catAx>
      <c:valAx>
        <c:axId val="572291440"/>
        <c:scaling>
          <c:orientation val="minMax"/>
        </c:scaling>
        <c:delete val="1"/>
        <c:axPos val="l"/>
        <c:numFmt formatCode="General" sourceLinked="1"/>
        <c:majorTickMark val="none"/>
        <c:minorTickMark val="none"/>
        <c:tickLblPos val="nextTo"/>
        <c:crossAx val="572286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'Bar Graphs Adults'!$E$35</c:f>
              <c:strCache>
                <c:ptCount val="1"/>
                <c:pt idx="0">
                  <c:v>Inactive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Graphs Adults'!$D$36:$D$43</c:f>
              <c:strCache>
                <c:ptCount val="8"/>
                <c:pt idx="0">
                  <c:v>Nov 15-16</c:v>
                </c:pt>
                <c:pt idx="1">
                  <c:v>May 16-17</c:v>
                </c:pt>
                <c:pt idx="2">
                  <c:v>Nov 16-17</c:v>
                </c:pt>
                <c:pt idx="3">
                  <c:v>May 17-18</c:v>
                </c:pt>
                <c:pt idx="4">
                  <c:v>Nov 17-18</c:v>
                </c:pt>
                <c:pt idx="5">
                  <c:v>May 18-19</c:v>
                </c:pt>
                <c:pt idx="6">
                  <c:v>Nov 18-19</c:v>
                </c:pt>
                <c:pt idx="7">
                  <c:v>May 19-20</c:v>
                </c:pt>
              </c:strCache>
            </c:strRef>
          </c:cat>
          <c:val>
            <c:numRef>
              <c:f>'Bar Graphs Adults'!$E$36:$E$43</c:f>
              <c:numCache>
                <c:formatCode>0.0%</c:formatCode>
                <c:ptCount val="8"/>
                <c:pt idx="0">
                  <c:v>0.28520000000000001</c:v>
                </c:pt>
                <c:pt idx="1">
                  <c:v>0.27572606825876445</c:v>
                </c:pt>
                <c:pt idx="2">
                  <c:v>0.26650000000000001</c:v>
                </c:pt>
                <c:pt idx="3">
                  <c:v>0.27074742610830277</c:v>
                </c:pt>
                <c:pt idx="4">
                  <c:v>0.26700000000000002</c:v>
                </c:pt>
                <c:pt idx="5">
                  <c:v>0.26690000000000003</c:v>
                </c:pt>
                <c:pt idx="6">
                  <c:v>0.26203863773603581</c:v>
                </c:pt>
                <c:pt idx="7">
                  <c:v>0.28050000000000003</c:v>
                </c:pt>
              </c:numCache>
            </c:numRef>
          </c:val>
        </c:ser>
        <c:ser>
          <c:idx val="1"/>
          <c:order val="1"/>
          <c:tx>
            <c:strRef>
              <c:f>'Bar Graphs Adults'!$F$35</c:f>
              <c:strCache>
                <c:ptCount val="1"/>
                <c:pt idx="0">
                  <c:v>Fairly Active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Graphs Adults'!$D$36:$D$43</c:f>
              <c:strCache>
                <c:ptCount val="8"/>
                <c:pt idx="0">
                  <c:v>Nov 15-16</c:v>
                </c:pt>
                <c:pt idx="1">
                  <c:v>May 16-17</c:v>
                </c:pt>
                <c:pt idx="2">
                  <c:v>Nov 16-17</c:v>
                </c:pt>
                <c:pt idx="3">
                  <c:v>May 17-18</c:v>
                </c:pt>
                <c:pt idx="4">
                  <c:v>Nov 17-18</c:v>
                </c:pt>
                <c:pt idx="5">
                  <c:v>May 18-19</c:v>
                </c:pt>
                <c:pt idx="6">
                  <c:v>Nov 18-19</c:v>
                </c:pt>
                <c:pt idx="7">
                  <c:v>May 19-20</c:v>
                </c:pt>
              </c:strCache>
            </c:strRef>
          </c:cat>
          <c:val>
            <c:numRef>
              <c:f>'Bar Graphs Adults'!$F$36:$F$43</c:f>
              <c:numCache>
                <c:formatCode>0.0%</c:formatCode>
                <c:ptCount val="8"/>
                <c:pt idx="0">
                  <c:v>0.12127418328612977</c:v>
                </c:pt>
                <c:pt idx="1">
                  <c:v>0.1149</c:v>
                </c:pt>
                <c:pt idx="2">
                  <c:v>0.109</c:v>
                </c:pt>
                <c:pt idx="3">
                  <c:v>0.12322296757519696</c:v>
                </c:pt>
                <c:pt idx="4">
                  <c:v>0.12640051655468471</c:v>
                </c:pt>
                <c:pt idx="5">
                  <c:v>0.12089999999999999</c:v>
                </c:pt>
                <c:pt idx="6">
                  <c:v>0.11840083948537654</c:v>
                </c:pt>
                <c:pt idx="7">
                  <c:v>0.10929999999999999</c:v>
                </c:pt>
              </c:numCache>
            </c:numRef>
          </c:val>
        </c:ser>
        <c:ser>
          <c:idx val="2"/>
          <c:order val="2"/>
          <c:tx>
            <c:strRef>
              <c:f>'Bar Graphs Adults'!$G$35</c:f>
              <c:strCache>
                <c:ptCount val="1"/>
                <c:pt idx="0">
                  <c:v>Active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Graphs Adults'!$D$36:$D$43</c:f>
              <c:strCache>
                <c:ptCount val="8"/>
                <c:pt idx="0">
                  <c:v>Nov 15-16</c:v>
                </c:pt>
                <c:pt idx="1">
                  <c:v>May 16-17</c:v>
                </c:pt>
                <c:pt idx="2">
                  <c:v>Nov 16-17</c:v>
                </c:pt>
                <c:pt idx="3">
                  <c:v>May 17-18</c:v>
                </c:pt>
                <c:pt idx="4">
                  <c:v>Nov 17-18</c:v>
                </c:pt>
                <c:pt idx="5">
                  <c:v>May 18-19</c:v>
                </c:pt>
                <c:pt idx="6">
                  <c:v>Nov 18-19</c:v>
                </c:pt>
                <c:pt idx="7">
                  <c:v>May 19-20</c:v>
                </c:pt>
              </c:strCache>
            </c:strRef>
          </c:cat>
          <c:val>
            <c:numRef>
              <c:f>'Bar Graphs Adults'!$G$36:$G$43</c:f>
              <c:numCache>
                <c:formatCode>0.0%</c:formatCode>
                <c:ptCount val="8"/>
                <c:pt idx="0">
                  <c:v>0.59354515323705681</c:v>
                </c:pt>
                <c:pt idx="1">
                  <c:v>0.60929999999999995</c:v>
                </c:pt>
                <c:pt idx="2">
                  <c:v>0.61350000000000005</c:v>
                </c:pt>
                <c:pt idx="3">
                  <c:v>0.60602960631650016</c:v>
                </c:pt>
                <c:pt idx="4">
                  <c:v>0.60660000000000003</c:v>
                </c:pt>
                <c:pt idx="5">
                  <c:v>0.61219999999999997</c:v>
                </c:pt>
                <c:pt idx="6">
                  <c:v>0.6195605227785913</c:v>
                </c:pt>
                <c:pt idx="7">
                  <c:v>0.61019999999999996</c:v>
                </c:pt>
              </c:numCache>
            </c:numRef>
          </c:val>
        </c:ser>
        <c:dLbls>
          <c:showLegendKey val="0"/>
          <c:showVal val="0"/>
          <c:showCatName val="0"/>
          <c:showSerName val="0"/>
          <c:showPercent val="0"/>
          <c:showBubbleSize val="0"/>
        </c:dLbls>
        <c:gapWidth val="50"/>
        <c:overlap val="100"/>
        <c:axId val="572287520"/>
        <c:axId val="572288304"/>
      </c:barChart>
      <c:catAx>
        <c:axId val="57228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288304"/>
        <c:crosses val="autoZero"/>
        <c:auto val="1"/>
        <c:lblAlgn val="ctr"/>
        <c:lblOffset val="100"/>
        <c:noMultiLvlLbl val="0"/>
      </c:catAx>
      <c:valAx>
        <c:axId val="572288304"/>
        <c:scaling>
          <c:orientation val="minMax"/>
        </c:scaling>
        <c:delete val="1"/>
        <c:axPos val="l"/>
        <c:numFmt formatCode="0.0%" sourceLinked="1"/>
        <c:majorTickMark val="none"/>
        <c:minorTickMark val="none"/>
        <c:tickLblPos val="nextTo"/>
        <c:crossAx val="572287520"/>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572288696"/>
        <c:axId val="572289872"/>
      </c:barChart>
      <c:catAx>
        <c:axId val="572288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289872"/>
        <c:crosses val="autoZero"/>
        <c:auto val="1"/>
        <c:lblAlgn val="ctr"/>
        <c:lblOffset val="100"/>
        <c:noMultiLvlLbl val="0"/>
      </c:catAx>
      <c:valAx>
        <c:axId val="572289872"/>
        <c:scaling>
          <c:orientation val="minMax"/>
        </c:scaling>
        <c:delete val="1"/>
        <c:axPos val="l"/>
        <c:numFmt formatCode="0.0%" sourceLinked="1"/>
        <c:majorTickMark val="none"/>
        <c:minorTickMark val="none"/>
        <c:tickLblPos val="nextTo"/>
        <c:crossAx val="572288696"/>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'Line Graphs Adults'!$B$40</c:f>
              <c:strCache>
                <c:ptCount val="1"/>
                <c:pt idx="0">
                  <c:v>GM</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'Line Graphs Adults'!$D$41:$D$48</c:f>
              <c:strCache>
                <c:ptCount val="8"/>
                <c:pt idx="0">
                  <c:v>Nov 15-16</c:v>
                </c:pt>
                <c:pt idx="1">
                  <c:v>May 16-17</c:v>
                </c:pt>
                <c:pt idx="2">
                  <c:v>Nov 16-17</c:v>
                </c:pt>
                <c:pt idx="3">
                  <c:v>May 17-18</c:v>
                </c:pt>
                <c:pt idx="4">
                  <c:v>Nov 17-18</c:v>
                </c:pt>
                <c:pt idx="5">
                  <c:v>May 18-19</c:v>
                </c:pt>
                <c:pt idx="6">
                  <c:v>Nov 18-19</c:v>
                </c:pt>
                <c:pt idx="7">
                  <c:v>May 19-20</c:v>
                </c:pt>
              </c:strCache>
            </c:strRef>
          </c:cat>
          <c:val>
            <c:numRef>
              <c:f>'Line Graphs Adults'!$H$41:$H$48</c:f>
              <c:numCache>
                <c:formatCode>0.0%</c:formatCode>
                <c:ptCount val="8"/>
                <c:pt idx="0">
                  <c:v>0.71481933652318652</c:v>
                </c:pt>
                <c:pt idx="1">
                  <c:v>0.72419999999999995</c:v>
                </c:pt>
                <c:pt idx="2">
                  <c:v>0.72250000000000003</c:v>
                </c:pt>
                <c:pt idx="3">
                  <c:v>0.72925257389169706</c:v>
                </c:pt>
                <c:pt idx="4">
                  <c:v>0.73300051655468468</c:v>
                </c:pt>
                <c:pt idx="5">
                  <c:v>0.73309999999999997</c:v>
                </c:pt>
                <c:pt idx="6">
                  <c:v>0.7379613622639678</c:v>
                </c:pt>
                <c:pt idx="7">
                  <c:v>0.71949999999999992</c:v>
                </c:pt>
              </c:numCache>
            </c:numRef>
          </c:val>
          <c:smooth val="0"/>
        </c:ser>
        <c:ser>
          <c:idx val="1"/>
          <c:order val="1"/>
          <c:tx>
            <c:strRef>
              <c:f>'Line Graphs Adults'!$B$49</c:f>
              <c:strCache>
                <c:ptCount val="1"/>
                <c:pt idx="0">
                  <c:v>England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'Line Graphs Adults'!$D$41:$D$48</c:f>
              <c:strCache>
                <c:ptCount val="8"/>
                <c:pt idx="0">
                  <c:v>Nov 15-16</c:v>
                </c:pt>
                <c:pt idx="1">
                  <c:v>May 16-17</c:v>
                </c:pt>
                <c:pt idx="2">
                  <c:v>Nov 16-17</c:v>
                </c:pt>
                <c:pt idx="3">
                  <c:v>May 17-18</c:v>
                </c:pt>
                <c:pt idx="4">
                  <c:v>Nov 17-18</c:v>
                </c:pt>
                <c:pt idx="5">
                  <c:v>May 18-19</c:v>
                </c:pt>
                <c:pt idx="6">
                  <c:v>Nov 18-19</c:v>
                </c:pt>
                <c:pt idx="7">
                  <c:v>May 19-20</c:v>
                </c:pt>
              </c:strCache>
            </c:strRef>
          </c:cat>
          <c:val>
            <c:numRef>
              <c:f>'Line Graphs Adults'!$H$51:$H$58</c:f>
              <c:numCache>
                <c:formatCode>0.0%</c:formatCode>
                <c:ptCount val="8"/>
                <c:pt idx="0">
                  <c:v>0.74419999999999997</c:v>
                </c:pt>
                <c:pt idx="1">
                  <c:v>0.74390000000000001</c:v>
                </c:pt>
                <c:pt idx="2">
                  <c:v>0.74329999999999996</c:v>
                </c:pt>
                <c:pt idx="3">
                  <c:v>0.74780000000000002</c:v>
                </c:pt>
                <c:pt idx="4">
                  <c:v>0.74929999999999997</c:v>
                </c:pt>
                <c:pt idx="5">
                  <c:v>0.752</c:v>
                </c:pt>
                <c:pt idx="6">
                  <c:v>0.75419999999999998</c:v>
                </c:pt>
                <c:pt idx="7">
                  <c:v>0.74550000000000005</c:v>
                </c:pt>
              </c:numCache>
            </c:numRef>
          </c:val>
          <c:smooth val="0"/>
        </c:ser>
        <c:dLbls>
          <c:showLegendKey val="0"/>
          <c:showVal val="1"/>
          <c:showCatName val="0"/>
          <c:showSerName val="0"/>
          <c:showPercent val="0"/>
          <c:showBubbleSize val="0"/>
        </c:dLbls>
        <c:smooth val="0"/>
        <c:axId val="571783184"/>
        <c:axId val="571780440"/>
      </c:lineChart>
      <c:catAx>
        <c:axId val="57178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780440"/>
        <c:crosses val="autoZero"/>
        <c:auto val="1"/>
        <c:lblAlgn val="ctr"/>
        <c:lblOffset val="100"/>
        <c:noMultiLvlLbl val="0"/>
      </c:catAx>
      <c:valAx>
        <c:axId val="571780440"/>
        <c:scaling>
          <c:orientation val="minMax"/>
        </c:scaling>
        <c:delete val="1"/>
        <c:axPos val="l"/>
        <c:numFmt formatCode="0.0%" sourceLinked="1"/>
        <c:majorTickMark val="none"/>
        <c:minorTickMark val="none"/>
        <c:tickLblPos val="nextTo"/>
        <c:crossAx val="571783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571780048"/>
        <c:axId val="571777696"/>
      </c:barChart>
      <c:catAx>
        <c:axId val="57178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777696"/>
        <c:crosses val="autoZero"/>
        <c:auto val="1"/>
        <c:lblAlgn val="ctr"/>
        <c:lblOffset val="100"/>
        <c:noMultiLvlLbl val="0"/>
      </c:catAx>
      <c:valAx>
        <c:axId val="571777696"/>
        <c:scaling>
          <c:orientation val="minMax"/>
        </c:scaling>
        <c:delete val="1"/>
        <c:axPos val="l"/>
        <c:numFmt formatCode="0.0%" sourceLinked="1"/>
        <c:majorTickMark val="none"/>
        <c:minorTickMark val="none"/>
        <c:tickLblPos val="nextTo"/>
        <c:crossAx val="57178004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'Moving Comparision'!$C$39</c:f>
              <c:strCache>
                <c:ptCount val="1"/>
                <c:pt idx="0">
                  <c:v>Fairly Active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'Moving Comparision'!$C$40:$C$51</c:f>
              <c:numCache>
                <c:formatCode>0.0%</c:formatCode>
                <c:ptCount val="12"/>
                <c:pt idx="0">
                  <c:v>0.1174</c:v>
                </c:pt>
                <c:pt idx="1">
                  <c:v>0.10929999999999999</c:v>
                </c:pt>
                <c:pt idx="2">
                  <c:v>0.10589999999999999</c:v>
                </c:pt>
                <c:pt idx="3">
                  <c:v>0.1012</c:v>
                </c:pt>
                <c:pt idx="4">
                  <c:v>9.1800000000000007E-2</c:v>
                </c:pt>
                <c:pt idx="5">
                  <c:v>0.12659999999999999</c:v>
                </c:pt>
                <c:pt idx="6">
                  <c:v>0.1111</c:v>
                </c:pt>
                <c:pt idx="7">
                  <c:v>0.10920000000000001</c:v>
                </c:pt>
                <c:pt idx="8">
                  <c:v>0.1118</c:v>
                </c:pt>
                <c:pt idx="9">
                  <c:v>0.1268</c:v>
                </c:pt>
                <c:pt idx="10">
                  <c:v>0.1226</c:v>
                </c:pt>
                <c:pt idx="11">
                  <c:v>0.1095</c:v>
                </c:pt>
              </c:numCache>
            </c:numRef>
          </c:val>
        </c:ser>
        <c:ser>
          <c:idx val="2"/>
          <c:order val="1"/>
          <c:tx>
            <c:strRef>
              <c:f>'Moving Comparision'!$D$39</c:f>
              <c:strCache>
                <c:ptCount val="1"/>
                <c:pt idx="0">
                  <c:v>Active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'Moving Comparision'!$D$40:$D$51</c:f>
              <c:numCache>
                <c:formatCode>0.0%</c:formatCode>
                <c:ptCount val="12"/>
                <c:pt idx="0">
                  <c:v>0.62809999999999999</c:v>
                </c:pt>
                <c:pt idx="1">
                  <c:v>0.61019999999999996</c:v>
                </c:pt>
                <c:pt idx="2">
                  <c:v>0.57340000000000002</c:v>
                </c:pt>
                <c:pt idx="3">
                  <c:v>0.6048</c:v>
                </c:pt>
                <c:pt idx="4">
                  <c:v>0.63400000000000001</c:v>
                </c:pt>
                <c:pt idx="5">
                  <c:v>0.57509999999999994</c:v>
                </c:pt>
                <c:pt idx="6">
                  <c:v>0.5746</c:v>
                </c:pt>
                <c:pt idx="7">
                  <c:v>0.63939999999999997</c:v>
                </c:pt>
                <c:pt idx="8">
                  <c:v>0.62960000000000005</c:v>
                </c:pt>
                <c:pt idx="9">
                  <c:v>0.57750000000000001</c:v>
                </c:pt>
                <c:pt idx="10">
                  <c:v>0.67110000000000003</c:v>
                </c:pt>
                <c:pt idx="11">
                  <c:v>0.5917</c:v>
                </c:pt>
              </c:numCache>
            </c:numRef>
          </c:val>
        </c:ser>
        <c:dLbls>
          <c:showLegendKey val="0"/>
          <c:showVal val="1"/>
          <c:showCatName val="0"/>
          <c:showSerName val="0"/>
          <c:showPercent val="0"/>
          <c:showBubbleSize val="0"/>
        </c:dLbls>
        <c:gapWidth val="50"/>
        <c:overlap val="100"/>
        <c:axId val="571780832"/>
        <c:axId val="571776912"/>
      </c:barChart>
      <c:lineChart>
        <c:grouping val="standard"/>
        <c:varyColors val="0"/>
        <c:ser>
          <c:idx val="0"/>
          <c:order val="2"/>
          <c:tx>
            <c:v>Moving Rate</c:v>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'Moving Comparision'!$B$40:$B$51</c:f>
              <c:strCache>
                <c:ptCount val="12"/>
                <c:pt idx="0">
                  <c:v>England</c:v>
                </c:pt>
                <c:pt idx="1">
                  <c:v>GM</c:v>
                </c:pt>
                <c:pt idx="2">
                  <c:v>Bolton</c:v>
                </c:pt>
                <c:pt idx="3">
                  <c:v>Bury</c:v>
                </c:pt>
                <c:pt idx="4">
                  <c:v>Manchester</c:v>
                </c:pt>
                <c:pt idx="5">
                  <c:v>Oldham</c:v>
                </c:pt>
                <c:pt idx="6">
                  <c:v>Rochdale</c:v>
                </c:pt>
                <c:pt idx="7">
                  <c:v>Salford</c:v>
                </c:pt>
                <c:pt idx="8">
                  <c:v>Stockport</c:v>
                </c:pt>
                <c:pt idx="9">
                  <c:v>Tameside</c:v>
                </c:pt>
                <c:pt idx="10">
                  <c:v>Trafford</c:v>
                </c:pt>
                <c:pt idx="11">
                  <c:v>Wigan</c:v>
                </c:pt>
              </c:strCache>
            </c:strRef>
          </c:cat>
          <c:val>
            <c:numRef>
              <c:f>'Moving Comparision'!$E$40:$E$51</c:f>
              <c:numCache>
                <c:formatCode>0.0%</c:formatCode>
                <c:ptCount val="12"/>
                <c:pt idx="0">
                  <c:v>0.74550000000000005</c:v>
                </c:pt>
                <c:pt idx="1">
                  <c:v>0.71949999999999992</c:v>
                </c:pt>
                <c:pt idx="2">
                  <c:v>0.67930000000000001</c:v>
                </c:pt>
                <c:pt idx="3">
                  <c:v>0.70599999999999996</c:v>
                </c:pt>
                <c:pt idx="4">
                  <c:v>0.7258</c:v>
                </c:pt>
                <c:pt idx="5">
                  <c:v>0.70169999999999999</c:v>
                </c:pt>
                <c:pt idx="6">
                  <c:v>0.68569999999999998</c:v>
                </c:pt>
                <c:pt idx="7">
                  <c:v>0.74859999999999993</c:v>
                </c:pt>
                <c:pt idx="8">
                  <c:v>0.74140000000000006</c:v>
                </c:pt>
                <c:pt idx="9">
                  <c:v>0.70430000000000004</c:v>
                </c:pt>
                <c:pt idx="10">
                  <c:v>0.79370000000000007</c:v>
                </c:pt>
                <c:pt idx="11">
                  <c:v>0.70120000000000005</c:v>
                </c:pt>
              </c:numCache>
            </c:numRef>
          </c:val>
          <c:smooth val="0"/>
        </c:ser>
        <c:dLbls>
          <c:showLegendKey val="0"/>
          <c:showVal val="0"/>
          <c:showCatName val="0"/>
          <c:showSerName val="0"/>
          <c:showPercent val="0"/>
          <c:showBubbleSize val="0"/>
        </c:dLbls>
        <c:marker val="1"/>
        <c:smooth val="0"/>
        <c:axId val="571780832"/>
        <c:axId val="571776912"/>
      </c:lineChart>
      <c:catAx>
        <c:axId val="57178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776912"/>
        <c:crosses val="autoZero"/>
        <c:auto val="1"/>
        <c:lblAlgn val="ctr"/>
        <c:lblOffset val="100"/>
        <c:noMultiLvlLbl val="0"/>
      </c:catAx>
      <c:valAx>
        <c:axId val="571776912"/>
        <c:scaling>
          <c:orientation val="minMax"/>
        </c:scaling>
        <c:delete val="1"/>
        <c:axPos val="l"/>
        <c:numFmt formatCode="0.0%" sourceLinked="1"/>
        <c:majorTickMark val="none"/>
        <c:minorTickMark val="none"/>
        <c:tickLblPos val="nextTo"/>
        <c:crossAx val="571780832"/>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571777304"/>
        <c:axId val="571778088"/>
      </c:barChart>
      <c:catAx>
        <c:axId val="571777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778088"/>
        <c:crosses val="autoZero"/>
        <c:auto val="1"/>
        <c:lblAlgn val="ctr"/>
        <c:lblOffset val="100"/>
        <c:noMultiLvlLbl val="0"/>
      </c:catAx>
      <c:valAx>
        <c:axId val="571778088"/>
        <c:scaling>
          <c:orientation val="minMax"/>
        </c:scaling>
        <c:delete val="1"/>
        <c:axPos val="l"/>
        <c:numFmt formatCode="0.0%" sourceLinked="1"/>
        <c:majorTickMark val="none"/>
        <c:minorTickMark val="none"/>
        <c:tickLblPos val="nextTo"/>
        <c:crossAx val="571777304"/>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Inequalities!$D$50</c:f>
              <c:strCache>
                <c:ptCount val="1"/>
                <c:pt idx="0">
                  <c:v>Nov 15/16</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Inequalities!$D$42:$D$48</c:f>
              <c:strCache>
                <c:ptCount val="7"/>
                <c:pt idx="0">
                  <c:v>White British</c:v>
                </c:pt>
                <c:pt idx="1">
                  <c:v>White Other</c:v>
                </c:pt>
                <c:pt idx="2">
                  <c:v>South Asian</c:v>
                </c:pt>
                <c:pt idx="3">
                  <c:v>Black</c:v>
                </c:pt>
                <c:pt idx="4">
                  <c:v>Chinese</c:v>
                </c:pt>
                <c:pt idx="5">
                  <c:v>Mixed</c:v>
                </c:pt>
                <c:pt idx="6">
                  <c:v>Other</c:v>
                </c:pt>
              </c:strCache>
            </c:strRef>
          </c:cat>
          <c:val>
            <c:numRef>
              <c:f>Inequalities!$E$52:$E$58</c:f>
              <c:numCache>
                <c:formatCode>0.0%</c:formatCode>
                <c:ptCount val="7"/>
                <c:pt idx="0">
                  <c:v>0.27448645077355166</c:v>
                </c:pt>
                <c:pt idx="1">
                  <c:v>0.24034390770252326</c:v>
                </c:pt>
                <c:pt idx="2">
                  <c:v>0.31119229432838003</c:v>
                </c:pt>
                <c:pt idx="3">
                  <c:v>0.37036705049796176</c:v>
                </c:pt>
                <c:pt idx="4">
                  <c:v>0.46304899568934182</c:v>
                </c:pt>
                <c:pt idx="5">
                  <c:v>0.26741989559591312</c:v>
                </c:pt>
                <c:pt idx="6">
                  <c:v>0.41643493752234273</c:v>
                </c:pt>
              </c:numCache>
            </c:numRef>
          </c:val>
        </c:ser>
        <c:ser>
          <c:idx val="0"/>
          <c:order val="1"/>
          <c:tx>
            <c:strRef>
              <c:f>Inequalities!$D$40</c:f>
              <c:strCache>
                <c:ptCount val="1"/>
                <c:pt idx="0">
                  <c:v>May 19/20</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Inequalities!$D$42:$D$48</c:f>
              <c:strCache>
                <c:ptCount val="7"/>
                <c:pt idx="0">
                  <c:v>White British</c:v>
                </c:pt>
                <c:pt idx="1">
                  <c:v>White Other</c:v>
                </c:pt>
                <c:pt idx="2">
                  <c:v>South Asian</c:v>
                </c:pt>
                <c:pt idx="3">
                  <c:v>Black</c:v>
                </c:pt>
                <c:pt idx="4">
                  <c:v>Chinese</c:v>
                </c:pt>
                <c:pt idx="5">
                  <c:v>Mixed</c:v>
                </c:pt>
                <c:pt idx="6">
                  <c:v>Other</c:v>
                </c:pt>
              </c:strCache>
            </c:strRef>
          </c:cat>
          <c:val>
            <c:numRef>
              <c:f>Inequalities!$E$42:$E$48</c:f>
              <c:numCache>
                <c:formatCode>0.0%</c:formatCode>
                <c:ptCount val="7"/>
                <c:pt idx="0">
                  <c:v>0.25792704646842401</c:v>
                </c:pt>
                <c:pt idx="1">
                  <c:v>0.23451185293009758</c:v>
                </c:pt>
                <c:pt idx="2">
                  <c:v>0.38795953446431936</c:v>
                </c:pt>
                <c:pt idx="3">
                  <c:v>0.4616999328048253</c:v>
                </c:pt>
                <c:pt idx="4">
                  <c:v>0.2902565754492758</c:v>
                </c:pt>
                <c:pt idx="5">
                  <c:v>0.22791204366454973</c:v>
                </c:pt>
                <c:pt idx="6">
                  <c:v>0.45939382382357347</c:v>
                </c:pt>
              </c:numCache>
            </c:numRef>
          </c:val>
        </c:ser>
        <c:dLbls>
          <c:dLblPos val="outEnd"/>
          <c:showLegendKey val="0"/>
          <c:showVal val="1"/>
          <c:showCatName val="0"/>
          <c:showSerName val="0"/>
          <c:showPercent val="0"/>
          <c:showBubbleSize val="0"/>
        </c:dLbls>
        <c:gapWidth val="50"/>
        <c:axId val="571778872"/>
        <c:axId val="572287912"/>
      </c:barChart>
      <c:catAx>
        <c:axId val="571778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287912"/>
        <c:crosses val="autoZero"/>
        <c:auto val="1"/>
        <c:lblAlgn val="ctr"/>
        <c:lblOffset val="100"/>
        <c:noMultiLvlLbl val="0"/>
      </c:catAx>
      <c:valAx>
        <c:axId val="572287912"/>
        <c:scaling>
          <c:orientation val="minMax"/>
        </c:scaling>
        <c:delete val="1"/>
        <c:axPos val="l"/>
        <c:numFmt formatCode="0.0%" sourceLinked="1"/>
        <c:majorTickMark val="none"/>
        <c:minorTickMark val="none"/>
        <c:tickLblPos val="nextTo"/>
        <c:crossAx val="571778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572290656"/>
        <c:axId val="572285952"/>
      </c:barChart>
      <c:catAx>
        <c:axId val="57229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285952"/>
        <c:crosses val="autoZero"/>
        <c:auto val="1"/>
        <c:lblAlgn val="ctr"/>
        <c:lblOffset val="100"/>
        <c:noMultiLvlLbl val="0"/>
      </c:catAx>
      <c:valAx>
        <c:axId val="572285952"/>
        <c:scaling>
          <c:orientation val="minMax"/>
        </c:scaling>
        <c:delete val="1"/>
        <c:axPos val="l"/>
        <c:numFmt formatCode="0.0%" sourceLinked="1"/>
        <c:majorTickMark val="none"/>
        <c:minorTickMark val="none"/>
        <c:tickLblPos val="nextTo"/>
        <c:crossAx val="572290656"/>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'Inequalities - Time'!$D$87</c:f>
              <c:strCache>
                <c:ptCount val="1"/>
                <c:pt idx="0">
                  <c:v>Nov 15/16</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'Inequalities - Time'!$D$47:$D$50</c:f>
              <c:numCache>
                <c:formatCode>General</c:formatCode>
                <c:ptCount val="4"/>
                <c:pt idx="0">
                  <c:v>0</c:v>
                </c:pt>
                <c:pt idx="1">
                  <c:v>0</c:v>
                </c:pt>
                <c:pt idx="2">
                  <c:v>0</c:v>
                </c:pt>
                <c:pt idx="3">
                  <c:v>0</c:v>
                </c:pt>
              </c:numCache>
            </c:numRef>
          </c:cat>
          <c:val>
            <c:numRef>
              <c:f>'Inequalities - Time'!$E$89:$E$92</c:f>
              <c:numCache>
                <c:formatCode>0.0%</c:formatCode>
                <c:ptCount val="4"/>
                <c:pt idx="0">
                  <c:v>0</c:v>
                </c:pt>
                <c:pt idx="1">
                  <c:v>0</c:v>
                </c:pt>
                <c:pt idx="2">
                  <c:v>0</c:v>
                </c:pt>
                <c:pt idx="3">
                  <c:v>0</c:v>
                </c:pt>
              </c:numCache>
            </c:numRef>
          </c:val>
        </c:ser>
        <c:ser>
          <c:idx val="2"/>
          <c:order val="1"/>
          <c:tx>
            <c:strRef>
              <c:f>'Inequalities - Time'!$D$80</c:f>
              <c:strCache>
                <c:ptCount val="1"/>
                <c:pt idx="0">
                  <c:v>May 16/17</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'Inequalities - Time'!$E$82:$E$85</c:f>
              <c:numCache>
                <c:formatCode>0.0%</c:formatCode>
                <c:ptCount val="4"/>
                <c:pt idx="0">
                  <c:v>0</c:v>
                </c:pt>
                <c:pt idx="1">
                  <c:v>0</c:v>
                </c:pt>
                <c:pt idx="2">
                  <c:v>0</c:v>
                </c:pt>
                <c:pt idx="3">
                  <c:v>0</c:v>
                </c:pt>
              </c:numCache>
            </c:numRef>
          </c:val>
        </c:ser>
        <c:ser>
          <c:idx val="3"/>
          <c:order val="2"/>
          <c:tx>
            <c:strRef>
              <c:f>'Inequalities - Time'!$D$66</c:f>
              <c:strCache>
                <c:ptCount val="1"/>
                <c:pt idx="0">
                  <c:v>May 17/18</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'Inequalities - Time'!$E$68:$E$71</c:f>
              <c:numCache>
                <c:formatCode>0.0%</c:formatCode>
                <c:ptCount val="4"/>
                <c:pt idx="0">
                  <c:v>0</c:v>
                </c:pt>
                <c:pt idx="1">
                  <c:v>0</c:v>
                </c:pt>
                <c:pt idx="2">
                  <c:v>0</c:v>
                </c:pt>
                <c:pt idx="3">
                  <c:v>0</c:v>
                </c:pt>
              </c:numCache>
            </c:numRef>
          </c:val>
        </c:ser>
        <c:ser>
          <c:idx val="0"/>
          <c:order val="3"/>
          <c:tx>
            <c:strRef>
              <c:f>'Inequalities - Time'!$D$52</c:f>
              <c:strCache>
                <c:ptCount val="1"/>
                <c:pt idx="0">
                  <c:v>May 18/19</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'Inequalities - Time'!$D$47:$D$50</c:f>
              <c:numCache>
                <c:formatCode>General</c:formatCode>
                <c:ptCount val="4"/>
                <c:pt idx="0">
                  <c:v>0</c:v>
                </c:pt>
                <c:pt idx="1">
                  <c:v>0</c:v>
                </c:pt>
                <c:pt idx="2">
                  <c:v>0</c:v>
                </c:pt>
                <c:pt idx="3">
                  <c:v>0</c:v>
                </c:pt>
              </c:numCache>
            </c:numRef>
          </c:cat>
          <c:val>
            <c:numRef>
              <c:f>'Inequalities - Time'!$E$54:$E$57</c:f>
              <c:numCache>
                <c:formatCode>0.0%</c:formatCode>
                <c:ptCount val="4"/>
                <c:pt idx="0">
                  <c:v>0</c:v>
                </c:pt>
                <c:pt idx="1">
                  <c:v>0</c:v>
                </c:pt>
                <c:pt idx="2">
                  <c:v>0</c:v>
                </c:pt>
                <c:pt idx="3">
                  <c:v>0</c:v>
                </c:pt>
              </c:numCache>
            </c:numRef>
          </c:val>
        </c:ser>
        <c:ser>
          <c:idx val="4"/>
          <c:order val="4"/>
          <c:tx>
            <c:strRef>
              <c:f>'Inequalities - Time'!$D$38</c:f>
              <c:strCache>
                <c:ptCount val="1"/>
                <c:pt idx="0">
                  <c:v>May 19/20</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'Inequalities - Time'!$E$40:$E$43</c:f>
              <c:numCache>
                <c:formatCode>0.0%</c:formatCode>
                <c:ptCount val="4"/>
                <c:pt idx="0">
                  <c:v>0</c:v>
                </c:pt>
                <c:pt idx="1">
                  <c:v>0</c:v>
                </c:pt>
                <c:pt idx="2">
                  <c:v>0</c:v>
                </c:pt>
                <c:pt idx="3">
                  <c:v>0</c:v>
                </c:pt>
              </c:numCache>
            </c:numRef>
          </c:val>
        </c:ser>
        <c:dLbls>
          <c:dLblPos val="outEnd"/>
          <c:showLegendKey val="0"/>
          <c:showVal val="1"/>
          <c:showCatName val="0"/>
          <c:showSerName val="0"/>
          <c:showPercent val="0"/>
          <c:showBubbleSize val="0"/>
        </c:dLbls>
        <c:gapWidth val="50"/>
        <c:axId val="705015832"/>
        <c:axId val="705013480"/>
      </c:barChart>
      <c:catAx>
        <c:axId val="705015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13480"/>
        <c:crosses val="autoZero"/>
        <c:auto val="1"/>
        <c:lblAlgn val="ctr"/>
        <c:lblOffset val="100"/>
        <c:noMultiLvlLbl val="0"/>
      </c:catAx>
      <c:valAx>
        <c:axId val="705013480"/>
        <c:scaling>
          <c:orientation val="minMax"/>
        </c:scaling>
        <c:delete val="1"/>
        <c:axPos val="l"/>
        <c:numFmt formatCode="0.0%" sourceLinked="1"/>
        <c:majorTickMark val="none"/>
        <c:minorTickMark val="none"/>
        <c:tickLblPos val="nextTo"/>
        <c:crossAx val="705015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705013872"/>
        <c:axId val="705013088"/>
      </c:barChart>
      <c:catAx>
        <c:axId val="70501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13088"/>
        <c:crosses val="autoZero"/>
        <c:auto val="1"/>
        <c:lblAlgn val="ctr"/>
        <c:lblOffset val="100"/>
        <c:noMultiLvlLbl val="0"/>
      </c:catAx>
      <c:valAx>
        <c:axId val="705013088"/>
        <c:scaling>
          <c:orientation val="minMax"/>
        </c:scaling>
        <c:delete val="1"/>
        <c:axPos val="l"/>
        <c:numFmt formatCode="0.0%" sourceLinked="1"/>
        <c:majorTickMark val="none"/>
        <c:minorTickMark val="none"/>
        <c:tickLblPos val="nextTo"/>
        <c:crossAx val="705013872"/>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Inequalities Gap</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'Inequalities Gap'!$B$40:$B$51</c:f>
              <c:strCache>
                <c:ptCount val="12"/>
                <c:pt idx="0">
                  <c:v>England</c:v>
                </c:pt>
                <c:pt idx="1">
                  <c:v>GM</c:v>
                </c:pt>
                <c:pt idx="2">
                  <c:v>Bolton</c:v>
                </c:pt>
                <c:pt idx="3">
                  <c:v>Bury</c:v>
                </c:pt>
                <c:pt idx="4">
                  <c:v>Manchester</c:v>
                </c:pt>
                <c:pt idx="5">
                  <c:v>Oldham</c:v>
                </c:pt>
                <c:pt idx="6">
                  <c:v>Rochdale</c:v>
                </c:pt>
                <c:pt idx="7">
                  <c:v>Salford</c:v>
                </c:pt>
                <c:pt idx="8">
                  <c:v>Stockport</c:v>
                </c:pt>
                <c:pt idx="9">
                  <c:v>Tameside</c:v>
                </c:pt>
                <c:pt idx="10">
                  <c:v>Trafford</c:v>
                </c:pt>
                <c:pt idx="11">
                  <c:v>Wigan</c:v>
                </c:pt>
              </c:strCache>
            </c:strRef>
          </c:cat>
          <c:val>
            <c:numRef>
              <c:f>'Inequalities Gap'!$E$40:$E$51</c:f>
              <c:numCache>
                <c:formatCode>0.0%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ser>
        <c:dLbls>
          <c:dLblPos val="outEnd"/>
          <c:showLegendKey val="0"/>
          <c:showVal val="1"/>
          <c:showCatName val="0"/>
          <c:showSerName val="0"/>
          <c:showPercent val="0"/>
          <c:showBubbleSize val="0"/>
        </c:dLbls>
        <c:gapWidth val="50"/>
        <c:axId val="705018968"/>
        <c:axId val="705019360"/>
      </c:barChart>
      <c:catAx>
        <c:axId val="705018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19360"/>
        <c:crosses val="autoZero"/>
        <c:auto val="1"/>
        <c:lblAlgn val="ctr"/>
        <c:lblOffset val="100"/>
        <c:noMultiLvlLbl val="0"/>
      </c:catAx>
      <c:valAx>
        <c:axId val="705019360"/>
        <c:scaling>
          <c:orientation val="minMax"/>
        </c:scaling>
        <c:delete val="1"/>
        <c:axPos val="l"/>
        <c:numFmt formatCode="0.0%" sourceLinked="1"/>
        <c:majorTickMark val="none"/>
        <c:minorTickMark val="none"/>
        <c:tickLblPos val="nextTo"/>
        <c:crossAx val="7050189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705015440"/>
        <c:axId val="705014656"/>
      </c:barChart>
      <c:catAx>
        <c:axId val="70501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14656"/>
        <c:crosses val="autoZero"/>
        <c:auto val="1"/>
        <c:lblAlgn val="ctr"/>
        <c:lblOffset val="100"/>
        <c:noMultiLvlLbl val="0"/>
      </c:catAx>
      <c:valAx>
        <c:axId val="705014656"/>
        <c:scaling>
          <c:orientation val="minMax"/>
        </c:scaling>
        <c:delete val="1"/>
        <c:axPos val="l"/>
        <c:numFmt formatCode="0.0%" sourceLinked="1"/>
        <c:majorTickMark val="none"/>
        <c:minorTickMark val="none"/>
        <c:tickLblPos val="nextTo"/>
        <c:crossAx val="705015440"/>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Demographics!$G$33</c:f>
              <c:strCache>
                <c:ptCount val="1"/>
                <c:pt idx="0">
                  <c:v>Nov 15/16</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Demographics!$D$34:$D$61</c:f>
              <c:strCache>
                <c:ptCount val="28"/>
                <c:pt idx="0">
                  <c:v>Male</c:v>
                </c:pt>
                <c:pt idx="1">
                  <c:v>Female</c:v>
                </c:pt>
                <c:pt idx="2">
                  <c:v>16-34</c:v>
                </c:pt>
                <c:pt idx="3">
                  <c:v>35-54</c:v>
                </c:pt>
                <c:pt idx="4">
                  <c:v>55-74</c:v>
                </c:pt>
                <c:pt idx="5">
                  <c:v>75+</c:v>
                </c:pt>
                <c:pt idx="6">
                  <c:v>16-54</c:v>
                </c:pt>
                <c:pt idx="7">
                  <c:v>55+</c:v>
                </c:pt>
                <c:pt idx="8">
                  <c:v>LT limiting disability</c:v>
                </c:pt>
                <c:pt idx="9">
                  <c:v>No LT limiting disability</c:v>
                </c:pt>
                <c:pt idx="10">
                  <c:v>White British</c:v>
                </c:pt>
                <c:pt idx="11">
                  <c:v>White Other</c:v>
                </c:pt>
                <c:pt idx="12">
                  <c:v>South Asian</c:v>
                </c:pt>
                <c:pt idx="13">
                  <c:v>Black</c:v>
                </c:pt>
                <c:pt idx="14">
                  <c:v>Chinese</c:v>
                </c:pt>
                <c:pt idx="15">
                  <c:v>Mixed</c:v>
                </c:pt>
                <c:pt idx="16">
                  <c:v>Other ethnic group</c:v>
                </c:pt>
                <c:pt idx="17">
                  <c:v>NS SEC 1-2</c:v>
                </c:pt>
                <c:pt idx="18">
                  <c:v>NS SEC 3-5</c:v>
                </c:pt>
                <c:pt idx="19">
                  <c:v>NS SEC 6-8</c:v>
                </c:pt>
                <c:pt idx="20">
                  <c:v>NS SEC 9</c:v>
                </c:pt>
                <c:pt idx="21">
                  <c:v>Working full or part time</c:v>
                </c:pt>
                <c:pt idx="22">
                  <c:v>Unemployed</c:v>
                </c:pt>
                <c:pt idx="23">
                  <c:v>Not working - retired</c:v>
                </c:pt>
                <c:pt idx="24">
                  <c:v>Not working - looking after house/children</c:v>
                </c:pt>
                <c:pt idx="25">
                  <c:v>Not working - long term sick or disabled</c:v>
                </c:pt>
                <c:pt idx="26">
                  <c:v>Student full or part time</c:v>
                </c:pt>
                <c:pt idx="27">
                  <c:v>Other working status</c:v>
                </c:pt>
              </c:strCache>
            </c:strRef>
          </c:cat>
          <c:val>
            <c:numRef>
              <c:f>Demographics!$H$34:$H$61</c:f>
              <c:numCache>
                <c:formatCode>0.0%</c:formatCode>
                <c:ptCount val="28"/>
                <c:pt idx="0">
                  <c:v>0.26831139673792948</c:v>
                </c:pt>
                <c:pt idx="1">
                  <c:v>0.299526842200245</c:v>
                </c:pt>
                <c:pt idx="2">
                  <c:v>0.19827008887097503</c:v>
                </c:pt>
                <c:pt idx="3">
                  <c:v>0.26837628622706239</c:v>
                </c:pt>
                <c:pt idx="4">
                  <c:v>0.33520131321686619</c:v>
                </c:pt>
                <c:pt idx="5">
                  <c:v>0.55053966985350034</c:v>
                </c:pt>
                <c:pt idx="6">
                  <c:v>0</c:v>
                </c:pt>
                <c:pt idx="7">
                  <c:v>0</c:v>
                </c:pt>
                <c:pt idx="8">
                  <c:v>0.46066370987955918</c:v>
                </c:pt>
                <c:pt idx="9">
                  <c:v>0.23382209759962425</c:v>
                </c:pt>
                <c:pt idx="10">
                  <c:v>0.27448645077355166</c:v>
                </c:pt>
                <c:pt idx="11">
                  <c:v>0.24034390770252326</c:v>
                </c:pt>
                <c:pt idx="12">
                  <c:v>0.31119229432838003</c:v>
                </c:pt>
                <c:pt idx="13">
                  <c:v>0.37036705049796176</c:v>
                </c:pt>
                <c:pt idx="14">
                  <c:v>0.46304899568934182</c:v>
                </c:pt>
                <c:pt idx="15">
                  <c:v>0.26741989559591312</c:v>
                </c:pt>
                <c:pt idx="16">
                  <c:v>0.41643493752234273</c:v>
                </c:pt>
                <c:pt idx="17">
                  <c:v>0.18818191908114837</c:v>
                </c:pt>
                <c:pt idx="18">
                  <c:v>0.27937827281180072</c:v>
                </c:pt>
                <c:pt idx="19">
                  <c:v>0.37459894096582291</c:v>
                </c:pt>
                <c:pt idx="20">
                  <c:v>0</c:v>
                </c:pt>
                <c:pt idx="21">
                  <c:v>0</c:v>
                </c:pt>
                <c:pt idx="22">
                  <c:v>0</c:v>
                </c:pt>
                <c:pt idx="23">
                  <c:v>0</c:v>
                </c:pt>
                <c:pt idx="24">
                  <c:v>0</c:v>
                </c:pt>
                <c:pt idx="25">
                  <c:v>0</c:v>
                </c:pt>
                <c:pt idx="26">
                  <c:v>0</c:v>
                </c:pt>
                <c:pt idx="27">
                  <c:v>0</c:v>
                </c:pt>
              </c:numCache>
            </c:numRef>
          </c:val>
        </c:ser>
        <c:ser>
          <c:idx val="0"/>
          <c:order val="1"/>
          <c:tx>
            <c:strRef>
              <c:f>Demographics!$D$33</c:f>
              <c:strCache>
                <c:ptCount val="1"/>
                <c:pt idx="0">
                  <c:v>May 19/20</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Demographics!$D$34:$D$61</c:f>
              <c:strCache>
                <c:ptCount val="28"/>
                <c:pt idx="0">
                  <c:v>Male</c:v>
                </c:pt>
                <c:pt idx="1">
                  <c:v>Female</c:v>
                </c:pt>
                <c:pt idx="2">
                  <c:v>16-34</c:v>
                </c:pt>
                <c:pt idx="3">
                  <c:v>35-54</c:v>
                </c:pt>
                <c:pt idx="4">
                  <c:v>55-74</c:v>
                </c:pt>
                <c:pt idx="5">
                  <c:v>75+</c:v>
                </c:pt>
                <c:pt idx="6">
                  <c:v>16-54</c:v>
                </c:pt>
                <c:pt idx="7">
                  <c:v>55+</c:v>
                </c:pt>
                <c:pt idx="8">
                  <c:v>LT limiting disability</c:v>
                </c:pt>
                <c:pt idx="9">
                  <c:v>No LT limiting disability</c:v>
                </c:pt>
                <c:pt idx="10">
                  <c:v>White British</c:v>
                </c:pt>
                <c:pt idx="11">
                  <c:v>White Other</c:v>
                </c:pt>
                <c:pt idx="12">
                  <c:v>South Asian</c:v>
                </c:pt>
                <c:pt idx="13">
                  <c:v>Black</c:v>
                </c:pt>
                <c:pt idx="14">
                  <c:v>Chinese</c:v>
                </c:pt>
                <c:pt idx="15">
                  <c:v>Mixed</c:v>
                </c:pt>
                <c:pt idx="16">
                  <c:v>Other ethnic group</c:v>
                </c:pt>
                <c:pt idx="17">
                  <c:v>NS SEC 1-2</c:v>
                </c:pt>
                <c:pt idx="18">
                  <c:v>NS SEC 3-5</c:v>
                </c:pt>
                <c:pt idx="19">
                  <c:v>NS SEC 6-8</c:v>
                </c:pt>
                <c:pt idx="20">
                  <c:v>NS SEC 9</c:v>
                </c:pt>
                <c:pt idx="21">
                  <c:v>Working full or part time</c:v>
                </c:pt>
                <c:pt idx="22">
                  <c:v>Unemployed</c:v>
                </c:pt>
                <c:pt idx="23">
                  <c:v>Not working - retired</c:v>
                </c:pt>
                <c:pt idx="24">
                  <c:v>Not working - looking after house/children</c:v>
                </c:pt>
                <c:pt idx="25">
                  <c:v>Not working - long term sick or disabled</c:v>
                </c:pt>
                <c:pt idx="26">
                  <c:v>Student full or part time</c:v>
                </c:pt>
                <c:pt idx="27">
                  <c:v>Other working status</c:v>
                </c:pt>
              </c:strCache>
            </c:strRef>
          </c:cat>
          <c:val>
            <c:numRef>
              <c:f>Demographics!$E$34:$E$61</c:f>
              <c:numCache>
                <c:formatCode>0.0%</c:formatCode>
                <c:ptCount val="28"/>
                <c:pt idx="0">
                  <c:v>0.26920764912802153</c:v>
                </c:pt>
                <c:pt idx="1">
                  <c:v>0.28831874218203785</c:v>
                </c:pt>
                <c:pt idx="2">
                  <c:v>0.22244125432777362</c:v>
                </c:pt>
                <c:pt idx="3">
                  <c:v>0.26853030429921915</c:v>
                </c:pt>
                <c:pt idx="4">
                  <c:v>0.30360978763402757</c:v>
                </c:pt>
                <c:pt idx="5">
                  <c:v>0.50128737446352789</c:v>
                </c:pt>
                <c:pt idx="6">
                  <c:v>0.24511286682878677</c:v>
                </c:pt>
                <c:pt idx="7">
                  <c:v>0.35216741633460524</c:v>
                </c:pt>
                <c:pt idx="8">
                  <c:v>0.43918228516997332</c:v>
                </c:pt>
                <c:pt idx="9">
                  <c:v>0.23800147179202341</c:v>
                </c:pt>
                <c:pt idx="10">
                  <c:v>0.25792704646842401</c:v>
                </c:pt>
                <c:pt idx="11">
                  <c:v>0.23451185293009758</c:v>
                </c:pt>
                <c:pt idx="12">
                  <c:v>0.38795953446431936</c:v>
                </c:pt>
                <c:pt idx="13">
                  <c:v>0.4616999328048253</c:v>
                </c:pt>
                <c:pt idx="14">
                  <c:v>0.2902565754492758</c:v>
                </c:pt>
                <c:pt idx="15">
                  <c:v>0.22791204366454973</c:v>
                </c:pt>
                <c:pt idx="16">
                  <c:v>0.30565360374688755</c:v>
                </c:pt>
                <c:pt idx="17">
                  <c:v>0.18317782224902929</c:v>
                </c:pt>
                <c:pt idx="18">
                  <c:v>0.28244726080064925</c:v>
                </c:pt>
                <c:pt idx="19">
                  <c:v>0.37748199599458082</c:v>
                </c:pt>
                <c:pt idx="20">
                  <c:v>0.24317385042834799</c:v>
                </c:pt>
                <c:pt idx="21">
                  <c:v>0.23056483031451805</c:v>
                </c:pt>
                <c:pt idx="22">
                  <c:v>0.35396066865033904</c:v>
                </c:pt>
                <c:pt idx="23">
                  <c:v>0.37178137005472528</c:v>
                </c:pt>
                <c:pt idx="24">
                  <c:v>0.40256984428911602</c:v>
                </c:pt>
                <c:pt idx="25">
                  <c:v>0.59185193463452856</c:v>
                </c:pt>
                <c:pt idx="26">
                  <c:v>0.18402539280883567</c:v>
                </c:pt>
                <c:pt idx="27">
                  <c:v>0.41806118111244123</c:v>
                </c:pt>
              </c:numCache>
            </c:numRef>
          </c:val>
        </c:ser>
        <c:dLbls>
          <c:dLblPos val="outEnd"/>
          <c:showLegendKey val="0"/>
          <c:showVal val="1"/>
          <c:showCatName val="0"/>
          <c:showSerName val="0"/>
          <c:showPercent val="0"/>
          <c:showBubbleSize val="0"/>
        </c:dLbls>
        <c:gapWidth val="50"/>
        <c:axId val="705016616"/>
        <c:axId val="705017008"/>
      </c:barChart>
      <c:catAx>
        <c:axId val="705016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17008"/>
        <c:crosses val="autoZero"/>
        <c:auto val="1"/>
        <c:lblAlgn val="ctr"/>
        <c:lblOffset val="100"/>
        <c:noMultiLvlLbl val="0"/>
      </c:catAx>
      <c:valAx>
        <c:axId val="705017008"/>
        <c:scaling>
          <c:orientation val="minMax"/>
        </c:scaling>
        <c:delete val="1"/>
        <c:axPos val="l"/>
        <c:numFmt formatCode="0.0%" sourceLinked="1"/>
        <c:majorTickMark val="none"/>
        <c:minorTickMark val="none"/>
        <c:tickLblPos val="nextTo"/>
        <c:crossAx val="705016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Walking!$E$41</c:f>
              <c:strCache>
                <c:ptCount val="1"/>
                <c:pt idx="0">
                  <c:v>Walking for leisure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Walking!$D$42:$D$45</c:f>
              <c:strCache>
                <c:ptCount val="4"/>
                <c:pt idx="0">
                  <c:v>Nov 17-18</c:v>
                </c:pt>
                <c:pt idx="1">
                  <c:v>May 18-19</c:v>
                </c:pt>
                <c:pt idx="2">
                  <c:v>Nov 18-19</c:v>
                </c:pt>
                <c:pt idx="3">
                  <c:v>May 19-20</c:v>
                </c:pt>
              </c:strCache>
            </c:strRef>
          </c:cat>
          <c:val>
            <c:numRef>
              <c:f>Walking!$E$42:$E$45</c:f>
              <c:numCache>
                <c:formatCode>0.0%</c:formatCode>
                <c:ptCount val="4"/>
                <c:pt idx="0">
                  <c:v>0.38894428629363753</c:v>
                </c:pt>
                <c:pt idx="1">
                  <c:v>0.40060000000000001</c:v>
                </c:pt>
                <c:pt idx="2">
                  <c:v>0.40530100037052391</c:v>
                </c:pt>
                <c:pt idx="3">
                  <c:v>0.40543091476720522</c:v>
                </c:pt>
              </c:numCache>
            </c:numRef>
          </c:val>
        </c:ser>
        <c:ser>
          <c:idx val="1"/>
          <c:order val="1"/>
          <c:tx>
            <c:strRef>
              <c:f>Walking!$F$41</c:f>
              <c:strCache>
                <c:ptCount val="1"/>
                <c:pt idx="0">
                  <c:v>Walking for travel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Walking!$D$42:$D$45</c:f>
              <c:strCache>
                <c:ptCount val="4"/>
                <c:pt idx="0">
                  <c:v>Nov 17-18</c:v>
                </c:pt>
                <c:pt idx="1">
                  <c:v>May 18-19</c:v>
                </c:pt>
                <c:pt idx="2">
                  <c:v>Nov 18-19</c:v>
                </c:pt>
                <c:pt idx="3">
                  <c:v>May 19-20</c:v>
                </c:pt>
              </c:strCache>
            </c:strRef>
          </c:cat>
          <c:val>
            <c:numRef>
              <c:f>Walking!$F$42:$F$45</c:f>
              <c:numCache>
                <c:formatCode>0.0%</c:formatCode>
                <c:ptCount val="4"/>
                <c:pt idx="0">
                  <c:v>0.32786549592961367</c:v>
                </c:pt>
                <c:pt idx="1">
                  <c:v>0.33289999999999997</c:v>
                </c:pt>
                <c:pt idx="2">
                  <c:v>0.33964720666925524</c:v>
                </c:pt>
                <c:pt idx="3">
                  <c:v>0.30565360374688755</c:v>
                </c:pt>
              </c:numCache>
            </c:numRef>
          </c:val>
        </c:ser>
        <c:ser>
          <c:idx val="2"/>
          <c:order val="2"/>
          <c:tx>
            <c:strRef>
              <c:f>Walking!$G$41</c:f>
              <c:strCache>
                <c:ptCount val="1"/>
                <c:pt idx="0">
                  <c:v>All walking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Walking!$D$42:$D$45</c:f>
              <c:strCache>
                <c:ptCount val="4"/>
                <c:pt idx="0">
                  <c:v>Nov 17-18</c:v>
                </c:pt>
                <c:pt idx="1">
                  <c:v>May 18-19</c:v>
                </c:pt>
                <c:pt idx="2">
                  <c:v>Nov 18-19</c:v>
                </c:pt>
                <c:pt idx="3">
                  <c:v>May 19-20</c:v>
                </c:pt>
              </c:strCache>
            </c:strRef>
          </c:cat>
          <c:val>
            <c:numRef>
              <c:f>Walking!$G$42:$G$45</c:f>
              <c:numCache>
                <c:formatCode>0.0%</c:formatCode>
                <c:ptCount val="4"/>
                <c:pt idx="0">
                  <c:v>0.57966027316722291</c:v>
                </c:pt>
                <c:pt idx="1">
                  <c:v>0.58799999999999997</c:v>
                </c:pt>
                <c:pt idx="2">
                  <c:v>0.59750143398389743</c:v>
                </c:pt>
                <c:pt idx="3">
                  <c:v>0.56733255801786553</c:v>
                </c:pt>
              </c:numCache>
            </c:numRef>
          </c:val>
        </c:ser>
        <c:dLbls>
          <c:showLegendKey val="0"/>
          <c:showVal val="0"/>
          <c:showCatName val="0"/>
          <c:showSerName val="0"/>
          <c:showPercent val="0"/>
          <c:showBubbleSize val="0"/>
        </c:dLbls>
        <c:gapWidth val="50"/>
        <c:axId val="705018184"/>
        <c:axId val="705018576"/>
      </c:barChart>
      <c:catAx>
        <c:axId val="70501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18576"/>
        <c:crosses val="autoZero"/>
        <c:auto val="1"/>
        <c:lblAlgn val="ctr"/>
        <c:lblOffset val="100"/>
        <c:noMultiLvlLbl val="0"/>
      </c:catAx>
      <c:valAx>
        <c:axId val="705018576"/>
        <c:scaling>
          <c:orientation val="minMax"/>
        </c:scaling>
        <c:delete val="1"/>
        <c:axPos val="l"/>
        <c:numFmt formatCode="0.0%" sourceLinked="1"/>
        <c:majorTickMark val="none"/>
        <c:minorTickMark val="none"/>
        <c:tickLblPos val="nextTo"/>
        <c:crossAx val="705018184"/>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705012304"/>
        <c:axId val="705012696"/>
      </c:barChart>
      <c:catAx>
        <c:axId val="7050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12696"/>
        <c:crosses val="autoZero"/>
        <c:auto val="1"/>
        <c:lblAlgn val="ctr"/>
        <c:lblOffset val="100"/>
        <c:noMultiLvlLbl val="0"/>
      </c:catAx>
      <c:valAx>
        <c:axId val="705012696"/>
        <c:scaling>
          <c:orientation val="minMax"/>
        </c:scaling>
        <c:delete val="1"/>
        <c:axPos val="l"/>
        <c:numFmt formatCode="0.0%" sourceLinked="1"/>
        <c:majorTickMark val="none"/>
        <c:minorTickMark val="none"/>
        <c:tickLblPos val="nextTo"/>
        <c:crossAx val="705012304"/>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Volunteering!$B$40</c:f>
              <c:strCache>
                <c:ptCount val="1"/>
                <c:pt idx="0">
                  <c:v>GM</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Volunteering!$D$41:$D$47</c:f>
              <c:strCache>
                <c:ptCount val="7"/>
                <c:pt idx="0">
                  <c:v>May 16-17</c:v>
                </c:pt>
                <c:pt idx="1">
                  <c:v>Nov 16-17</c:v>
                </c:pt>
                <c:pt idx="2">
                  <c:v>May 17-18</c:v>
                </c:pt>
                <c:pt idx="3">
                  <c:v>Nov 17-18</c:v>
                </c:pt>
                <c:pt idx="4">
                  <c:v>May 18-19</c:v>
                </c:pt>
                <c:pt idx="5">
                  <c:v>Nov 18-19</c:v>
                </c:pt>
                <c:pt idx="6">
                  <c:v>May 19-20</c:v>
                </c:pt>
              </c:strCache>
            </c:strRef>
          </c:cat>
          <c:val>
            <c:numRef>
              <c:f>Volunteering!$E$41:$E$47</c:f>
              <c:numCache>
                <c:formatCode>0.0%</c:formatCode>
                <c:ptCount val="7"/>
                <c:pt idx="0">
                  <c:v>0.14549999999999999</c:v>
                </c:pt>
                <c:pt idx="1">
                  <c:v>0.1368</c:v>
                </c:pt>
                <c:pt idx="2">
                  <c:v>0.13389999999999999</c:v>
                </c:pt>
                <c:pt idx="3">
                  <c:v>0.1195</c:v>
                </c:pt>
                <c:pt idx="4">
                  <c:v>0.10730000000000001</c:v>
                </c:pt>
                <c:pt idx="5">
                  <c:v>0.11070000000000001</c:v>
                </c:pt>
                <c:pt idx="6">
                  <c:v>0.1113</c:v>
                </c:pt>
              </c:numCache>
            </c:numRef>
          </c:val>
          <c:smooth val="0"/>
        </c:ser>
        <c:ser>
          <c:idx val="1"/>
          <c:order val="1"/>
          <c:tx>
            <c:strRef>
              <c:f>Volunteering!$B$48</c:f>
              <c:strCache>
                <c:ptCount val="1"/>
                <c:pt idx="0">
                  <c:v>England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Volunteering!$D$41:$D$47</c:f>
              <c:strCache>
                <c:ptCount val="7"/>
                <c:pt idx="0">
                  <c:v>May 16-17</c:v>
                </c:pt>
                <c:pt idx="1">
                  <c:v>Nov 16-17</c:v>
                </c:pt>
                <c:pt idx="2">
                  <c:v>May 17-18</c:v>
                </c:pt>
                <c:pt idx="3">
                  <c:v>Nov 17-18</c:v>
                </c:pt>
                <c:pt idx="4">
                  <c:v>May 18-19</c:v>
                </c:pt>
                <c:pt idx="5">
                  <c:v>Nov 18-19</c:v>
                </c:pt>
                <c:pt idx="6">
                  <c:v>May 19-20</c:v>
                </c:pt>
              </c:strCache>
            </c:strRef>
          </c:cat>
          <c:val>
            <c:numRef>
              <c:f>Volunteering!$E$50:$E$56</c:f>
              <c:numCache>
                <c:formatCode>0.0%</c:formatCode>
                <c:ptCount val="7"/>
                <c:pt idx="0">
                  <c:v>0.14899999999999999</c:v>
                </c:pt>
                <c:pt idx="1">
                  <c:v>0.14749999999999999</c:v>
                </c:pt>
                <c:pt idx="2">
                  <c:v>0.13930000000000001</c:v>
                </c:pt>
                <c:pt idx="3">
                  <c:v>0.1386</c:v>
                </c:pt>
                <c:pt idx="4">
                  <c:v>0.13650000000000001</c:v>
                </c:pt>
                <c:pt idx="5">
                  <c:v>0.13350000000000001</c:v>
                </c:pt>
                <c:pt idx="6">
                  <c:v>0.13469999999999999</c:v>
                </c:pt>
              </c:numCache>
            </c:numRef>
          </c:val>
          <c:smooth val="0"/>
        </c:ser>
        <c:dLbls>
          <c:showLegendKey val="0"/>
          <c:showVal val="1"/>
          <c:showCatName val="0"/>
          <c:showSerName val="0"/>
          <c:showPercent val="0"/>
          <c:showBubbleSize val="0"/>
        </c:dLbls>
        <c:smooth val="0"/>
        <c:axId val="705264648"/>
        <c:axId val="705263472"/>
      </c:lineChart>
      <c:catAx>
        <c:axId val="705264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263472"/>
        <c:crosses val="autoZero"/>
        <c:auto val="1"/>
        <c:lblAlgn val="ctr"/>
        <c:lblOffset val="100"/>
        <c:noMultiLvlLbl val="0"/>
      </c:catAx>
      <c:valAx>
        <c:axId val="705263472"/>
        <c:scaling>
          <c:orientation val="minMax"/>
        </c:scaling>
        <c:delete val="1"/>
        <c:axPos val="l"/>
        <c:numFmt formatCode="0.0%" sourceLinked="1"/>
        <c:majorTickMark val="none"/>
        <c:minorTickMark val="none"/>
        <c:tickLblPos val="nextTo"/>
        <c:crossAx val="705264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705265040"/>
        <c:axId val="705261904"/>
      </c:barChart>
      <c:catAx>
        <c:axId val="70526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261904"/>
        <c:crosses val="autoZero"/>
        <c:auto val="1"/>
        <c:lblAlgn val="ctr"/>
        <c:lblOffset val="100"/>
        <c:noMultiLvlLbl val="0"/>
      </c:catAx>
      <c:valAx>
        <c:axId val="705261904"/>
        <c:scaling>
          <c:orientation val="minMax"/>
        </c:scaling>
        <c:delete val="1"/>
        <c:axPos val="l"/>
        <c:numFmt formatCode="0.0%" sourceLinked="1"/>
        <c:majorTickMark val="none"/>
        <c:minorTickMark val="none"/>
        <c:tickLblPos val="nextTo"/>
        <c:crossAx val="705265040"/>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Volunteering Rate</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'Volunteering Comparision'!$B$40:$B$51</c:f>
              <c:strCache>
                <c:ptCount val="12"/>
                <c:pt idx="0">
                  <c:v>England</c:v>
                </c:pt>
                <c:pt idx="1">
                  <c:v>GM</c:v>
                </c:pt>
                <c:pt idx="2">
                  <c:v>Bolton</c:v>
                </c:pt>
                <c:pt idx="3">
                  <c:v>Bury</c:v>
                </c:pt>
                <c:pt idx="4">
                  <c:v>Manchester</c:v>
                </c:pt>
                <c:pt idx="5">
                  <c:v>Oldham</c:v>
                </c:pt>
                <c:pt idx="6">
                  <c:v>Rochdale</c:v>
                </c:pt>
                <c:pt idx="7">
                  <c:v>Salford</c:v>
                </c:pt>
                <c:pt idx="8">
                  <c:v>Stockport</c:v>
                </c:pt>
                <c:pt idx="9">
                  <c:v>Tameside</c:v>
                </c:pt>
                <c:pt idx="10">
                  <c:v>Trafford</c:v>
                </c:pt>
                <c:pt idx="11">
                  <c:v>Wigan</c:v>
                </c:pt>
              </c:strCache>
            </c:strRef>
          </c:cat>
          <c:val>
            <c:numRef>
              <c:f>'Volunteering Comparision'!$C$40:$C$51</c:f>
              <c:numCache>
                <c:formatCode>0.0%</c:formatCode>
                <c:ptCount val="12"/>
                <c:pt idx="0">
                  <c:v>0.13469999999999999</c:v>
                </c:pt>
                <c:pt idx="1">
                  <c:v>0.1113</c:v>
                </c:pt>
                <c:pt idx="2">
                  <c:v>0</c:v>
                </c:pt>
                <c:pt idx="3">
                  <c:v>0</c:v>
                </c:pt>
                <c:pt idx="4">
                  <c:v>0</c:v>
                </c:pt>
                <c:pt idx="5">
                  <c:v>0</c:v>
                </c:pt>
                <c:pt idx="6">
                  <c:v>0</c:v>
                </c:pt>
                <c:pt idx="7">
                  <c:v>0</c:v>
                </c:pt>
                <c:pt idx="8">
                  <c:v>0</c:v>
                </c:pt>
                <c:pt idx="9">
                  <c:v>0</c:v>
                </c:pt>
                <c:pt idx="10">
                  <c:v>0</c:v>
                </c:pt>
                <c:pt idx="11">
                  <c:v>0</c:v>
                </c:pt>
              </c:numCache>
            </c:numRef>
          </c:val>
        </c:ser>
        <c:dLbls>
          <c:dLblPos val="outEnd"/>
          <c:showLegendKey val="0"/>
          <c:showVal val="1"/>
          <c:showCatName val="0"/>
          <c:showSerName val="0"/>
          <c:showPercent val="0"/>
          <c:showBubbleSize val="0"/>
        </c:dLbls>
        <c:gapWidth val="50"/>
        <c:axId val="705261512"/>
        <c:axId val="705268568"/>
      </c:barChart>
      <c:catAx>
        <c:axId val="705261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268568"/>
        <c:crosses val="autoZero"/>
        <c:auto val="1"/>
        <c:lblAlgn val="ctr"/>
        <c:lblOffset val="100"/>
        <c:noMultiLvlLbl val="0"/>
      </c:catAx>
      <c:valAx>
        <c:axId val="705268568"/>
        <c:scaling>
          <c:orientation val="minMax"/>
        </c:scaling>
        <c:delete val="1"/>
        <c:axPos val="l"/>
        <c:numFmt formatCode="0.0%" sourceLinked="1"/>
        <c:majorTickMark val="none"/>
        <c:minorTickMark val="none"/>
        <c:tickLblPos val="nextTo"/>
        <c:crossAx val="7052615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2"/>
          <c:order val="0"/>
          <c:tx>
            <c:strRef>
              <c:f>'Bar Graphs CYP'!$G$36</c:f>
              <c:strCache>
                <c:ptCount val="1"/>
                <c:pt idx="0">
                  <c:v>Less Active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Graphs CYP'!$D$37:$D$38</c:f>
              <c:strCache>
                <c:ptCount val="2"/>
                <c:pt idx="0">
                  <c:v>2017-18</c:v>
                </c:pt>
                <c:pt idx="1">
                  <c:v>2018-19</c:v>
                </c:pt>
              </c:strCache>
            </c:strRef>
          </c:cat>
          <c:val>
            <c:numRef>
              <c:f>'Bar Graphs CYP'!$G$37:$G$38</c:f>
              <c:numCache>
                <c:formatCode>0.0%</c:formatCode>
                <c:ptCount val="2"/>
                <c:pt idx="0">
                  <c:v>0.35780000000000001</c:v>
                </c:pt>
                <c:pt idx="1">
                  <c:v>0.31850000000000001</c:v>
                </c:pt>
              </c:numCache>
            </c:numRef>
          </c:val>
        </c:ser>
        <c:ser>
          <c:idx val="1"/>
          <c:order val="1"/>
          <c:tx>
            <c:strRef>
              <c:f>'Bar Graphs CYP'!$F$36</c:f>
              <c:strCache>
                <c:ptCount val="1"/>
                <c:pt idx="0">
                  <c:v>Fairly Active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Graphs CYP'!$D$37:$D$38</c:f>
              <c:strCache>
                <c:ptCount val="2"/>
                <c:pt idx="0">
                  <c:v>2017-18</c:v>
                </c:pt>
                <c:pt idx="1">
                  <c:v>2018-19</c:v>
                </c:pt>
              </c:strCache>
            </c:strRef>
          </c:cat>
          <c:val>
            <c:numRef>
              <c:f>'Bar Graphs CYP'!$F$37:$F$38</c:f>
              <c:numCache>
                <c:formatCode>0.0%</c:formatCode>
                <c:ptCount val="2"/>
                <c:pt idx="0">
                  <c:v>0.2432</c:v>
                </c:pt>
                <c:pt idx="1">
                  <c:v>0.22989999999999999</c:v>
                </c:pt>
              </c:numCache>
            </c:numRef>
          </c:val>
        </c:ser>
        <c:ser>
          <c:idx val="0"/>
          <c:order val="2"/>
          <c:tx>
            <c:strRef>
              <c:f>'Bar Graphs CYP'!$E$36</c:f>
              <c:strCache>
                <c:ptCount val="1"/>
                <c:pt idx="0">
                  <c:v>Active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Graphs CYP'!$D$37:$D$38</c:f>
              <c:strCache>
                <c:ptCount val="2"/>
                <c:pt idx="0">
                  <c:v>2017-18</c:v>
                </c:pt>
                <c:pt idx="1">
                  <c:v>2018-19</c:v>
                </c:pt>
              </c:strCache>
            </c:strRef>
          </c:cat>
          <c:val>
            <c:numRef>
              <c:f>'Bar Graphs CYP'!$E$37:$E$38</c:f>
              <c:numCache>
                <c:formatCode>0.0%</c:formatCode>
                <c:ptCount val="2"/>
                <c:pt idx="0">
                  <c:v>0.39900000000000002</c:v>
                </c:pt>
                <c:pt idx="1">
                  <c:v>0.45150000000000001</c:v>
                </c:pt>
              </c:numCache>
            </c:numRef>
          </c:val>
        </c:ser>
        <c:dLbls>
          <c:showLegendKey val="0"/>
          <c:showVal val="0"/>
          <c:showCatName val="0"/>
          <c:showSerName val="0"/>
          <c:showPercent val="0"/>
          <c:showBubbleSize val="0"/>
        </c:dLbls>
        <c:gapWidth val="50"/>
        <c:overlap val="100"/>
        <c:axId val="705265824"/>
        <c:axId val="705263080"/>
      </c:barChart>
      <c:catAx>
        <c:axId val="70526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263080"/>
        <c:crosses val="autoZero"/>
        <c:auto val="1"/>
        <c:lblAlgn val="ctr"/>
        <c:lblOffset val="100"/>
        <c:noMultiLvlLbl val="0"/>
      </c:catAx>
      <c:valAx>
        <c:axId val="705263080"/>
        <c:scaling>
          <c:orientation val="minMax"/>
        </c:scaling>
        <c:delete val="1"/>
        <c:axPos val="l"/>
        <c:numFmt formatCode="0.0%" sourceLinked="1"/>
        <c:majorTickMark val="none"/>
        <c:minorTickMark val="none"/>
        <c:tickLblPos val="nextTo"/>
        <c:crossAx val="705265824"/>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705263864"/>
        <c:axId val="705265432"/>
      </c:barChart>
      <c:catAx>
        <c:axId val="705263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265432"/>
        <c:crosses val="autoZero"/>
        <c:auto val="1"/>
        <c:lblAlgn val="ctr"/>
        <c:lblOffset val="100"/>
        <c:noMultiLvlLbl val="0"/>
      </c:catAx>
      <c:valAx>
        <c:axId val="705265432"/>
        <c:scaling>
          <c:orientation val="minMax"/>
        </c:scaling>
        <c:delete val="1"/>
        <c:axPos val="l"/>
        <c:numFmt formatCode="0.0%" sourceLinked="1"/>
        <c:majorTickMark val="none"/>
        <c:minorTickMark val="none"/>
        <c:tickLblPos val="nextTo"/>
        <c:crossAx val="705263864"/>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'Line Graphs CYP'!$B$41</c:f>
              <c:strCache>
                <c:ptCount val="1"/>
                <c:pt idx="0">
                  <c:v>GM</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'Line Graphs CYP'!$D$42:$D$43</c:f>
              <c:strCache>
                <c:ptCount val="2"/>
                <c:pt idx="0">
                  <c:v>2017-18</c:v>
                </c:pt>
                <c:pt idx="1">
                  <c:v>2018-19</c:v>
                </c:pt>
              </c:strCache>
            </c:strRef>
          </c:cat>
          <c:val>
            <c:numRef>
              <c:f>'Line Graphs CYP'!$H$42:$H$43</c:f>
              <c:numCache>
                <c:formatCode>0.0%</c:formatCode>
                <c:ptCount val="2"/>
                <c:pt idx="0">
                  <c:v>0.64219999999999999</c:v>
                </c:pt>
                <c:pt idx="1">
                  <c:v>0.68140000000000001</c:v>
                </c:pt>
              </c:numCache>
            </c:numRef>
          </c:val>
          <c:smooth val="0"/>
        </c:ser>
        <c:ser>
          <c:idx val="1"/>
          <c:order val="1"/>
          <c:tx>
            <c:strRef>
              <c:f>'Line Graphs CYP'!$B$45</c:f>
              <c:strCache>
                <c:ptCount val="1"/>
                <c:pt idx="0">
                  <c:v>England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'Line Graphs CYP'!$H$46:$H$47</c:f>
              <c:numCache>
                <c:formatCode>0.0%</c:formatCode>
                <c:ptCount val="2"/>
                <c:pt idx="0">
                  <c:v>0.6714</c:v>
                </c:pt>
                <c:pt idx="1">
                  <c:v>0.71009999999999995</c:v>
                </c:pt>
              </c:numCache>
            </c:numRef>
          </c:val>
          <c:smooth val="0"/>
        </c:ser>
        <c:dLbls>
          <c:showLegendKey val="0"/>
          <c:showVal val="1"/>
          <c:showCatName val="0"/>
          <c:showSerName val="0"/>
          <c:showPercent val="0"/>
          <c:showBubbleSize val="0"/>
        </c:dLbls>
        <c:smooth val="0"/>
        <c:axId val="705267000"/>
        <c:axId val="705268960"/>
      </c:lineChart>
      <c:catAx>
        <c:axId val="705267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268960"/>
        <c:crosses val="autoZero"/>
        <c:auto val="1"/>
        <c:lblAlgn val="ctr"/>
        <c:lblOffset val="100"/>
        <c:noMultiLvlLbl val="0"/>
      </c:catAx>
      <c:valAx>
        <c:axId val="705268960"/>
        <c:scaling>
          <c:orientation val="minMax"/>
        </c:scaling>
        <c:delete val="1"/>
        <c:axPos val="l"/>
        <c:numFmt formatCode="0.0%" sourceLinked="1"/>
        <c:majorTickMark val="none"/>
        <c:minorTickMark val="none"/>
        <c:tickLblPos val="nextTo"/>
        <c:crossAx val="705267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707360552"/>
        <c:axId val="707356632"/>
      </c:barChart>
      <c:catAx>
        <c:axId val="707360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356632"/>
        <c:crosses val="autoZero"/>
        <c:auto val="1"/>
        <c:lblAlgn val="ctr"/>
        <c:lblOffset val="100"/>
        <c:noMultiLvlLbl val="0"/>
      </c:catAx>
      <c:valAx>
        <c:axId val="707356632"/>
        <c:scaling>
          <c:orientation val="minMax"/>
        </c:scaling>
        <c:delete val="1"/>
        <c:axPos val="l"/>
        <c:numFmt formatCode="0.0%" sourceLinked="1"/>
        <c:majorTickMark val="none"/>
        <c:minorTickMark val="none"/>
        <c:tickLblPos val="nextTo"/>
        <c:crossAx val="707360552"/>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Inactive Nov 18/19</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'Inequalities Spare'!$D$37:$D$40</c:f>
              <c:strCache>
                <c:ptCount val="4"/>
                <c:pt idx="0">
                  <c:v>16-34</c:v>
                </c:pt>
                <c:pt idx="1">
                  <c:v>35-54</c:v>
                </c:pt>
                <c:pt idx="2">
                  <c:v>55-74</c:v>
                </c:pt>
                <c:pt idx="3">
                  <c:v>75+</c:v>
                </c:pt>
              </c:strCache>
            </c:strRef>
          </c:cat>
          <c:val>
            <c:numRef>
              <c:f>'Inequalities Spare'!$E$37:$E$40</c:f>
              <c:numCache>
                <c:formatCode>0.0%</c:formatCode>
                <c:ptCount val="4"/>
                <c:pt idx="0">
                  <c:v>9.0442332242039014E-2</c:v>
                </c:pt>
                <c:pt idx="1">
                  <c:v>0.24835468580352213</c:v>
                </c:pt>
                <c:pt idx="2">
                  <c:v>0.27317695328717839</c:v>
                </c:pt>
                <c:pt idx="3">
                  <c:v>0.21369982720640238</c:v>
                </c:pt>
              </c:numCache>
            </c:numRef>
          </c:val>
        </c:ser>
        <c:ser>
          <c:idx val="1"/>
          <c:order val="1"/>
          <c:tx>
            <c:v>Inactive Nov 15/16</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'Inequalities Spare'!$E$44:$E$47</c:f>
              <c:numCache>
                <c:formatCode>0.0%</c:formatCode>
                <c:ptCount val="4"/>
                <c:pt idx="0">
                  <c:v>0</c:v>
                </c:pt>
                <c:pt idx="1">
                  <c:v>0.26831139673792948</c:v>
                </c:pt>
                <c:pt idx="2">
                  <c:v>0.299526842200245</c:v>
                </c:pt>
                <c:pt idx="3">
                  <c:v>0.19827008887097503</c:v>
                </c:pt>
              </c:numCache>
            </c:numRef>
          </c:val>
        </c:ser>
        <c:dLbls>
          <c:dLblPos val="outEnd"/>
          <c:showLegendKey val="0"/>
          <c:showVal val="1"/>
          <c:showCatName val="0"/>
          <c:showSerName val="0"/>
          <c:showPercent val="0"/>
          <c:showBubbleSize val="0"/>
        </c:dLbls>
        <c:gapWidth val="50"/>
        <c:axId val="707356240"/>
        <c:axId val="707360944"/>
      </c:barChart>
      <c:catAx>
        <c:axId val="70735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360944"/>
        <c:crosses val="autoZero"/>
        <c:auto val="1"/>
        <c:lblAlgn val="ctr"/>
        <c:lblOffset val="100"/>
        <c:noMultiLvlLbl val="0"/>
      </c:catAx>
      <c:valAx>
        <c:axId val="707360944"/>
        <c:scaling>
          <c:orientation val="minMax"/>
        </c:scaling>
        <c:delete val="1"/>
        <c:axPos val="l"/>
        <c:numFmt formatCode="0.0%" sourceLinked="1"/>
        <c:majorTickMark val="none"/>
        <c:minorTickMark val="none"/>
        <c:tickLblPos val="nextTo"/>
        <c:crossAx val="70735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707355456"/>
        <c:axId val="707359376"/>
      </c:barChart>
      <c:catAx>
        <c:axId val="70735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359376"/>
        <c:crosses val="autoZero"/>
        <c:auto val="1"/>
        <c:lblAlgn val="ctr"/>
        <c:lblOffset val="100"/>
        <c:noMultiLvlLbl val="0"/>
      </c:catAx>
      <c:valAx>
        <c:axId val="707359376"/>
        <c:scaling>
          <c:orientation val="minMax"/>
        </c:scaling>
        <c:delete val="1"/>
        <c:axPos val="l"/>
        <c:numFmt formatCode="0.0%" sourceLinked="1"/>
        <c:majorTickMark val="none"/>
        <c:minorTickMark val="none"/>
        <c:tickLblPos val="nextTo"/>
        <c:crossAx val="707355456"/>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v>Inactive 2017/18</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'Inequalities CYP'!$D$43:$D$48</c:f>
              <c:strCache>
                <c:ptCount val="2"/>
                <c:pt idx="0">
                  <c:v>Boy</c:v>
                </c:pt>
                <c:pt idx="1">
                  <c:v>Girl</c:v>
                </c:pt>
              </c:strCache>
            </c:strRef>
          </c:cat>
          <c:val>
            <c:numRef>
              <c:f>'Inequalities CYP'!$E$52:$E$57</c:f>
              <c:numCache>
                <c:formatCode>0.0%</c:formatCode>
                <c:ptCount val="6"/>
                <c:pt idx="0">
                  <c:v>0.34356569361219885</c:v>
                </c:pt>
                <c:pt idx="1">
                  <c:v>0.37276151025771292</c:v>
                </c:pt>
                <c:pt idx="2">
                  <c:v>0</c:v>
                </c:pt>
                <c:pt idx="3">
                  <c:v>0</c:v>
                </c:pt>
                <c:pt idx="4">
                  <c:v>0</c:v>
                </c:pt>
                <c:pt idx="5">
                  <c:v>0</c:v>
                </c:pt>
              </c:numCache>
            </c:numRef>
          </c:val>
        </c:ser>
        <c:ser>
          <c:idx val="0"/>
          <c:order val="1"/>
          <c:tx>
            <c:v>Inactive 2018/19</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'Inequalities CYP'!$D$43:$D$48</c:f>
              <c:strCache>
                <c:ptCount val="2"/>
                <c:pt idx="0">
                  <c:v>Boy</c:v>
                </c:pt>
                <c:pt idx="1">
                  <c:v>Girl</c:v>
                </c:pt>
              </c:strCache>
            </c:strRef>
          </c:cat>
          <c:val>
            <c:numRef>
              <c:f>'Inequalities CYP'!$E$43:$E$48</c:f>
              <c:numCache>
                <c:formatCode>0.0%</c:formatCode>
                <c:ptCount val="6"/>
                <c:pt idx="0">
                  <c:v>0.29514712904777107</c:v>
                </c:pt>
                <c:pt idx="1">
                  <c:v>0.33394196742143878</c:v>
                </c:pt>
                <c:pt idx="2">
                  <c:v>0</c:v>
                </c:pt>
                <c:pt idx="3">
                  <c:v>0</c:v>
                </c:pt>
                <c:pt idx="4">
                  <c:v>0</c:v>
                </c:pt>
                <c:pt idx="5">
                  <c:v>0</c:v>
                </c:pt>
              </c:numCache>
            </c:numRef>
          </c:val>
        </c:ser>
        <c:dLbls>
          <c:dLblPos val="outEnd"/>
          <c:showLegendKey val="0"/>
          <c:showVal val="1"/>
          <c:showCatName val="0"/>
          <c:showSerName val="0"/>
          <c:showPercent val="0"/>
          <c:showBubbleSize val="0"/>
        </c:dLbls>
        <c:gapWidth val="50"/>
        <c:axId val="707355848"/>
        <c:axId val="707357024"/>
      </c:barChart>
      <c:catAx>
        <c:axId val="707355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357024"/>
        <c:crosses val="autoZero"/>
        <c:auto val="1"/>
        <c:lblAlgn val="ctr"/>
        <c:lblOffset val="100"/>
        <c:noMultiLvlLbl val="0"/>
      </c:catAx>
      <c:valAx>
        <c:axId val="707357024"/>
        <c:scaling>
          <c:orientation val="minMax"/>
        </c:scaling>
        <c:delete val="1"/>
        <c:axPos val="l"/>
        <c:numFmt formatCode="0.0%" sourceLinked="1"/>
        <c:majorTickMark val="none"/>
        <c:minorTickMark val="none"/>
        <c:tickLblPos val="nextTo"/>
        <c:crossAx val="707355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707357808"/>
        <c:axId val="707354672"/>
      </c:barChart>
      <c:catAx>
        <c:axId val="70735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354672"/>
        <c:crosses val="autoZero"/>
        <c:auto val="1"/>
        <c:lblAlgn val="ctr"/>
        <c:lblOffset val="100"/>
        <c:noMultiLvlLbl val="0"/>
      </c:catAx>
      <c:valAx>
        <c:axId val="707354672"/>
        <c:scaling>
          <c:orientation val="minMax"/>
        </c:scaling>
        <c:delete val="1"/>
        <c:axPos val="l"/>
        <c:numFmt formatCode="0.0%" sourceLinked="1"/>
        <c:majorTickMark val="none"/>
        <c:minorTickMark val="none"/>
        <c:tickLblPos val="nextTo"/>
        <c:crossAx val="70735780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'Volunteering CYP'!$B$41</c:f>
              <c:strCache>
                <c:ptCount val="1"/>
                <c:pt idx="0">
                  <c:v>GM</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'Volunteering CYP'!$D$42:$D$43</c:f>
              <c:strCache>
                <c:ptCount val="2"/>
                <c:pt idx="0">
                  <c:v>2017-18</c:v>
                </c:pt>
                <c:pt idx="1">
                  <c:v>2018-19</c:v>
                </c:pt>
              </c:strCache>
            </c:strRef>
          </c:cat>
          <c:val>
            <c:numRef>
              <c:f>'Volunteering CYP'!$E$42:$E$43</c:f>
              <c:numCache>
                <c:formatCode>0.0%</c:formatCode>
                <c:ptCount val="2"/>
                <c:pt idx="0">
                  <c:v>0.34429999999999999</c:v>
                </c:pt>
                <c:pt idx="1">
                  <c:v>0.35899999999999999</c:v>
                </c:pt>
              </c:numCache>
            </c:numRef>
          </c:val>
          <c:smooth val="0"/>
        </c:ser>
        <c:ser>
          <c:idx val="1"/>
          <c:order val="1"/>
          <c:tx>
            <c:strRef>
              <c:f>'Volunteering CYP'!$B$45</c:f>
              <c:strCache>
                <c:ptCount val="1"/>
                <c:pt idx="0">
                  <c:v>England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'Volunteering CYP'!$E$46:$E$47</c:f>
              <c:numCache>
                <c:formatCode>0.0%</c:formatCode>
                <c:ptCount val="2"/>
                <c:pt idx="0">
                  <c:v>0.37640000000000001</c:v>
                </c:pt>
                <c:pt idx="1">
                  <c:v>0.37990000000000002</c:v>
                </c:pt>
              </c:numCache>
            </c:numRef>
          </c:val>
          <c:smooth val="0"/>
        </c:ser>
        <c:dLbls>
          <c:showLegendKey val="0"/>
          <c:showVal val="1"/>
          <c:showCatName val="0"/>
          <c:showSerName val="0"/>
          <c:showPercent val="0"/>
          <c:showBubbleSize val="0"/>
        </c:dLbls>
        <c:smooth val="0"/>
        <c:axId val="707358592"/>
        <c:axId val="707355064"/>
      </c:lineChart>
      <c:catAx>
        <c:axId val="70735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355064"/>
        <c:crosses val="autoZero"/>
        <c:auto val="1"/>
        <c:lblAlgn val="ctr"/>
        <c:lblOffset val="100"/>
        <c:noMultiLvlLbl val="0"/>
      </c:catAx>
      <c:valAx>
        <c:axId val="707355064"/>
        <c:scaling>
          <c:orientation val="minMax"/>
        </c:scaling>
        <c:delete val="1"/>
        <c:axPos val="l"/>
        <c:numFmt formatCode="0.0%" sourceLinked="1"/>
        <c:majorTickMark val="none"/>
        <c:minorTickMark val="none"/>
        <c:tickLblPos val="nextTo"/>
        <c:crossAx val="707358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707359768"/>
        <c:axId val="706536616"/>
      </c:barChart>
      <c:catAx>
        <c:axId val="707359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536616"/>
        <c:crosses val="autoZero"/>
        <c:auto val="1"/>
        <c:lblAlgn val="ctr"/>
        <c:lblOffset val="100"/>
        <c:noMultiLvlLbl val="0"/>
      </c:catAx>
      <c:valAx>
        <c:axId val="706536616"/>
        <c:scaling>
          <c:orientation val="minMax"/>
        </c:scaling>
        <c:delete val="1"/>
        <c:axPos val="l"/>
        <c:numFmt formatCode="0.0%" sourceLinked="1"/>
        <c:majorTickMark val="none"/>
        <c:minorTickMark val="none"/>
        <c:tickLblPos val="nextTo"/>
        <c:crossAx val="70735976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Volunteering Rate</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'Volunteering CYP Comparision'!$B$40:$B$51</c:f>
              <c:strCache>
                <c:ptCount val="12"/>
                <c:pt idx="0">
                  <c:v>England</c:v>
                </c:pt>
                <c:pt idx="1">
                  <c:v>GM</c:v>
                </c:pt>
                <c:pt idx="2">
                  <c:v>Bolton</c:v>
                </c:pt>
                <c:pt idx="3">
                  <c:v>Bury</c:v>
                </c:pt>
                <c:pt idx="4">
                  <c:v>Manchester</c:v>
                </c:pt>
                <c:pt idx="5">
                  <c:v>Oldham</c:v>
                </c:pt>
                <c:pt idx="6">
                  <c:v>Rochdale</c:v>
                </c:pt>
                <c:pt idx="7">
                  <c:v>Salford</c:v>
                </c:pt>
                <c:pt idx="8">
                  <c:v>Stockport</c:v>
                </c:pt>
                <c:pt idx="9">
                  <c:v>Tameside</c:v>
                </c:pt>
                <c:pt idx="10">
                  <c:v>Trafford</c:v>
                </c:pt>
                <c:pt idx="11">
                  <c:v>Wigan</c:v>
                </c:pt>
              </c:strCache>
            </c:strRef>
          </c:cat>
          <c:val>
            <c:numRef>
              <c:f>'Volunteering CYP Comparision'!$D$40:$D$51</c:f>
              <c:numCache>
                <c:formatCode>0.0%</c:formatCode>
                <c:ptCount val="12"/>
                <c:pt idx="0">
                  <c:v>0.37990000000000002</c:v>
                </c:pt>
                <c:pt idx="1">
                  <c:v>0.35899999999999999</c:v>
                </c:pt>
                <c:pt idx="2">
                  <c:v>0.2354</c:v>
                </c:pt>
                <c:pt idx="3">
                  <c:v>0.25509999999999999</c:v>
                </c:pt>
                <c:pt idx="4">
                  <c:v>#N/A</c:v>
                </c:pt>
                <c:pt idx="5">
                  <c:v>#N/A</c:v>
                </c:pt>
                <c:pt idx="6">
                  <c:v>#N/A</c:v>
                </c:pt>
                <c:pt idx="7">
                  <c:v>0.35580000000000001</c:v>
                </c:pt>
                <c:pt idx="8">
                  <c:v>0.38679999999999998</c:v>
                </c:pt>
                <c:pt idx="9">
                  <c:v>0.36759999999999998</c:v>
                </c:pt>
                <c:pt idx="10">
                  <c:v>0.46870000000000001</c:v>
                </c:pt>
                <c:pt idx="11">
                  <c:v>0.32169999999999999</c:v>
                </c:pt>
              </c:numCache>
            </c:numRef>
          </c:val>
        </c:ser>
        <c:dLbls>
          <c:dLblPos val="outEnd"/>
          <c:showLegendKey val="0"/>
          <c:showVal val="1"/>
          <c:showCatName val="0"/>
          <c:showSerName val="0"/>
          <c:showPercent val="0"/>
          <c:showBubbleSize val="0"/>
        </c:dLbls>
        <c:gapWidth val="50"/>
        <c:axId val="706536224"/>
        <c:axId val="706537400"/>
      </c:barChart>
      <c:catAx>
        <c:axId val="70653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537400"/>
        <c:crosses val="autoZero"/>
        <c:auto val="1"/>
        <c:lblAlgn val="ctr"/>
        <c:lblOffset val="100"/>
        <c:noMultiLvlLbl val="0"/>
      </c:catAx>
      <c:valAx>
        <c:axId val="706537400"/>
        <c:scaling>
          <c:orientation val="minMax"/>
        </c:scaling>
        <c:delete val="1"/>
        <c:axPos val="l"/>
        <c:numFmt formatCode="0.0%" sourceLinked="1"/>
        <c:majorTickMark val="none"/>
        <c:minorTickMark val="none"/>
        <c:tickLblPos val="nextTo"/>
        <c:crossAx val="7065362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7947223761804171E-2"/>
          <c:y val="0.16753637262118543"/>
          <c:w val="0.93371139424992511"/>
          <c:h val="0.46923952658872503"/>
        </c:manualLayout>
      </c:layout>
      <c:barChart>
        <c:barDir val="col"/>
        <c:grouping val="clustered"/>
        <c:varyColors val="0"/>
        <c:ser>
          <c:idx val="0"/>
          <c:order val="0"/>
          <c:tx>
            <c:strRef>
              <c:f>'[1]Older adults'!$C$1</c:f>
              <c:strCache>
                <c:ptCount val="1"/>
              </c:strCache>
            </c:strRef>
          </c:tx>
          <c:spPr>
            <a:solidFill>
              <a:srgbClr val="D21C60"/>
            </a:solidFill>
            <a:ln>
              <a:noFill/>
            </a:ln>
            <a:effectLst/>
          </c:spPr>
          <c:invertIfNegative val="0"/>
          <c:dLbls>
            <c:dLbl>
              <c:idx val="1"/>
              <c:layout>
                <c:manualLayout>
                  <c:x val="0"/>
                  <c:y val="-2.6335590669676449E-2"/>
                </c:manualLayout>
              </c:layout>
              <c:spPr>
                <a:noFill/>
                <a:ln>
                  <a:noFill/>
                </a:ln>
                <a:effectLst/>
              </c:spPr>
              <c:txPr>
                <a:bodyPr rot="-5400000" spcFirstLastPara="1" vertOverflow="ellipsis" wrap="square" lIns="38100" tIns="19050" rIns="38100" bIns="19050" anchor="ctr" anchorCtr="1">
                  <a:noAutofit/>
                </a:bodyPr>
                <a:lstStyle/>
                <a:p>
                  <a:pPr>
                    <a:defRPr sz="800" b="0" i="0" u="none" strike="noStrike" kern="1200" baseline="0">
                      <a:solidFill>
                        <a:srgbClr val="3C3C3B"/>
                      </a:solidFill>
                      <a:latin typeface="Verdana" panose="020B0604030504040204" pitchFamily="34" charset="0"/>
                      <a:ea typeface="Verdana" panose="020B0604030504040204" pitchFamily="34" charset="0"/>
                      <a:cs typeface="Verdan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0033333333333332"/>
                      <c:h val="6.9166666666666668E-2"/>
                    </c:manualLayout>
                  </c15:layout>
                </c:ext>
              </c:extLst>
            </c:dLbl>
            <c:dLbl>
              <c:idx val="7"/>
              <c:layout>
                <c:manualLayout>
                  <c:x val="0"/>
                  <c:y val="-2.6335442550493828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8.4444334442102836E-2"/>
                      <c:h val="5.4643208668905256E-2"/>
                    </c:manualLayout>
                  </c15:layout>
                </c:ext>
              </c:extLst>
            </c:dLbl>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rgbClr val="3C3C3B"/>
                    </a:solidFill>
                    <a:latin typeface="Verdana" panose="020B0604030504040204" pitchFamily="34" charset="0"/>
                    <a:ea typeface="Verdana" panose="020B0604030504040204" pitchFamily="34" charset="0"/>
                    <a:cs typeface="Verdan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'[1]Older adults'!$A$3:$A$12</c:f>
              <c:strCache>
                <c:ptCount val="10"/>
                <c:pt idx="0">
                  <c:v>Bolton</c:v>
                </c:pt>
                <c:pt idx="1">
                  <c:v>Bury</c:v>
                </c:pt>
                <c:pt idx="2">
                  <c:v>Manchester</c:v>
                </c:pt>
                <c:pt idx="3">
                  <c:v>Oldham</c:v>
                </c:pt>
                <c:pt idx="4">
                  <c:v>Rochdale</c:v>
                </c:pt>
                <c:pt idx="5">
                  <c:v>Salford</c:v>
                </c:pt>
                <c:pt idx="6">
                  <c:v>Stockport</c:v>
                </c:pt>
                <c:pt idx="7">
                  <c:v>Tameside</c:v>
                </c:pt>
                <c:pt idx="8">
                  <c:v>Trafford</c:v>
                </c:pt>
                <c:pt idx="9">
                  <c:v>Wigan</c:v>
                </c:pt>
              </c:strCache>
            </c:strRef>
          </c:cat>
          <c:val>
            <c:numRef>
              <c:f>'[1]Older adults'!$B$3:$B$12</c:f>
              <c:numCache>
                <c:formatCode>General</c:formatCode>
                <c:ptCount val="10"/>
                <c:pt idx="0">
                  <c:v>0.35139644119512931</c:v>
                </c:pt>
                <c:pt idx="1">
                  <c:v>0.27557864242795166</c:v>
                </c:pt>
                <c:pt idx="2">
                  <c:v>0.38755029137362923</c:v>
                </c:pt>
                <c:pt idx="3">
                  <c:v>0.34047965235376149</c:v>
                </c:pt>
                <c:pt idx="4">
                  <c:v>0.34820003888570722</c:v>
                </c:pt>
                <c:pt idx="5">
                  <c:v>0.3217943177495472</c:v>
                </c:pt>
                <c:pt idx="6">
                  <c:v>0.25105320785591434</c:v>
                </c:pt>
                <c:pt idx="7">
                  <c:v>0.29228223340743448</c:v>
                </c:pt>
                <c:pt idx="8">
                  <c:v>0.22011387398442533</c:v>
                </c:pt>
                <c:pt idx="9">
                  <c:v>0.27419854560925849</c:v>
                </c:pt>
              </c:numCache>
            </c:numRef>
          </c:val>
        </c:ser>
        <c:ser>
          <c:idx val="1"/>
          <c:order val="1"/>
          <c:tx>
            <c:strRef>
              <c:f>'[1]Older adults'!$C$13</c:f>
              <c:strCache>
                <c:ptCount val="1"/>
              </c:strCache>
            </c:strRef>
          </c:tx>
          <c:spPr>
            <a:solidFill>
              <a:srgbClr val="5B2D8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rgbClr val="3C3C3B"/>
                    </a:solidFill>
                    <a:latin typeface="Verdana" panose="020B0604030504040204" pitchFamily="34" charset="0"/>
                    <a:ea typeface="Verdana" panose="020B0604030504040204" pitchFamily="34" charset="0"/>
                    <a:cs typeface="Verdan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'[1]Older adults'!$A$3:$A$12</c:f>
              <c:strCache>
                <c:ptCount val="10"/>
                <c:pt idx="0">
                  <c:v>Bolton</c:v>
                </c:pt>
                <c:pt idx="1">
                  <c:v>Bury</c:v>
                </c:pt>
                <c:pt idx="2">
                  <c:v>Manchester</c:v>
                </c:pt>
                <c:pt idx="3">
                  <c:v>Oldham</c:v>
                </c:pt>
                <c:pt idx="4">
                  <c:v>Rochdale</c:v>
                </c:pt>
                <c:pt idx="5">
                  <c:v>Salford</c:v>
                </c:pt>
                <c:pt idx="6">
                  <c:v>Stockport</c:v>
                </c:pt>
                <c:pt idx="7">
                  <c:v>Tameside</c:v>
                </c:pt>
                <c:pt idx="8">
                  <c:v>Trafford</c:v>
                </c:pt>
                <c:pt idx="9">
                  <c:v>Wigan</c:v>
                </c:pt>
              </c:strCache>
            </c:strRef>
          </c:cat>
          <c:val>
            <c:numRef>
              <c:f>'[1]Older adults'!$B$15:$B$24</c:f>
              <c:numCache>
                <c:formatCode>General</c:formatCode>
                <c:ptCount val="10"/>
                <c:pt idx="0">
                  <c:v>0.51974849803147261</c:v>
                </c:pt>
                <c:pt idx="1">
                  <c:v>0.54339582355266158</c:v>
                </c:pt>
                <c:pt idx="2">
                  <c:v>0.55448280655596227</c:v>
                </c:pt>
                <c:pt idx="3">
                  <c:v>0.51581687748481431</c:v>
                </c:pt>
                <c:pt idx="4">
                  <c:v>0.44800864147943648</c:v>
                </c:pt>
                <c:pt idx="5">
                  <c:v>0.59173685746527271</c:v>
                </c:pt>
                <c:pt idx="6">
                  <c:v>0.51096504402461351</c:v>
                </c:pt>
                <c:pt idx="7">
                  <c:v>0.68242039925768205</c:v>
                </c:pt>
                <c:pt idx="8">
                  <c:v>0.59146166248500187</c:v>
                </c:pt>
                <c:pt idx="9">
                  <c:v>0.47472579590086061</c:v>
                </c:pt>
              </c:numCache>
            </c:numRef>
          </c:val>
        </c:ser>
        <c:dLbls>
          <c:dLblPos val="outEnd"/>
          <c:showLegendKey val="0"/>
          <c:showVal val="1"/>
          <c:showCatName val="0"/>
          <c:showSerName val="0"/>
          <c:showPercent val="0"/>
          <c:showBubbleSize val="0"/>
        </c:dLbls>
        <c:gapWidth val="100"/>
        <c:axId val="706541712"/>
        <c:axId val="706542104"/>
      </c:barChart>
      <c:catAx>
        <c:axId val="706541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3C3C3B"/>
                </a:solidFill>
                <a:latin typeface="Verdana" panose="020B0604030504040204" pitchFamily="34" charset="0"/>
                <a:ea typeface="Verdana" panose="020B0604030504040204" pitchFamily="34" charset="0"/>
                <a:cs typeface="Verdana" panose="020B0604030504040204" pitchFamily="34" charset="0"/>
              </a:defRPr>
            </a:pPr>
            <a:endParaRPr lang="en-US"/>
          </a:p>
        </c:txPr>
        <c:crossAx val="706542104"/>
        <c:crosses val="autoZero"/>
        <c:auto val="1"/>
        <c:lblAlgn val="ctr"/>
        <c:lblOffset val="100"/>
        <c:noMultiLvlLbl val="0"/>
      </c:catAx>
      <c:valAx>
        <c:axId val="706542104"/>
        <c:scaling>
          <c:orientation val="minMax"/>
        </c:scaling>
        <c:delete val="1"/>
        <c:axPos val="l"/>
        <c:numFmt formatCode="General" sourceLinked="1"/>
        <c:majorTickMark val="none"/>
        <c:minorTickMark val="none"/>
        <c:tickLblPos val="nextTo"/>
        <c:crossAx val="706541712"/>
        <c:crosses val="autoZero"/>
        <c:crossBetween val="between"/>
      </c:valAx>
      <c:spPr>
        <a:noFill/>
        <a:ln>
          <a:noFill/>
        </a:ln>
        <a:effectLst/>
      </c:spPr>
    </c:plotArea>
    <c:legend>
      <c:legendPos val="b"/>
      <c:layout>
        <c:manualLayout>
          <c:xMode val="edge"/>
          <c:yMode val="edge"/>
          <c:x val="0.3683647293830804"/>
          <c:y val="0.78061541649399091"/>
          <c:w val="0.27700208946590227"/>
          <c:h val="4.652596637494616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Verdana" panose="020B060403050404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image" Target="../media/image1.png"/><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image" Target="../media/image2.png"/><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image" Target="../media/image2.png"/><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image" Target="../media/image2.png"/><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image" Target="../media/image2.png"/><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image" Target="../media/image1.png"/><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image" Target="../media/image2.png"/><Relationship Id="rId1"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4.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image" Target="../media/image1.png"/><Relationship Id="rId1" Type="http://schemas.openxmlformats.org/officeDocument/2006/relationships/chart" Target="../charts/chart25.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image" Target="../media/image2.png"/><Relationship Id="rId1" Type="http://schemas.openxmlformats.org/officeDocument/2006/relationships/chart" Target="../charts/chart27.xml"/></Relationships>
</file>

<file path=xl/drawings/_rels/drawing18.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image" Target="../media/image2.png"/><Relationship Id="rId1" Type="http://schemas.openxmlformats.org/officeDocument/2006/relationships/chart" Target="../charts/chart29.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image" Target="../media/image1.png"/><Relationship Id="rId1" Type="http://schemas.openxmlformats.org/officeDocument/2006/relationships/chart" Target="../charts/chart31.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image" Target="../media/image2.png"/><Relationship Id="rId1" Type="http://schemas.openxmlformats.org/officeDocument/2006/relationships/chart" Target="../charts/chart3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twoCellAnchor editAs="oneCell">
    <xdr:from>
      <xdr:col>1</xdr:col>
      <xdr:colOff>53340</xdr:colOff>
      <xdr:row>2</xdr:row>
      <xdr:rowOff>60960</xdr:rowOff>
    </xdr:from>
    <xdr:to>
      <xdr:col>3</xdr:col>
      <xdr:colOff>191192</xdr:colOff>
      <xdr:row>3</xdr:row>
      <xdr:rowOff>42454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60" y="411480"/>
          <a:ext cx="1600892" cy="167640"/>
        </a:xfrm>
        <a:prstGeom prst="rect">
          <a:avLst/>
        </a:prstGeom>
      </xdr:spPr>
    </xdr:pic>
    <xdr:clientData/>
  </xdr:twoCellAnchor>
  <xdr:twoCellAnchor editAs="oneCell">
    <xdr:from>
      <xdr:col>12</xdr:col>
      <xdr:colOff>99060</xdr:colOff>
      <xdr:row>2</xdr:row>
      <xdr:rowOff>84909</xdr:rowOff>
    </xdr:from>
    <xdr:to>
      <xdr:col>14</xdr:col>
      <xdr:colOff>236912</xdr:colOff>
      <xdr:row>3</xdr:row>
      <xdr:rowOff>66403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51174" y="444138"/>
          <a:ext cx="1596538" cy="166551"/>
        </a:xfrm>
        <a:prstGeom prst="rect">
          <a:avLst/>
        </a:prstGeom>
      </xdr:spPr>
    </xdr:pic>
    <xdr:clientData/>
  </xdr:twoCellAnchor>
  <xdr:twoCellAnchor editAs="oneCell">
    <xdr:from>
      <xdr:col>1</xdr:col>
      <xdr:colOff>76201</xdr:colOff>
      <xdr:row>18</xdr:row>
      <xdr:rowOff>108857</xdr:rowOff>
    </xdr:from>
    <xdr:to>
      <xdr:col>3</xdr:col>
      <xdr:colOff>214053</xdr:colOff>
      <xdr:row>18</xdr:row>
      <xdr:rowOff>275408</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5544" y="6248400"/>
          <a:ext cx="1596538" cy="1665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30480</xdr:colOff>
      <xdr:row>1</xdr:row>
      <xdr:rowOff>76200</xdr:rowOff>
    </xdr:from>
    <xdr:to>
      <xdr:col>2</xdr:col>
      <xdr:colOff>899852</xdr:colOff>
      <xdr:row>2</xdr:row>
      <xdr:rowOff>60960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259080"/>
          <a:ext cx="1600892" cy="167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30480</xdr:colOff>
      <xdr:row>1</xdr:row>
      <xdr:rowOff>76200</xdr:rowOff>
    </xdr:from>
    <xdr:to>
      <xdr:col>2</xdr:col>
      <xdr:colOff>899852</xdr:colOff>
      <xdr:row>2</xdr:row>
      <xdr:rowOff>68580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259080"/>
          <a:ext cx="1600892" cy="175260"/>
        </a:xfrm>
        <a:prstGeom prst="rect">
          <a:avLst/>
        </a:prstGeom>
      </xdr:spPr>
    </xdr:pic>
    <xdr:clientData/>
  </xdr:twoCellAnchor>
  <xdr:twoCellAnchor>
    <xdr:from>
      <xdr:col>2</xdr:col>
      <xdr:colOff>15240</xdr:colOff>
      <xdr:row>3</xdr:row>
      <xdr:rowOff>106680</xdr:rowOff>
    </xdr:from>
    <xdr:to>
      <xdr:col>10</xdr:col>
      <xdr:colOff>38100</xdr:colOff>
      <xdr:row>21</xdr:row>
      <xdr:rowOff>99060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12</xdr:col>
      <xdr:colOff>30480</xdr:colOff>
      <xdr:row>1</xdr:row>
      <xdr:rowOff>76200</xdr:rowOff>
    </xdr:from>
    <xdr:ext cx="1600892" cy="175260"/>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62160" y="259080"/>
          <a:ext cx="1600892" cy="175260"/>
        </a:xfrm>
        <a:prstGeom prst="rect">
          <a:avLst/>
        </a:prstGeom>
      </xdr:spPr>
    </xdr:pic>
    <xdr:clientData/>
  </xdr:oneCellAnchor>
  <xdr:twoCellAnchor>
    <xdr:from>
      <xdr:col>13</xdr:col>
      <xdr:colOff>15240</xdr:colOff>
      <xdr:row>3</xdr:row>
      <xdr:rowOff>106680</xdr:rowOff>
    </xdr:from>
    <xdr:to>
      <xdr:col>21</xdr:col>
      <xdr:colOff>38100</xdr:colOff>
      <xdr:row>21</xdr:row>
      <xdr:rowOff>99060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828199</xdr:colOff>
      <xdr:row>28</xdr:row>
      <xdr:rowOff>52388</xdr:rowOff>
    </xdr:from>
    <xdr:ext cx="1600892" cy="175260"/>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199" y="5088732"/>
          <a:ext cx="1600892" cy="175260"/>
        </a:xfrm>
        <a:prstGeom prst="rect">
          <a:avLst/>
        </a:prstGeom>
      </xdr:spPr>
    </xdr:pic>
    <xdr:clientData/>
  </xdr:oneCellAnchor>
  <xdr:twoCellAnchor>
    <xdr:from>
      <xdr:col>2</xdr:col>
      <xdr:colOff>15240</xdr:colOff>
      <xdr:row>31</xdr:row>
      <xdr:rowOff>106680</xdr:rowOff>
    </xdr:from>
    <xdr:to>
      <xdr:col>10</xdr:col>
      <xdr:colOff>38100</xdr:colOff>
      <xdr:row>49</xdr:row>
      <xdr:rowOff>99060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12</xdr:col>
      <xdr:colOff>30480</xdr:colOff>
      <xdr:row>28</xdr:row>
      <xdr:rowOff>76200</xdr:rowOff>
    </xdr:from>
    <xdr:ext cx="1600892" cy="175260"/>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5013960"/>
          <a:ext cx="1600892" cy="175260"/>
        </a:xfrm>
        <a:prstGeom prst="rect">
          <a:avLst/>
        </a:prstGeom>
      </xdr:spPr>
    </xdr:pic>
    <xdr:clientData/>
  </xdr:oneCellAnchor>
  <xdr:twoCellAnchor>
    <xdr:from>
      <xdr:col>13</xdr:col>
      <xdr:colOff>15240</xdr:colOff>
      <xdr:row>31</xdr:row>
      <xdr:rowOff>106680</xdr:rowOff>
    </xdr:from>
    <xdr:to>
      <xdr:col>21</xdr:col>
      <xdr:colOff>38100</xdr:colOff>
      <xdr:row>49</xdr:row>
      <xdr:rowOff>99060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12</xdr:col>
      <xdr:colOff>30480</xdr:colOff>
      <xdr:row>56</xdr:row>
      <xdr:rowOff>76200</xdr:rowOff>
    </xdr:from>
    <xdr:ext cx="1600892" cy="175260"/>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23120" y="5013960"/>
          <a:ext cx="1600892" cy="175260"/>
        </a:xfrm>
        <a:prstGeom prst="rect">
          <a:avLst/>
        </a:prstGeom>
      </xdr:spPr>
    </xdr:pic>
    <xdr:clientData/>
  </xdr:oneCellAnchor>
  <xdr:twoCellAnchor>
    <xdr:from>
      <xdr:col>13</xdr:col>
      <xdr:colOff>15240</xdr:colOff>
      <xdr:row>60</xdr:row>
      <xdr:rowOff>106680</xdr:rowOff>
    </xdr:from>
    <xdr:to>
      <xdr:col>21</xdr:col>
      <xdr:colOff>38100</xdr:colOff>
      <xdr:row>78</xdr:row>
      <xdr:rowOff>99060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45720</xdr:colOff>
      <xdr:row>1</xdr:row>
      <xdr:rowOff>68580</xdr:rowOff>
    </xdr:from>
    <xdr:to>
      <xdr:col>3</xdr:col>
      <xdr:colOff>183572</xdr:colOff>
      <xdr:row>2</xdr:row>
      <xdr:rowOff>60960</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twoCellAnchor>
    <xdr:from>
      <xdr:col>1</xdr:col>
      <xdr:colOff>619028</xdr:colOff>
      <xdr:row>9</xdr:row>
      <xdr:rowOff>58496</xdr:rowOff>
    </xdr:from>
    <xdr:to>
      <xdr:col>10</xdr:col>
      <xdr:colOff>203931</xdr:colOff>
      <xdr:row>14</xdr:row>
      <xdr:rowOff>63422</xdr:rowOff>
    </xdr:to>
    <xdr:grpSp>
      <xdr:nvGrpSpPr>
        <xdr:cNvPr id="25" name="Group 24"/>
        <xdr:cNvGrpSpPr/>
      </xdr:nvGrpSpPr>
      <xdr:grpSpPr>
        <a:xfrm>
          <a:off x="1447703" y="1706321"/>
          <a:ext cx="7042978" cy="919326"/>
          <a:chOff x="1335308" y="1331036"/>
          <a:chExt cx="6168583" cy="881226"/>
        </a:xfrm>
      </xdr:grpSpPr>
      <xdr:sp macro="" textlink="$B$46">
        <xdr:nvSpPr>
          <xdr:cNvPr id="22" name="Freeform 21"/>
          <xdr:cNvSpPr/>
        </xdr:nvSpPr>
        <xdr:spPr>
          <a:xfrm>
            <a:off x="1335308"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60628" tIns="40005" rIns="480618" bIns="40005" numCol="1" spcCol="1270" anchor="ctr" anchorCtr="0">
            <a:noAutofit/>
          </a:bodyPr>
          <a:lstStyle/>
          <a:p>
            <a:pPr lvl="0" algn="l" defTabSz="1333500">
              <a:lnSpc>
                <a:spcPct val="90000"/>
              </a:lnSpc>
              <a:spcBef>
                <a:spcPct val="0"/>
              </a:spcBef>
              <a:spcAft>
                <a:spcPct val="35000"/>
              </a:spcAft>
            </a:pPr>
            <a:fld id="{A596E75A-48B0-460D-9910-183D56015525}"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28.1%
Inactive</a:t>
            </a:fld>
            <a:endParaRPr lang="en-GB" sz="3600" kern="1200">
              <a:solidFill>
                <a:schemeClr val="bg2"/>
              </a:solidFill>
            </a:endParaRPr>
          </a:p>
        </xdr:txBody>
      </xdr:sp>
      <xdr:sp macro="" textlink="$D$46">
        <xdr:nvSpPr>
          <xdr:cNvPr id="23" name="Freeform 22"/>
          <xdr:cNvSpPr/>
        </xdr:nvSpPr>
        <xdr:spPr>
          <a:xfrm>
            <a:off x="3318067"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60628" tIns="40005" rIns="480618" bIns="40005" numCol="1" spcCol="1270" anchor="ctr" anchorCtr="0">
            <a:noAutofit/>
          </a:bodyPr>
          <a:lstStyle/>
          <a:p>
            <a:pPr lvl="0" algn="l" defTabSz="1333500">
              <a:lnSpc>
                <a:spcPct val="90000"/>
              </a:lnSpc>
              <a:spcBef>
                <a:spcPct val="0"/>
              </a:spcBef>
              <a:spcAft>
                <a:spcPct val="35000"/>
              </a:spcAft>
            </a:pPr>
            <a:fld id="{0A7F2338-15D6-4722-B17A-CF115C020E75}"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10.9%
Fairly Active</a:t>
            </a:fld>
            <a:endParaRPr lang="en-GB" sz="3600" kern="1200">
              <a:solidFill>
                <a:schemeClr val="bg2"/>
              </a:solidFill>
            </a:endParaRPr>
          </a:p>
        </xdr:txBody>
      </xdr:sp>
      <xdr:sp macro="" textlink="$F$46">
        <xdr:nvSpPr>
          <xdr:cNvPr id="24" name="Freeform 23"/>
          <xdr:cNvSpPr/>
        </xdr:nvSpPr>
        <xdr:spPr>
          <a:xfrm>
            <a:off x="5300826"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60628" tIns="40005" rIns="480618" bIns="40005" numCol="1" spcCol="1270" anchor="ctr" anchorCtr="0">
            <a:noAutofit/>
          </a:bodyPr>
          <a:lstStyle/>
          <a:p>
            <a:pPr lvl="0" algn="l" defTabSz="1333500">
              <a:lnSpc>
                <a:spcPct val="90000"/>
              </a:lnSpc>
              <a:spcBef>
                <a:spcPct val="0"/>
              </a:spcBef>
              <a:spcAft>
                <a:spcPct val="35000"/>
              </a:spcAft>
            </a:pPr>
            <a:fld id="{D2E99B76-5F09-4A4D-8EB6-118FCE2D0EC7}"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61.0%
Active</a:t>
            </a:fld>
            <a:endParaRPr lang="en-GB" sz="3600" kern="1200">
              <a:solidFill>
                <a:schemeClr val="bg2"/>
              </a:solidFill>
            </a:endParaRPr>
          </a:p>
        </xdr:txBody>
      </xdr:sp>
    </xdr:grpSp>
    <xdr:clientData/>
  </xdr:twoCellAnchor>
  <xdr:twoCellAnchor>
    <xdr:from>
      <xdr:col>1</xdr:col>
      <xdr:colOff>649508</xdr:colOff>
      <xdr:row>20</xdr:row>
      <xdr:rowOff>73736</xdr:rowOff>
    </xdr:from>
    <xdr:to>
      <xdr:col>10</xdr:col>
      <xdr:colOff>234411</xdr:colOff>
      <xdr:row>25</xdr:row>
      <xdr:rowOff>78662</xdr:rowOff>
    </xdr:to>
    <xdr:grpSp>
      <xdr:nvGrpSpPr>
        <xdr:cNvPr id="26" name="Group 25"/>
        <xdr:cNvGrpSpPr/>
      </xdr:nvGrpSpPr>
      <xdr:grpSpPr>
        <a:xfrm>
          <a:off x="1478183" y="3721811"/>
          <a:ext cx="7042978" cy="909801"/>
          <a:chOff x="1335308" y="1331036"/>
          <a:chExt cx="6168583" cy="881226"/>
        </a:xfrm>
      </xdr:grpSpPr>
      <xdr:sp macro="" textlink="$H$46">
        <xdr:nvSpPr>
          <xdr:cNvPr id="27" name="Freeform 26"/>
          <xdr:cNvSpPr/>
        </xdr:nvSpPr>
        <xdr:spPr>
          <a:xfrm>
            <a:off x="1335308"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Overflow="clip" horzOverflow="clip" vert="horz" wrap="square" lIns="561600" tIns="39600" rIns="482400" bIns="39600" numCol="1" spcCol="1270" anchor="ctr" anchorCtr="0">
            <a:noAutofit/>
          </a:bodyPr>
          <a:lstStyle/>
          <a:p>
            <a:pPr lvl="0" algn="l" defTabSz="1333500">
              <a:lnSpc>
                <a:spcPct val="90000"/>
              </a:lnSpc>
              <a:spcBef>
                <a:spcPct val="0"/>
              </a:spcBef>
              <a:spcAft>
                <a:spcPct val="35000"/>
              </a:spcAft>
            </a:pPr>
            <a:fld id="{B4946556-6312-43F7-981F-5E47C68C264C}"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31.9%
Less Active</a:t>
            </a:fld>
            <a:endParaRPr lang="en-GB" sz="1400" kern="1200">
              <a:solidFill>
                <a:schemeClr val="bg2"/>
              </a:solidFill>
            </a:endParaRPr>
          </a:p>
        </xdr:txBody>
      </xdr:sp>
      <xdr:sp macro="" textlink="$J$46">
        <xdr:nvSpPr>
          <xdr:cNvPr id="28" name="Freeform 27"/>
          <xdr:cNvSpPr/>
        </xdr:nvSpPr>
        <xdr:spPr>
          <a:xfrm>
            <a:off x="3318067"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Overflow="clip" horzOverflow="clip" vert="horz" wrap="square" lIns="560628" tIns="40005" rIns="480618" bIns="40005" numCol="1" spcCol="1270" anchor="ctr" anchorCtr="0">
            <a:noAutofit/>
          </a:bodyPr>
          <a:lstStyle/>
          <a:p>
            <a:pPr lvl="0" algn="l" defTabSz="1333500">
              <a:lnSpc>
                <a:spcPct val="90000"/>
              </a:lnSpc>
              <a:spcBef>
                <a:spcPct val="0"/>
              </a:spcBef>
              <a:spcAft>
                <a:spcPct val="35000"/>
              </a:spcAft>
            </a:pPr>
            <a:fld id="{E84718B8-3BF5-4D68-8A87-2AB4BF1C3B7C}"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23.0%
Fairly Active</a:t>
            </a:fld>
            <a:endParaRPr lang="en-GB" sz="3600" kern="1200">
              <a:solidFill>
                <a:schemeClr val="bg2"/>
              </a:solidFill>
            </a:endParaRPr>
          </a:p>
        </xdr:txBody>
      </xdr:sp>
      <xdr:sp macro="" textlink="$L$46">
        <xdr:nvSpPr>
          <xdr:cNvPr id="29" name="Freeform 28"/>
          <xdr:cNvSpPr/>
        </xdr:nvSpPr>
        <xdr:spPr>
          <a:xfrm>
            <a:off x="5300826"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Overflow="clip" horzOverflow="clip" vert="horz" wrap="square" lIns="560628" tIns="40005" rIns="480618" bIns="40005" numCol="1" spcCol="1270" anchor="ctr" anchorCtr="0">
            <a:noAutofit/>
          </a:bodyPr>
          <a:lstStyle/>
          <a:p>
            <a:pPr lvl="0" algn="l" defTabSz="1333500">
              <a:lnSpc>
                <a:spcPct val="90000"/>
              </a:lnSpc>
              <a:spcBef>
                <a:spcPct val="0"/>
              </a:spcBef>
              <a:spcAft>
                <a:spcPct val="35000"/>
              </a:spcAft>
            </a:pPr>
            <a:fld id="{905C98B5-91C2-4834-88F2-84A004E4DF26}"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45.2%
Active</a:t>
            </a:fld>
            <a:endParaRPr lang="en-GB" sz="3600" kern="1200">
              <a:solidFill>
                <a:schemeClr val="bg2"/>
              </a:solidFill>
            </a:endParaRPr>
          </a:p>
        </xdr:txBody>
      </xdr:sp>
    </xdr:grpSp>
    <xdr:clientData/>
  </xdr:twoCellAnchor>
  <xdr:oneCellAnchor>
    <xdr:from>
      <xdr:col>12</xdr:col>
      <xdr:colOff>45720</xdr:colOff>
      <xdr:row>1</xdr:row>
      <xdr:rowOff>68580</xdr:rowOff>
    </xdr:from>
    <xdr:ext cx="1600892" cy="175260"/>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3960" y="251460"/>
          <a:ext cx="1600892" cy="17526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75260"/>
        </a:xfrm>
        <a:prstGeom prst="rect">
          <a:avLst/>
        </a:prstGeom>
      </xdr:spPr>
    </xdr:pic>
    <xdr:clientData/>
  </xdr:twoCellAnchor>
  <xdr:twoCellAnchor>
    <xdr:from>
      <xdr:col>2</xdr:col>
      <xdr:colOff>22860</xdr:colOff>
      <xdr:row>4</xdr:row>
      <xdr:rowOff>53340</xdr:rowOff>
    </xdr:from>
    <xdr:to>
      <xdr:col>10</xdr:col>
      <xdr:colOff>45900</xdr:colOff>
      <xdr:row>22</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8288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7526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7526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7526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567690</xdr:colOff>
      <xdr:row>3</xdr:row>
      <xdr:rowOff>106680</xdr:rowOff>
    </xdr:from>
    <xdr:to>
      <xdr:col>10</xdr:col>
      <xdr:colOff>590550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82880"/>
        </a:xfrm>
        <a:prstGeom prst="rect">
          <a:avLst/>
        </a:prstGeom>
      </xdr:spPr>
    </xdr:pic>
    <xdr:clientData/>
  </xdr:twoCellAnchor>
  <xdr:twoCellAnchor>
    <xdr:from>
      <xdr:col>2</xdr:col>
      <xdr:colOff>83820</xdr:colOff>
      <xdr:row>4</xdr:row>
      <xdr:rowOff>15240</xdr:rowOff>
    </xdr:from>
    <xdr:to>
      <xdr:col>14</xdr:col>
      <xdr:colOff>28575</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75260"/>
        </a:xfrm>
        <a:prstGeom prst="rect">
          <a:avLst/>
        </a:prstGeom>
      </xdr:spPr>
    </xdr:pic>
    <xdr:clientData/>
  </xdr:twoCellAnchor>
  <xdr:twoCellAnchor>
    <xdr:from>
      <xdr:col>2</xdr:col>
      <xdr:colOff>22860</xdr:colOff>
      <xdr:row>4</xdr:row>
      <xdr:rowOff>53340</xdr:rowOff>
    </xdr:from>
    <xdr:to>
      <xdr:col>10</xdr:col>
      <xdr:colOff>45900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8288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twoCellAnchor>
    <xdr:from>
      <xdr:col>2</xdr:col>
      <xdr:colOff>22860</xdr:colOff>
      <xdr:row>4</xdr:row>
      <xdr:rowOff>53340</xdr:rowOff>
    </xdr:from>
    <xdr:to>
      <xdr:col>10</xdr:col>
      <xdr:colOff>45900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15240</xdr:colOff>
      <xdr:row>2</xdr:row>
      <xdr:rowOff>106680</xdr:rowOff>
    </xdr:from>
    <xdr:to>
      <xdr:col>10</xdr:col>
      <xdr:colOff>38100</xdr:colOff>
      <xdr:row>20</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twoCellAnchor>
    <xdr:from>
      <xdr:col>2</xdr:col>
      <xdr:colOff>83820</xdr:colOff>
      <xdr:row>3</xdr:row>
      <xdr:rowOff>15240</xdr:rowOff>
    </xdr:from>
    <xdr:to>
      <xdr:col>10</xdr:col>
      <xdr:colOff>106860</xdr:colOff>
      <xdr:row>21</xdr:row>
      <xdr:rowOff>6960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68580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7526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75260"/>
        </a:xfrm>
        <a:prstGeom prst="rect">
          <a:avLst/>
        </a:prstGeom>
      </xdr:spPr>
    </xdr:pic>
    <xdr:clientData/>
  </xdr:twoCellAnchor>
  <xdr:twoCellAnchor>
    <xdr:from>
      <xdr:col>2</xdr:col>
      <xdr:colOff>22860</xdr:colOff>
      <xdr:row>4</xdr:row>
      <xdr:rowOff>53340</xdr:rowOff>
    </xdr:from>
    <xdr:to>
      <xdr:col>10</xdr:col>
      <xdr:colOff>45900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8288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83820</xdr:colOff>
      <xdr:row>29</xdr:row>
      <xdr:rowOff>15240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10.%20Evidence%20and%20Evaluation\Datasets\Active%20Lives\Adult%20Active%20Lives\Enquiries\Active%20Ageing\Older%20adul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Activities"/>
      <sheetName val="ActiveLivesDataExport - 201 (2"/>
      <sheetName val="ActiveLivesDataExport - 2019-07"/>
      <sheetName val="Older adults"/>
    </sheetNames>
    <sheetDataSet>
      <sheetData sheetId="0"/>
      <sheetData sheetId="1"/>
      <sheetData sheetId="2"/>
      <sheetData sheetId="3"/>
      <sheetData sheetId="4"/>
      <sheetData sheetId="5">
        <row r="3">
          <cell r="A3" t="str">
            <v>Bolton</v>
          </cell>
          <cell r="B3">
            <v>0.35139644119512931</v>
          </cell>
        </row>
        <row r="4">
          <cell r="A4" t="str">
            <v>Bury</v>
          </cell>
          <cell r="B4">
            <v>0.27557864242795166</v>
          </cell>
        </row>
        <row r="5">
          <cell r="A5" t="str">
            <v>Manchester</v>
          </cell>
          <cell r="B5">
            <v>0.38755029137362923</v>
          </cell>
        </row>
        <row r="6">
          <cell r="A6" t="str">
            <v>Oldham</v>
          </cell>
          <cell r="B6">
            <v>0.34047965235376149</v>
          </cell>
        </row>
        <row r="7">
          <cell r="A7" t="str">
            <v>Rochdale</v>
          </cell>
          <cell r="B7">
            <v>0.34820003888570722</v>
          </cell>
        </row>
        <row r="8">
          <cell r="A8" t="str">
            <v>Salford</v>
          </cell>
          <cell r="B8">
            <v>0.3217943177495472</v>
          </cell>
        </row>
        <row r="9">
          <cell r="A9" t="str">
            <v>Stockport</v>
          </cell>
          <cell r="B9">
            <v>0.25105320785591434</v>
          </cell>
        </row>
        <row r="10">
          <cell r="A10" t="str">
            <v>Tameside</v>
          </cell>
          <cell r="B10">
            <v>0.29228223340743448</v>
          </cell>
        </row>
        <row r="11">
          <cell r="A11" t="str">
            <v>Trafford</v>
          </cell>
          <cell r="B11">
            <v>0.22011387398442533</v>
          </cell>
        </row>
        <row r="12">
          <cell r="A12" t="str">
            <v>Wigan</v>
          </cell>
          <cell r="B12">
            <v>0.27419854560925849</v>
          </cell>
        </row>
        <row r="15">
          <cell r="B15">
            <v>0.51974849803147261</v>
          </cell>
        </row>
        <row r="16">
          <cell r="B16">
            <v>0.54339582355266158</v>
          </cell>
        </row>
        <row r="17">
          <cell r="B17">
            <v>0.55448280655596227</v>
          </cell>
        </row>
        <row r="18">
          <cell r="B18">
            <v>0.51581687748481431</v>
          </cell>
        </row>
        <row r="19">
          <cell r="B19">
            <v>0.44800864147943648</v>
          </cell>
        </row>
        <row r="20">
          <cell r="B20">
            <v>0.59173685746527271</v>
          </cell>
        </row>
        <row r="21">
          <cell r="B21">
            <v>0.51096504402461351</v>
          </cell>
        </row>
        <row r="22">
          <cell r="B22">
            <v>0.68242039925768205</v>
          </cell>
        </row>
        <row r="23">
          <cell r="B23">
            <v>0.59146166248500187</v>
          </cell>
        </row>
        <row r="24">
          <cell r="B24">
            <v>0.47472579590086061</v>
          </cell>
        </row>
      </sheetData>
    </sheetDataSet>
  </externalBook>
</externalLink>
</file>

<file path=xl/queryTables/queryTable1.xml><?xml version="1.0" encoding="utf-8"?>
<queryTable xmlns="http://schemas.openxmlformats.org/spreadsheetml/2006/main" name="ExternalData_1" connectionId="8" autoFormatId="0" applyNumberFormats="0" applyBorderFormats="0" applyFontFormats="1" applyPatternFormats="1" applyAlignmentFormats="0" applyWidthHeightFormats="0">
  <queryTableRefresh preserveSortFilterLayout="0" nextId="103">
    <queryTableFields count="102">
      <queryTableField id="1" name="Area" tableColumnId="1"/>
      <queryTableField id="2" name="Release" tableColumnId="2"/>
      <queryTableField id="3" name="Active - Total Population" tableColumnId="3"/>
      <queryTableField id="4" name="Active - Numbers" tableColumnId="4"/>
      <queryTableField id="5" name="Male" tableColumnId="5"/>
      <queryTableField id="6" name="Female" tableColumnId="6"/>
      <queryTableField id="7" name="16-34" tableColumnId="7"/>
      <queryTableField id="8" name="35-54" tableColumnId="8"/>
      <queryTableField id="9" name="55-74" tableColumnId="9"/>
      <queryTableField id="10" name="75+" tableColumnId="10"/>
      <queryTableField id="11" name="16-54" tableColumnId="11"/>
      <queryTableField id="12" name="55+" tableColumnId="12"/>
      <queryTableField id="13" name="LT limiting disability" tableColumnId="13"/>
      <queryTableField id="14" name="No LT limiting disability" tableColumnId="14"/>
      <queryTableField id="15" name="White British" tableColumnId="15"/>
      <queryTableField id="16" name="White Other" tableColumnId="16"/>
      <queryTableField id="17" name="South Asian" tableColumnId="17"/>
      <queryTableField id="18" name="Black" tableColumnId="18"/>
      <queryTableField id="19" name="Chinese" tableColumnId="19"/>
      <queryTableField id="20" name="Mixed" tableColumnId="20"/>
      <queryTableField id="21" name="Other ethnic group" tableColumnId="21"/>
      <queryTableField id="22" name="NS SEC 1-2: Higher social groups" tableColumnId="22"/>
      <queryTableField id="23" name="NS SEC 3-5: Middle social groups" tableColumnId="23"/>
      <queryTableField id="24" name="NS SEC 6-8: Lower social groups" tableColumnId="24"/>
      <queryTableField id="25" name="NS SEC 9: Students and other" tableColumnId="25"/>
      <queryTableField id="26" name="Working full or part time" tableColumnId="26"/>
      <queryTableField id="27" name="Unemployed" tableColumnId="27"/>
      <queryTableField id="28" name="Not working - retired" tableColumnId="28"/>
      <queryTableField id="29" name="Not working - looking after house/children" tableColumnId="29"/>
      <queryTableField id="30" name="Not working - long term sick or disabled" tableColumnId="30"/>
      <queryTableField id="31" name="Student full or part time" tableColumnId="31"/>
      <queryTableField id="32" name="Other working status" tableColumnId="32"/>
      <queryTableField id="33" name="Fairly Active - Total Population" tableColumnId="33"/>
      <queryTableField id="34" name="Fairly Active - Numbers" tableColumnId="34"/>
      <queryTableField id="35" name="Male FA" tableColumnId="35"/>
      <queryTableField id="36" name="Female FA" tableColumnId="36"/>
      <queryTableField id="37" name="16-34 FA" tableColumnId="37"/>
      <queryTableField id="38" name="35-54 FA" tableColumnId="38"/>
      <queryTableField id="39" name="55-74 FA" tableColumnId="39"/>
      <queryTableField id="40" name="75+ FA" tableColumnId="40"/>
      <queryTableField id="41" name="16-54 FA" tableColumnId="41"/>
      <queryTableField id="42" name="55+ FA" tableColumnId="42"/>
      <queryTableField id="43" name="LT limiting disability FA" tableColumnId="43"/>
      <queryTableField id="44" name="No LT limiting disability FA" tableColumnId="44"/>
      <queryTableField id="45" name="White British FA" tableColumnId="45"/>
      <queryTableField id="46" name="White Other FA" tableColumnId="46"/>
      <queryTableField id="47" name="South Asian FA" tableColumnId="47"/>
      <queryTableField id="48" name="Black FA" tableColumnId="48"/>
      <queryTableField id="49" name="Chinese FA" tableColumnId="49"/>
      <queryTableField id="50" name="Mixed FA" tableColumnId="50"/>
      <queryTableField id="51" name="Other ethnic group FA" tableColumnId="51"/>
      <queryTableField id="52" name="NS SEC 1-2: Higher social groups FA" tableColumnId="52"/>
      <queryTableField id="53" name="NS SEC 3-5: Middle social groups FA" tableColumnId="53"/>
      <queryTableField id="54" name="NS SEC 6-8: Lower social groups FA" tableColumnId="54"/>
      <queryTableField id="55" name="NS SEC 9: Students and other FA" tableColumnId="55"/>
      <queryTableField id="56" name="Working full or part time FA" tableColumnId="56"/>
      <queryTableField id="57" name="Unemployed FA" tableColumnId="57"/>
      <queryTableField id="58" name="Not working - retired FA" tableColumnId="58"/>
      <queryTableField id="59" name="Not working - looking after house/children FA" tableColumnId="59"/>
      <queryTableField id="60" name="Not working - long term sick or disabled FA" tableColumnId="60"/>
      <queryTableField id="61" name="Student full or part time FA" tableColumnId="61"/>
      <queryTableField id="62" name="Other working status FA" tableColumnId="62"/>
      <queryTableField id="63" name="Inactive - Total Population" tableColumnId="63"/>
      <queryTableField id="64" name="Inactive - Numbers" tableColumnId="64"/>
      <queryTableField id="65" name="Male I" tableColumnId="65"/>
      <queryTableField id="66" name="Female I" tableColumnId="66"/>
      <queryTableField id="67" name="16-34 I" tableColumnId="67"/>
      <queryTableField id="68" name="35-54 I" tableColumnId="68"/>
      <queryTableField id="69" name="55-74 I" tableColumnId="69"/>
      <queryTableField id="70" name="75+ I" tableColumnId="70"/>
      <queryTableField id="71" name="16-54 I" tableColumnId="71"/>
      <queryTableField id="72" name="55+ I" tableColumnId="72"/>
      <queryTableField id="73" name="LT limiting disability I" tableColumnId="73"/>
      <queryTableField id="74" name="No LT limiting disability I" tableColumnId="74"/>
      <queryTableField id="75" name="White British I" tableColumnId="75"/>
      <queryTableField id="76" name="White Other I" tableColumnId="76"/>
      <queryTableField id="77" name="South Asian I" tableColumnId="77"/>
      <queryTableField id="78" name="Black I" tableColumnId="78"/>
      <queryTableField id="79" name="Chinese I" tableColumnId="79"/>
      <queryTableField id="80" name="Mixed I" tableColumnId="80"/>
      <queryTableField id="81" name="Other ethnic group I" tableColumnId="81"/>
      <queryTableField id="82" name="NS SEC 1-2: Higher social groups I" tableColumnId="82"/>
      <queryTableField id="83" name="NS SEC 3-5: Middle social groups I" tableColumnId="83"/>
      <queryTableField id="84" name="NS SEC 6-8: Lower social groups I" tableColumnId="84"/>
      <queryTableField id="85" name="NS SEC 9: Students and other I" tableColumnId="85"/>
      <queryTableField id="86" name="Working full or part time I" tableColumnId="86"/>
      <queryTableField id="87" name="Unemployed I" tableColumnId="87"/>
      <queryTableField id="88" name="Not working - retired I" tableColumnId="88"/>
      <queryTableField id="89" name="Not working - looking after house/children I" tableColumnId="89"/>
      <queryTableField id="90" name="Not working - long term sick or disabled I" tableColumnId="90"/>
      <queryTableField id="91" name="Student full or part time I" tableColumnId="91"/>
      <queryTableField id="92" name="Other working status I" tableColumnId="92"/>
      <queryTableField id="93" name="Moving" tableColumnId="93"/>
      <queryTableField id="94" name="Moving - Numbers" tableColumnId="94"/>
      <queryTableField id="95" name="Inactive Gender Gap" tableColumnId="95"/>
      <queryTableField id="96" name="Inactive Socio-Economic Gap" tableColumnId="96"/>
      <queryTableField id="97" name="Inactive Disability Gap" tableColumnId="97"/>
      <queryTableField id="98" name="Inactivity Age Gap" tableColumnId="98"/>
      <queryTableField id="99" name="Walking for leisure" tableColumnId="99"/>
      <queryTableField id="100" name="Walking for travel" tableColumnId="100"/>
      <queryTableField id="101" name="All walking" tableColumnId="101"/>
      <queryTableField id="102" name="Volunteering" tableColumnId="102"/>
    </queryTableFields>
  </queryTableRefresh>
</queryTable>
</file>

<file path=xl/queryTables/queryTable2.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49">
    <queryTableFields count="48">
      <queryTableField id="1" name="Area" tableColumnId="199"/>
      <queryTableField id="2" name="Release" tableColumnId="200"/>
      <queryTableField id="3" name="Active" tableColumnId="201"/>
      <queryTableField id="4" name="Active - Numbers" tableColumnId="202"/>
      <queryTableField id="5" name="Fairly Active" tableColumnId="203"/>
      <queryTableField id="6" name="Fairly Active - Numbers" tableColumnId="204"/>
      <queryTableField id="7" name="Less Active" tableColumnId="205"/>
      <queryTableField id="8" name="Less Active - Numbers" tableColumnId="206"/>
      <queryTableField id="9" name="Active 60 minutes every day" tableColumnId="207"/>
      <queryTableField id="10" name="Active 30 minutes+ at and outside school" tableColumnId="208"/>
      <queryTableField id="11" name="Active 30+ minutes outside school" tableColumnId="209"/>
      <queryTableField id="12" name="Active 30+ minutes at school" tableColumnId="210"/>
      <queryTableField id="13" name="Volunteered twice in the last 12 months" tableColumnId="211"/>
      <queryTableField id="14" name="Moving" tableColumnId="212"/>
      <queryTableField id="15" name="Moving - Numbers" tableColumnId="213"/>
      <queryTableField id="16" name="Boy - Active" tableColumnId="214"/>
      <queryTableField id="17" name="Girl - Active" tableColumnId="215"/>
      <queryTableField id="18" name="Low Affluence - Active" tableColumnId="216"/>
      <queryTableField id="19" name="Medium Affluence - Active" tableColumnId="217"/>
      <queryTableField id="20" name="High Affluence - Active" tableColumnId="218"/>
      <queryTableField id="21" name="White British - Active" tableColumnId="219"/>
      <queryTableField id="22" name="White Other - Active" tableColumnId="220"/>
      <queryTableField id="23" name="Asian - Active" tableColumnId="221"/>
      <queryTableField id="24" name="Black - Active" tableColumnId="222"/>
      <queryTableField id="25" name="Mixed - Active" tableColumnId="223"/>
      <queryTableField id="26" name="Other - Active" tableColumnId="224"/>
      <queryTableField id="27" name="Boy - Fairly Active" tableColumnId="225"/>
      <queryTableField id="28" name="Girl - Fairly Active" tableColumnId="226"/>
      <queryTableField id="29" name="Low Affluence - Fairly Active" tableColumnId="227"/>
      <queryTableField id="30" name="Medium Affluence - Fairly Active" tableColumnId="228"/>
      <queryTableField id="31" name="High Affluence - Fairly Active" tableColumnId="229"/>
      <queryTableField id="32" name="White British - Fairly Active" tableColumnId="230"/>
      <queryTableField id="33" name="White Other - Fairly Active" tableColumnId="231"/>
      <queryTableField id="34" name="Asian - Fairly Active" tableColumnId="232"/>
      <queryTableField id="35" name="Black - Fairly Active" tableColumnId="233"/>
      <queryTableField id="36" name="Mixed - Fairly Active" tableColumnId="234"/>
      <queryTableField id="37" name="Other - Fairly Active" tableColumnId="235"/>
      <queryTableField id="38" name="Boy - Less Active" tableColumnId="236"/>
      <queryTableField id="39" name="Girl - Less Active" tableColumnId="237"/>
      <queryTableField id="40" name="Low Affluence - Less Active" tableColumnId="238"/>
      <queryTableField id="41" name="Medium Affluence - Less Active" tableColumnId="239"/>
      <queryTableField id="42" name="High Affluence - Less Active" tableColumnId="240"/>
      <queryTableField id="43" name="White British - Less Active" tableColumnId="241"/>
      <queryTableField id="44" name="White Other - Less Active" tableColumnId="242"/>
      <queryTableField id="45" name="Asian - Less Active" tableColumnId="243"/>
      <queryTableField id="46" name="Black - Less Active" tableColumnId="244"/>
      <queryTableField id="47" name="Mixed - Less Active" tableColumnId="245"/>
      <queryTableField id="48" name="Other - Less Active" tableColumnId="246"/>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7" name="Area" displayName="Area" ref="A2:A14" totalsRowShown="0">
  <autoFilter ref="A2:A14"/>
  <tableColumns count="1">
    <tableColumn id="1" name="Area"/>
  </tableColumns>
  <tableStyleInfo name="TableStyleMedium2" showFirstColumn="0" showLastColumn="0" showRowStripes="1" showColumnStripes="0"/>
</table>
</file>

<file path=xl/tables/table2.xml><?xml version="1.0" encoding="utf-8"?>
<table xmlns="http://schemas.openxmlformats.org/spreadsheetml/2006/main" id="40" name="Table40" displayName="Table40" ref="C2:C8" totalsRowShown="0">
  <autoFilter ref="C2:C8"/>
  <tableColumns count="1">
    <tableColumn id="1" name="Inequalities"/>
  </tableColumns>
  <tableStyleInfo name="TableStyleMedium2" showFirstColumn="0" showLastColumn="0" showRowStripes="1" showColumnStripes="0"/>
</table>
</file>

<file path=xl/tables/table3.xml><?xml version="1.0" encoding="utf-8"?>
<table xmlns="http://schemas.openxmlformats.org/spreadsheetml/2006/main" id="41" name="InequalitiesCYP" displayName="InequalitiesCYP" ref="E2:E5" totalsRowShown="0">
  <autoFilter ref="E2:E5"/>
  <tableColumns count="1">
    <tableColumn id="1" name="Inequalities"/>
  </tableColumns>
  <tableStyleInfo name="TableStyleMedium2" showFirstColumn="0" showLastColumn="0" showRowStripes="1" showColumnStripes="0"/>
</table>
</file>

<file path=xl/tables/table4.xml><?xml version="1.0" encoding="utf-8"?>
<table xmlns="http://schemas.openxmlformats.org/spreadsheetml/2006/main" id="16" name="Full_Data_Set" displayName="Full_Data_Set" ref="A1:CX109" tableType="queryTable" totalsRowShown="0" headerRowDxfId="2892" dataDxfId="2891">
  <autoFilter ref="A1:CX109">
    <filterColumn colId="0">
      <filters>
        <filter val="GM"/>
      </filters>
    </filterColumn>
    <filterColumn colId="1">
      <filters>
        <filter val="May 19-20"/>
        <filter val="Nov 18-19"/>
      </filters>
    </filterColumn>
  </autoFilter>
  <tableColumns count="102">
    <tableColumn id="1" uniqueName="1" name="Area" queryTableFieldId="1" dataDxfId="2890"/>
    <tableColumn id="2" uniqueName="2" name="Release" queryTableFieldId="2" dataDxfId="2889"/>
    <tableColumn id="3" uniqueName="3" name="Active - Total Population" queryTableFieldId="3" dataDxfId="2888"/>
    <tableColumn id="4" uniqueName="4" name="Active - Numbers" queryTableFieldId="4" dataDxfId="2887"/>
    <tableColumn id="5" uniqueName="5" name="Male" queryTableFieldId="5" dataDxfId="2886"/>
    <tableColumn id="6" uniqueName="6" name="Female" queryTableFieldId="6" dataDxfId="2885"/>
    <tableColumn id="7" uniqueName="7" name="16-34" queryTableFieldId="7" dataDxfId="2884"/>
    <tableColumn id="8" uniqueName="8" name="35-54" queryTableFieldId="8" dataDxfId="2883"/>
    <tableColumn id="9" uniqueName="9" name="55-74" queryTableFieldId="9" dataDxfId="2882"/>
    <tableColumn id="10" uniqueName="10" name="75+" queryTableFieldId="10" dataDxfId="2881"/>
    <tableColumn id="11" uniqueName="11" name="16-54" queryTableFieldId="11" dataDxfId="2880"/>
    <tableColumn id="12" uniqueName="12" name="55+" queryTableFieldId="12" dataDxfId="2879"/>
    <tableColumn id="13" uniqueName="13" name="LT limiting disability" queryTableFieldId="13" dataDxfId="2878"/>
    <tableColumn id="14" uniqueName="14" name="No LT limiting disability" queryTableFieldId="14" dataDxfId="2877"/>
    <tableColumn id="15" uniqueName="15" name="White British" queryTableFieldId="15" dataDxfId="2876"/>
    <tableColumn id="16" uniqueName="16" name="White Other" queryTableFieldId="16" dataDxfId="2875"/>
    <tableColumn id="17" uniqueName="17" name="South Asian" queryTableFieldId="17" dataDxfId="2874"/>
    <tableColumn id="18" uniqueName="18" name="Black" queryTableFieldId="18" dataDxfId="2873"/>
    <tableColumn id="19" uniqueName="19" name="Chinese" queryTableFieldId="19" dataDxfId="2872"/>
    <tableColumn id="20" uniqueName="20" name="Mixed" queryTableFieldId="20" dataDxfId="2871"/>
    <tableColumn id="21" uniqueName="21" name="Other ethnic group" queryTableFieldId="21" dataDxfId="2870"/>
    <tableColumn id="22" uniqueName="22" name="NS SEC 1-2: Higher social groups" queryTableFieldId="22" dataDxfId="2869"/>
    <tableColumn id="23" uniqueName="23" name="NS SEC 3-5: Middle social groups" queryTableFieldId="23" dataDxfId="2868"/>
    <tableColumn id="24" uniqueName="24" name="NS SEC 6-8: Lower social groups" queryTableFieldId="24" dataDxfId="2867"/>
    <tableColumn id="25" uniqueName="25" name="NS SEC 9: Students and other" queryTableFieldId="25" dataDxfId="2866"/>
    <tableColumn id="26" uniqueName="26" name="Working full or part time" queryTableFieldId="26" dataDxfId="2865"/>
    <tableColumn id="27" uniqueName="27" name="Unemployed" queryTableFieldId="27" dataDxfId="2864"/>
    <tableColumn id="28" uniqueName="28" name="Not working - retired" queryTableFieldId="28" dataDxfId="2863"/>
    <tableColumn id="29" uniqueName="29" name="Not working - looking after house/children" queryTableFieldId="29" dataDxfId="2862"/>
    <tableColumn id="30" uniqueName="30" name="Not working - long term sick or disabled" queryTableFieldId="30" dataDxfId="2861"/>
    <tableColumn id="31" uniqueName="31" name="Student full or part time" queryTableFieldId="31" dataDxfId="2860"/>
    <tableColumn id="32" uniqueName="32" name="Other working status" queryTableFieldId="32" dataDxfId="2859"/>
    <tableColumn id="33" uniqueName="33" name="Fairly Active - Total Population" queryTableFieldId="33" dataDxfId="2858"/>
    <tableColumn id="34" uniqueName="34" name="Fairly Active - Numbers" queryTableFieldId="34" dataDxfId="2857"/>
    <tableColumn id="35" uniqueName="35" name="Male FA" queryTableFieldId="35" dataDxfId="2856"/>
    <tableColumn id="36" uniqueName="36" name="Female FA" queryTableFieldId="36" dataDxfId="2855"/>
    <tableColumn id="37" uniqueName="37" name="16-34 FA" queryTableFieldId="37" dataDxfId="2854"/>
    <tableColumn id="38" uniqueName="38" name="35-54 FA" queryTableFieldId="38" dataDxfId="2853"/>
    <tableColumn id="39" uniqueName="39" name="55-74 FA" queryTableFieldId="39" dataDxfId="2852"/>
    <tableColumn id="40" uniqueName="40" name="75+ FA" queryTableFieldId="40" dataDxfId="2851"/>
    <tableColumn id="41" uniqueName="41" name="16-54 FA" queryTableFieldId="41" dataDxfId="2850"/>
    <tableColumn id="42" uniqueName="42" name="55+ FA" queryTableFieldId="42" dataDxfId="2849"/>
    <tableColumn id="43" uniqueName="43" name="LT limiting disability FA" queryTableFieldId="43" dataDxfId="2848"/>
    <tableColumn id="44" uniqueName="44" name="No LT limiting disability FA" queryTableFieldId="44" dataDxfId="2847"/>
    <tableColumn id="45" uniqueName="45" name="White British FA" queryTableFieldId="45" dataDxfId="2846"/>
    <tableColumn id="46" uniqueName="46" name="White Other FA" queryTableFieldId="46" dataDxfId="2845"/>
    <tableColumn id="47" uniqueName="47" name="South Asian FA" queryTableFieldId="47" dataDxfId="2844"/>
    <tableColumn id="48" uniqueName="48" name="Black FA" queryTableFieldId="48" dataDxfId="2843"/>
    <tableColumn id="49" uniqueName="49" name="Chinese FA" queryTableFieldId="49" dataDxfId="2842"/>
    <tableColumn id="50" uniqueName="50" name="Mixed FA" queryTableFieldId="50" dataDxfId="2841"/>
    <tableColumn id="51" uniqueName="51" name="Other ethnic group FA" queryTableFieldId="51" dataDxfId="2840"/>
    <tableColumn id="52" uniqueName="52" name="NS SEC 1-2: Higher social groups FA" queryTableFieldId="52" dataDxfId="2839"/>
    <tableColumn id="53" uniqueName="53" name="NS SEC 3-5: Middle social groups FA" queryTableFieldId="53" dataDxfId="2838"/>
    <tableColumn id="54" uniqueName="54" name="NS SEC 6-8: Lower social groups FA" queryTableFieldId="54" dataDxfId="2837"/>
    <tableColumn id="55" uniqueName="55" name="NS SEC 9: Students and other FA" queryTableFieldId="55" dataDxfId="2836"/>
    <tableColumn id="56" uniqueName="56" name="Working full or part time FA" queryTableFieldId="56" dataDxfId="2835"/>
    <tableColumn id="57" uniqueName="57" name="Unemployed FA" queryTableFieldId="57" dataDxfId="2834"/>
    <tableColumn id="58" uniqueName="58" name="Not working - retired FA" queryTableFieldId="58" dataDxfId="2833"/>
    <tableColumn id="59" uniqueName="59" name="Not working - looking after house/children FA" queryTableFieldId="59" dataDxfId="2832"/>
    <tableColumn id="60" uniqueName="60" name="Not working - long term sick or disabled FA" queryTableFieldId="60" dataDxfId="2831"/>
    <tableColumn id="61" uniqueName="61" name="Student full or part time FA" queryTableFieldId="61" dataDxfId="2830"/>
    <tableColumn id="62" uniqueName="62" name="Other working status FA" queryTableFieldId="62" dataDxfId="2829"/>
    <tableColumn id="63" uniqueName="63" name="Inactive - Total Population" queryTableFieldId="63" dataDxfId="2828"/>
    <tableColumn id="64" uniqueName="64" name="Inactive - Numbers" queryTableFieldId="64" dataDxfId="2827"/>
    <tableColumn id="65" uniqueName="65" name="Male I" queryTableFieldId="65" dataDxfId="2826"/>
    <tableColumn id="66" uniqueName="66" name="Female I" queryTableFieldId="66" dataDxfId="2825"/>
    <tableColumn id="67" uniqueName="67" name="16-34 I" queryTableFieldId="67" dataDxfId="2824"/>
    <tableColumn id="68" uniqueName="68" name="35-54 I" queryTableFieldId="68" dataDxfId="2823"/>
    <tableColumn id="69" uniqueName="69" name="55-74 I" queryTableFieldId="69" dataDxfId="2822"/>
    <tableColumn id="70" uniqueName="70" name="75+ I" queryTableFieldId="70" dataDxfId="2821"/>
    <tableColumn id="71" uniqueName="71" name="16-54 I" queryTableFieldId="71" dataDxfId="2820"/>
    <tableColumn id="72" uniqueName="72" name="55+ I" queryTableFieldId="72" dataDxfId="2819"/>
    <tableColumn id="73" uniqueName="73" name="LT limiting disability I" queryTableFieldId="73" dataDxfId="2818"/>
    <tableColumn id="74" uniqueName="74" name="No LT limiting disability I" queryTableFieldId="74" dataDxfId="2817"/>
    <tableColumn id="75" uniqueName="75" name="White British I" queryTableFieldId="75" dataDxfId="2816"/>
    <tableColumn id="76" uniqueName="76" name="White Other I" queryTableFieldId="76" dataDxfId="2815"/>
    <tableColumn id="77" uniqueName="77" name="South Asian I" queryTableFieldId="77" dataDxfId="2814"/>
    <tableColumn id="78" uniqueName="78" name="Black I" queryTableFieldId="78" dataDxfId="2813"/>
    <tableColumn id="79" uniqueName="79" name="Chinese I" queryTableFieldId="79" dataDxfId="2812"/>
    <tableColumn id="80" uniqueName="80" name="Mixed I" queryTableFieldId="80" dataDxfId="2811"/>
    <tableColumn id="81" uniqueName="81" name="Other ethnic group I" queryTableFieldId="81" dataDxfId="2810"/>
    <tableColumn id="82" uniqueName="82" name="NS SEC 1-2: Higher social groups I" queryTableFieldId="82" dataDxfId="2809"/>
    <tableColumn id="83" uniqueName="83" name="NS SEC 3-5: Middle social groups I" queryTableFieldId="83" dataDxfId="2808"/>
    <tableColumn id="84" uniqueName="84" name="NS SEC 6-8: Lower social groups I" queryTableFieldId="84" dataDxfId="2807"/>
    <tableColumn id="85" uniqueName="85" name="NS SEC 9: Students and other I" queryTableFieldId="85" dataDxfId="2806"/>
    <tableColumn id="86" uniqueName="86" name="Working full or part time I" queryTableFieldId="86" dataDxfId="2805"/>
    <tableColumn id="87" uniqueName="87" name="Unemployed I" queryTableFieldId="87" dataDxfId="2804"/>
    <tableColumn id="88" uniqueName="88" name="Not working - retired I" queryTableFieldId="88" dataDxfId="2803"/>
    <tableColumn id="89" uniqueName="89" name="Not working - looking after house/children I" queryTableFieldId="89" dataDxfId="2802"/>
    <tableColumn id="90" uniqueName="90" name="Not working - long term sick or disabled I" queryTableFieldId="90" dataDxfId="2801"/>
    <tableColumn id="91" uniqueName="91" name="Student full or part time I" queryTableFieldId="91" dataDxfId="2800"/>
    <tableColumn id="92" uniqueName="92" name="Other working status I" queryTableFieldId="92" dataDxfId="2799"/>
    <tableColumn id="93" uniqueName="93" name="Moving" queryTableFieldId="93" dataDxfId="2798"/>
    <tableColumn id="94" uniqueName="94" name="Moving - Numbers" queryTableFieldId="94" dataDxfId="2797"/>
    <tableColumn id="95" uniqueName="95" name="Inactive Gender Gap" queryTableFieldId="95" dataDxfId="2796"/>
    <tableColumn id="96" uniqueName="96" name="Inactive Socio-Economic Gap" queryTableFieldId="96" dataDxfId="2795"/>
    <tableColumn id="97" uniqueName="97" name="Inactive Disability Gap" queryTableFieldId="97" dataDxfId="2794"/>
    <tableColumn id="98" uniqueName="98" name="Inactivity Age Gap" queryTableFieldId="98" dataDxfId="2793"/>
    <tableColumn id="99" uniqueName="99" name="Walking for leisure" queryTableFieldId="99" dataDxfId="2792"/>
    <tableColumn id="100" uniqueName="100" name="Walking for travel" queryTableFieldId="100" dataDxfId="2791"/>
    <tableColumn id="101" uniqueName="101" name="All walking" queryTableFieldId="101" dataDxfId="2790"/>
    <tableColumn id="102" uniqueName="102" name="Volunteering" queryTableFieldId="102" dataDxfId="2789"/>
  </tableColumns>
  <tableStyleInfo name="TableStyleLight9" showFirstColumn="0" showLastColumn="0" showRowStripes="1" showColumnStripes="0"/>
</table>
</file>

<file path=xl/tables/table5.xml><?xml version="1.0" encoding="utf-8"?>
<table xmlns="http://schemas.openxmlformats.org/spreadsheetml/2006/main" id="15" name="Append1" displayName="Append1" ref="A1:AV25" tableType="queryTable" totalsRowShown="0" headerRowDxfId="2788" dataDxfId="2787">
  <autoFilter ref="A1:AV25"/>
  <tableColumns count="48">
    <tableColumn id="199" uniqueName="199" name="Area" queryTableFieldId="1" dataDxfId="2786"/>
    <tableColumn id="200" uniqueName="200" name="Release" queryTableFieldId="2" dataDxfId="2785"/>
    <tableColumn id="201" uniqueName="201" name="Active" queryTableFieldId="3" dataDxfId="2784" dataCellStyle="Percent"/>
    <tableColumn id="202" uniqueName="202" name="Active - Numbers" queryTableFieldId="4" dataDxfId="2783"/>
    <tableColumn id="203" uniqueName="203" name="Fairly Active" queryTableFieldId="5" dataDxfId="2782" dataCellStyle="Percent"/>
    <tableColumn id="204" uniqueName="204" name="Fairly Active - Numbers" queryTableFieldId="6" dataDxfId="2781"/>
    <tableColumn id="205" uniqueName="205" name="Less Active" queryTableFieldId="7" dataDxfId="2780" dataCellStyle="Percent"/>
    <tableColumn id="206" uniqueName="206" name="Less Active - Numbers" queryTableFieldId="8" dataDxfId="2779"/>
    <tableColumn id="207" uniqueName="207" name="Active 60 minutes every day" queryTableFieldId="9" dataDxfId="2778" dataCellStyle="Percent"/>
    <tableColumn id="208" uniqueName="208" name="Active 30 minutes+ at and outside school" queryTableFieldId="10" dataDxfId="2777" dataCellStyle="Percent"/>
    <tableColumn id="209" uniqueName="209" name="Active 30+ minutes outside school" queryTableFieldId="11" dataDxfId="2776" dataCellStyle="Percent"/>
    <tableColumn id="210" uniqueName="210" name="Active 30+ minutes at school" queryTableFieldId="12" dataDxfId="2775" dataCellStyle="Percent"/>
    <tableColumn id="211" uniqueName="211" name="Volunteered twice in the last 12 months" queryTableFieldId="13" dataDxfId="2774" dataCellStyle="Percent"/>
    <tableColumn id="212" uniqueName="212" name="Moving" queryTableFieldId="14" dataDxfId="2773" dataCellStyle="Percent"/>
    <tableColumn id="213" uniqueName="213" name="Moving - Numbers" queryTableFieldId="15" dataDxfId="2772"/>
    <tableColumn id="214" uniqueName="214" name="Boy - Active" queryTableFieldId="16" dataDxfId="2771" dataCellStyle="Percent"/>
    <tableColumn id="215" uniqueName="215" name="Girl - Active" queryTableFieldId="17" dataDxfId="2770" dataCellStyle="Percent"/>
    <tableColumn id="216" uniqueName="216" name="Low Affluence - Active" queryTableFieldId="18" dataDxfId="2769" dataCellStyle="Percent"/>
    <tableColumn id="217" uniqueName="217" name="Medium Affluence - Active" queryTableFieldId="19" dataDxfId="2768" dataCellStyle="Percent"/>
    <tableColumn id="218" uniqueName="218" name="High Affluence - Active" queryTableFieldId="20" dataDxfId="2767" dataCellStyle="Percent"/>
    <tableColumn id="219" uniqueName="219" name="White British - Active" queryTableFieldId="21" dataDxfId="2766" dataCellStyle="Percent"/>
    <tableColumn id="220" uniqueName="220" name="White Other - Active" queryTableFieldId="22" dataDxfId="2765" dataCellStyle="Percent"/>
    <tableColumn id="221" uniqueName="221" name="Asian - Active" queryTableFieldId="23" dataDxfId="2764" dataCellStyle="Percent"/>
    <tableColumn id="222" uniqueName="222" name="Black - Active" queryTableFieldId="24" dataDxfId="2763" dataCellStyle="Percent"/>
    <tableColumn id="223" uniqueName="223" name="Mixed - Active" queryTableFieldId="25" dataDxfId="2762" dataCellStyle="Percent"/>
    <tableColumn id="224" uniqueName="224" name="Other - Active" queryTableFieldId="26" dataDxfId="2761" dataCellStyle="Percent"/>
    <tableColumn id="225" uniqueName="225" name="Boy - Fairly Active" queryTableFieldId="27" dataDxfId="2760" dataCellStyle="Percent"/>
    <tableColumn id="226" uniqueName="226" name="Girl - Fairly Active" queryTableFieldId="28" dataDxfId="2759" dataCellStyle="Percent"/>
    <tableColumn id="227" uniqueName="227" name="Low Affluence - Fairly Active" queryTableFieldId="29" dataDxfId="2758" dataCellStyle="Percent"/>
    <tableColumn id="228" uniqueName="228" name="Medium Affluence - Fairly Active" queryTableFieldId="30" dataDxfId="2757" dataCellStyle="Percent"/>
    <tableColumn id="229" uniqueName="229" name="High Affluence - Fairly Active" queryTableFieldId="31" dataDxfId="2756" dataCellStyle="Percent"/>
    <tableColumn id="230" uniqueName="230" name="White British - Fairly Active" queryTableFieldId="32" dataDxfId="2755" dataCellStyle="Percent"/>
    <tableColumn id="231" uniqueName="231" name="White Other - Fairly Active" queryTableFieldId="33" dataDxfId="2754" dataCellStyle="Percent"/>
    <tableColumn id="232" uniqueName="232" name="Asian - Fairly Active" queryTableFieldId="34" dataDxfId="2753" dataCellStyle="Percent"/>
    <tableColumn id="233" uniqueName="233" name="Black - Fairly Active" queryTableFieldId="35" dataDxfId="2752" dataCellStyle="Percent"/>
    <tableColumn id="234" uniqueName="234" name="Mixed - Fairly Active" queryTableFieldId="36" dataDxfId="2751" dataCellStyle="Percent"/>
    <tableColumn id="235" uniqueName="235" name="Other - Fairly Active" queryTableFieldId="37" dataDxfId="2750" dataCellStyle="Percent"/>
    <tableColumn id="236" uniqueName="236" name="Boy - Less Active" queryTableFieldId="38" dataDxfId="2749" dataCellStyle="Percent"/>
    <tableColumn id="237" uniqueName="237" name="Girl - Less Active" queryTableFieldId="39" dataDxfId="2748" dataCellStyle="Percent"/>
    <tableColumn id="238" uniqueName="238" name="Low Affluence - Less Active" queryTableFieldId="40" dataDxfId="2747" dataCellStyle="Percent"/>
    <tableColumn id="239" uniqueName="239" name="Medium Affluence - Less Active" queryTableFieldId="41" dataDxfId="2746" dataCellStyle="Percent"/>
    <tableColumn id="240" uniqueName="240" name="High Affluence - Less Active" queryTableFieldId="42" dataDxfId="2745" dataCellStyle="Percent"/>
    <tableColumn id="241" uniqueName="241" name="White British - Less Active" queryTableFieldId="43" dataDxfId="2744" dataCellStyle="Percent"/>
    <tableColumn id="242" uniqueName="242" name="White Other - Less Active" queryTableFieldId="44" dataDxfId="2743" dataCellStyle="Percent"/>
    <tableColumn id="243" uniqueName="243" name="Asian - Less Active" queryTableFieldId="45" dataDxfId="2742" dataCellStyle="Percent"/>
    <tableColumn id="244" uniqueName="244" name="Black - Less Active" queryTableFieldId="46" dataDxfId="2741" dataCellStyle="Percent"/>
    <tableColumn id="245" uniqueName="245" name="Mixed - Less Active" queryTableFieldId="47" dataDxfId="2740" dataCellStyle="Percent"/>
    <tableColumn id="246" uniqueName="246" name="Other - Less Active" queryTableFieldId="48" dataDxfId="2739" dataCellStyle="Percent"/>
  </tableColumns>
  <tableStyleInfo name="TableStyleLight9" showFirstColumn="0" showLastColumn="0" showRowStripes="1" showColumnStripes="0"/>
</table>
</file>

<file path=xl/tables/table6.xml><?xml version="1.0" encoding="utf-8"?>
<table xmlns="http://schemas.openxmlformats.org/spreadsheetml/2006/main" id="12" name="England" displayName="England" ref="A2:CX11" totalsRowShown="0" dataDxfId="2390" headerRowCellStyle="Normal" dataCellStyle="Percent">
  <autoFilter ref="A2:CX11"/>
  <tableColumns count="102">
    <tableColumn id="90" name="Area" dataDxfId="2389" dataCellStyle="Percent"/>
    <tableColumn id="1" name="Release" dataDxfId="2388" dataCellStyle="Percent"/>
    <tableColumn id="2" name="Active - Total Population" dataDxfId="2387" dataCellStyle="Percent"/>
    <tableColumn id="95" name="Active - Numbers" dataDxfId="2386" dataCellStyle="Percent"/>
    <tableColumn id="3" name="Male" dataDxfId="2385" dataCellStyle="Percent"/>
    <tableColumn id="4" name="Female" dataDxfId="2384" dataCellStyle="Percent"/>
    <tableColumn id="5" name="16-34" dataDxfId="2383" dataCellStyle="Percent"/>
    <tableColumn id="6" name="35-54" dataDxfId="2382" dataCellStyle="Percent"/>
    <tableColumn id="7" name="55-74" dataDxfId="2381" dataCellStyle="Percent"/>
    <tableColumn id="8" name="75+" dataDxfId="2380" dataCellStyle="Percent"/>
    <tableColumn id="9" name="16-54" dataDxfId="2379" dataCellStyle="Percent"/>
    <tableColumn id="10" name="55+" dataDxfId="2378" dataCellStyle="Percent"/>
    <tableColumn id="11" name="LT limiting disability" dataDxfId="2377" dataCellStyle="Percent"/>
    <tableColumn id="12" name="No LT limiting disability" dataDxfId="2376" dataCellStyle="Percent"/>
    <tableColumn id="13" name="White British" dataDxfId="2375" dataCellStyle="Percent"/>
    <tableColumn id="14" name="White Other" dataDxfId="2374" dataCellStyle="Percent"/>
    <tableColumn id="15" name="South Asian" dataDxfId="2373" dataCellStyle="Percent"/>
    <tableColumn id="16" name="Black" dataDxfId="2372" dataCellStyle="Percent"/>
    <tableColumn id="17" name="Chinese" dataDxfId="2371" dataCellStyle="Percent"/>
    <tableColumn id="18" name="Mixed" dataDxfId="2370" dataCellStyle="Percent"/>
    <tableColumn id="19" name="Other ethnic group" dataDxfId="2369" dataCellStyle="Percent"/>
    <tableColumn id="20" name="NS SEC 1-2: Higher social groups" dataDxfId="2368" dataCellStyle="Percent"/>
    <tableColumn id="21" name="NS SEC 3-5: Middle social groups" dataDxfId="2367" dataCellStyle="Percent"/>
    <tableColumn id="22" name="NS SEC 6-8: Lower social groups" dataDxfId="2366" dataCellStyle="Percent"/>
    <tableColumn id="23" name="NS SEC 9: Students and other" dataDxfId="2365" dataCellStyle="Percent"/>
    <tableColumn id="24" name="Working full or part time" dataDxfId="2364" dataCellStyle="Percent"/>
    <tableColumn id="25" name="Unemployed" dataDxfId="2363" dataCellStyle="Percent"/>
    <tableColumn id="26" name="Not working - retired" dataDxfId="2362" dataCellStyle="Percent"/>
    <tableColumn id="27" name="Not working - looking after house/children" dataDxfId="2361" dataCellStyle="Percent"/>
    <tableColumn id="28" name="Not working - long term sick or disabled" dataDxfId="2360" dataCellStyle="Percent"/>
    <tableColumn id="29" name="Student full or part time" dataDxfId="2359" dataCellStyle="Percent"/>
    <tableColumn id="30" name="Other working status" dataDxfId="2358" dataCellStyle="Percent"/>
    <tableColumn id="31" name="Fairly Active - Total Population" dataDxfId="2357" dataCellStyle="Percent"/>
    <tableColumn id="96" name="Fairly Active - Numbers" dataDxfId="2356" dataCellStyle="Percent"/>
    <tableColumn id="32" name="Male FA" dataDxfId="2355" dataCellStyle="Percent"/>
    <tableColumn id="33" name="Female FA" dataDxfId="2354" dataCellStyle="Percent"/>
    <tableColumn id="34" name="16-34 FA" dataDxfId="2353" dataCellStyle="Percent"/>
    <tableColumn id="35" name="35-54 FA" dataDxfId="2352" dataCellStyle="Percent"/>
    <tableColumn id="36" name="55-74 FA" dataDxfId="2351" dataCellStyle="Percent"/>
    <tableColumn id="37" name="75+ FA" dataDxfId="2350" dataCellStyle="Percent"/>
    <tableColumn id="38" name="16-54 FA" dataDxfId="2349" dataCellStyle="Percent"/>
    <tableColumn id="39" name="55+ FA" dataDxfId="2348" dataCellStyle="Percent"/>
    <tableColumn id="40" name="LT limiting disability FA" dataDxfId="2347" dataCellStyle="Percent"/>
    <tableColumn id="41" name="No LT limiting disability FA" dataDxfId="2346" dataCellStyle="Percent"/>
    <tableColumn id="42" name="White British FA" dataDxfId="2345" dataCellStyle="Percent"/>
    <tableColumn id="43" name="White Other FA" dataDxfId="2344" dataCellStyle="Percent"/>
    <tableColumn id="44" name="South Asian FA" dataDxfId="2343" dataCellStyle="Percent"/>
    <tableColumn id="45" name="Black FA" dataDxfId="2342" dataCellStyle="Percent"/>
    <tableColumn id="46" name="Chinese FA" dataDxfId="2341" dataCellStyle="Percent"/>
    <tableColumn id="47" name="Mixed FA" dataDxfId="2340" dataCellStyle="Percent"/>
    <tableColumn id="48" name="Other ethnic group FA" dataDxfId="2339" dataCellStyle="Percent"/>
    <tableColumn id="49" name="NS SEC 1-2: Higher social groups FA" dataDxfId="2338" dataCellStyle="Percent"/>
    <tableColumn id="50" name="NS SEC 3-5: Middle social groups FA" dataDxfId="2337" dataCellStyle="Percent"/>
    <tableColumn id="51" name="NS SEC 6-8: Lower social groups FA" dataDxfId="2336" dataCellStyle="Percent"/>
    <tableColumn id="52" name="NS SEC 9: Students and other FA" dataDxfId="2335" dataCellStyle="Percent"/>
    <tableColumn id="53" name="Working full or part time FA" dataDxfId="2334" dataCellStyle="Percent"/>
    <tableColumn id="54" name="Unemployed FA" dataDxfId="2333" dataCellStyle="Percent"/>
    <tableColumn id="55" name="Not working - retired FA" dataDxfId="2332" dataCellStyle="Percent"/>
    <tableColumn id="56" name="Not working - looking after house/children FA" dataDxfId="2331" dataCellStyle="Percent"/>
    <tableColumn id="57" name="Not working - long term sick or disabled FA" dataDxfId="2330" dataCellStyle="Percent"/>
    <tableColumn id="58" name="Student full or part time FA" dataDxfId="2329" dataCellStyle="Percent"/>
    <tableColumn id="59" name="Other working status FA" dataDxfId="2328" dataCellStyle="Percent"/>
    <tableColumn id="60" name="Inactive - Total Population" dataDxfId="2327" dataCellStyle="Percent"/>
    <tableColumn id="97" name="Inactive - Numbers" dataDxfId="2326" dataCellStyle="Percent"/>
    <tableColumn id="61" name="Male I" dataDxfId="2325" dataCellStyle="Percent"/>
    <tableColumn id="62" name="Female I" dataDxfId="2324" dataCellStyle="Percent"/>
    <tableColumn id="63" name="16-34 I" dataDxfId="2323" dataCellStyle="Percent"/>
    <tableColumn id="64" name="35-54 I" dataDxfId="2322" dataCellStyle="Percent"/>
    <tableColumn id="65" name="55-74 I" dataDxfId="2321" dataCellStyle="Percent"/>
    <tableColumn id="66" name="75+ I" dataDxfId="2320" dataCellStyle="Percent"/>
    <tableColumn id="67" name="16-54 I" dataDxfId="2319" dataCellStyle="Percent"/>
    <tableColumn id="68" name="55+ I" dataDxfId="2318" dataCellStyle="Percent"/>
    <tableColumn id="69" name="LT limiting disability I" dataDxfId="2317" dataCellStyle="Percent"/>
    <tableColumn id="70" name="No LT limiting disability I" dataDxfId="2316" dataCellStyle="Percent"/>
    <tableColumn id="71" name="White British I" dataDxfId="2315" dataCellStyle="Percent"/>
    <tableColumn id="72" name="White Other I" dataDxfId="2314" dataCellStyle="Percent"/>
    <tableColumn id="73" name="South Asian I" dataDxfId="2313" dataCellStyle="Percent"/>
    <tableColumn id="74" name="Black I" dataDxfId="2312" dataCellStyle="Percent"/>
    <tableColumn id="75" name="Chinese I" dataDxfId="2311" dataCellStyle="Percent"/>
    <tableColumn id="76" name="Mixed I" dataDxfId="2310" dataCellStyle="Percent"/>
    <tableColumn id="77" name="Other ethnic group I" dataDxfId="2309" dataCellStyle="Percent"/>
    <tableColumn id="78" name="NS SEC 1-2: Higher social groups I" dataDxfId="2308" dataCellStyle="Percent"/>
    <tableColumn id="79" name="NS SEC 3-5: Middle social groups I" dataDxfId="2307" dataCellStyle="Percent"/>
    <tableColumn id="80" name="NS SEC 6-8: Lower social groups I" dataDxfId="2306" dataCellStyle="Percent"/>
    <tableColumn id="81" name="NS SEC 9: Students and other I" dataDxfId="2305" dataCellStyle="Percent"/>
    <tableColumn id="82" name="Working full or part time I" dataDxfId="2304" dataCellStyle="Percent"/>
    <tableColumn id="83" name="Unemployed I" dataDxfId="2303" dataCellStyle="Percent"/>
    <tableColumn id="84" name="Not working - retired I" dataDxfId="2302" dataCellStyle="Percent"/>
    <tableColumn id="85" name="Not working - looking after house/children I" dataDxfId="2301" dataCellStyle="Percent"/>
    <tableColumn id="86" name="Not working - long term sick or disabled I" dataDxfId="2300" dataCellStyle="Percent"/>
    <tableColumn id="87" name="Student full or part time I" dataDxfId="2299" dataCellStyle="Percent"/>
    <tableColumn id="88" name="Other working status I" dataDxfId="2298" dataCellStyle="Percent"/>
    <tableColumn id="89" name="Moving" dataDxfId="2297" dataCellStyle="Percent">
      <calculatedColumnFormula>SUM(C3,AG3)</calculatedColumnFormula>
    </tableColumn>
    <tableColumn id="98" name="Moving - Numbers" dataDxfId="2296" dataCellStyle="Percent">
      <calculatedColumnFormula>England[[#This Row],[Active - Numbers]]+England[[#This Row],[Fairly Active - Numbers]]</calculatedColumnFormula>
    </tableColumn>
    <tableColumn id="91" name="Inactive Gender Gap" dataDxfId="2295" dataCellStyle="Percent">
      <calculatedColumnFormula>England[[#This Row],[Male I]]-England[[#This Row],[Female I]]</calculatedColumnFormula>
    </tableColumn>
    <tableColumn id="92" name="Inactive Socio-Economic Gap" dataDxfId="2294" dataCellStyle="Percent">
      <calculatedColumnFormula>GM[[#This Row],[NS SEC 1-2: Higher social groups I]]-GM[[#This Row],[NS SEC 6-8: Lower social groups I]]</calculatedColumnFormula>
    </tableColumn>
    <tableColumn id="93" name="Inactive Disability Gap" dataDxfId="2293" dataCellStyle="Percent">
      <calculatedColumnFormula>GM[[#This Row],[No LT limiting disability I]]-GM[[#This Row],[LT limiting disability I]]</calculatedColumnFormula>
    </tableColumn>
    <tableColumn id="94" name="Inactivity Age Gap" dataDxfId="2292" dataCellStyle="Percent">
      <calculatedColumnFormula>GM[[#This Row],[16-34 I]]-GM[[#This Row],[75+ I]]</calculatedColumnFormula>
    </tableColumn>
    <tableColumn id="99" name="Walking for leisure" dataDxfId="2291" dataCellStyle="Percent"/>
    <tableColumn id="100" name="Walking for travel" dataDxfId="2290" dataCellStyle="Percent"/>
    <tableColumn id="101" name="All walking" dataDxfId="2289" dataCellStyle="Percent"/>
    <tableColumn id="102" name="Volunteering" dataDxfId="2288" dataCellStyle="Percent"/>
  </tableColumns>
  <tableStyleInfo name="TableStyleMedium2" showFirstColumn="0" showLastColumn="0" showRowStripes="1" showColumnStripes="0"/>
</table>
</file>

<file path=xl/tables/table7.xml><?xml version="1.0" encoding="utf-8"?>
<table xmlns="http://schemas.openxmlformats.org/spreadsheetml/2006/main" id="11" name="GM" displayName="GM" ref="A2:CX11" totalsRowShown="0" dataDxfId="2245" headerRowCellStyle="Normal" dataCellStyle="Percent">
  <autoFilter ref="A2:CX11"/>
  <tableColumns count="102">
    <tableColumn id="94" name="Area" dataDxfId="2244" dataCellStyle="Percent"/>
    <tableColumn id="1" name="Release" dataDxfId="2243" dataCellStyle="Percent"/>
    <tableColumn id="2" name="Active - Total Population" dataDxfId="2242" dataCellStyle="Percent"/>
    <tableColumn id="97" name="Active - Numbers" dataDxfId="2241" dataCellStyle="Percent"/>
    <tableColumn id="3" name="Male" dataDxfId="2240" dataCellStyle="Percent"/>
    <tableColumn id="4" name="Female" dataDxfId="2239" dataCellStyle="Percent"/>
    <tableColumn id="5" name="16-34" dataDxfId="2238" dataCellStyle="Percent"/>
    <tableColumn id="6" name="35-54" dataDxfId="2237" dataCellStyle="Percent"/>
    <tableColumn id="7" name="55-74" dataDxfId="2236" dataCellStyle="Percent"/>
    <tableColumn id="8" name="75+" dataDxfId="2235" dataCellStyle="Percent"/>
    <tableColumn id="9" name="16-54" dataDxfId="2234" dataCellStyle="Percent"/>
    <tableColumn id="10" name="55+" dataDxfId="2233" dataCellStyle="Percent"/>
    <tableColumn id="11" name="LT limiting disability" dataDxfId="2232" dataCellStyle="Percent"/>
    <tableColumn id="12" name="No LT limiting disability" dataDxfId="2231" dataCellStyle="Percent"/>
    <tableColumn id="13" name="White British" dataDxfId="2230" dataCellStyle="Percent"/>
    <tableColumn id="14" name="White Other" dataDxfId="2229" dataCellStyle="Percent"/>
    <tableColumn id="15" name="South Asian" dataDxfId="2228" dataCellStyle="Percent"/>
    <tableColumn id="16" name="Black" dataDxfId="2227" dataCellStyle="Percent"/>
    <tableColumn id="17" name="Chinese" dataDxfId="2226" dataCellStyle="Percent"/>
    <tableColumn id="18" name="Mixed" dataDxfId="2225" dataCellStyle="Percent"/>
    <tableColumn id="19" name="Other ethnic group" dataDxfId="2224" dataCellStyle="Percent"/>
    <tableColumn id="20" name="NS SEC 1-2: Higher social groups" dataDxfId="2223" dataCellStyle="Percent"/>
    <tableColumn id="21" name="NS SEC 3-5: Middle social groups" dataDxfId="2222" dataCellStyle="Percent"/>
    <tableColumn id="22" name="NS SEC 6-8: Lower social groups" dataDxfId="2221" dataCellStyle="Percent"/>
    <tableColumn id="23" name="NS SEC 9: Students and other" dataDxfId="2220" dataCellStyle="Percent"/>
    <tableColumn id="24" name="Working full or part time" dataDxfId="2219" dataCellStyle="Percent"/>
    <tableColumn id="25" name="Unemployed" dataDxfId="2218" dataCellStyle="Percent"/>
    <tableColumn id="26" name="Not working - retired" dataDxfId="2217" dataCellStyle="Percent"/>
    <tableColumn id="27" name="Not working - looking after house/children" dataDxfId="2216" dataCellStyle="Percent"/>
    <tableColumn id="28" name="Not working - long term sick or disabled" dataDxfId="2215" dataCellStyle="Percent"/>
    <tableColumn id="29" name="Student full or part time" dataDxfId="2214" dataCellStyle="Percent"/>
    <tableColumn id="30" name="Other working status" dataDxfId="2213" dataCellStyle="Percent"/>
    <tableColumn id="31" name="Fairly Active - Total Population" dataDxfId="2212" dataCellStyle="Percent"/>
    <tableColumn id="96" name="Fairly Active - Numbers" dataDxfId="2211" dataCellStyle="Percent"/>
    <tableColumn id="32" name="Male FA" dataDxfId="2210" dataCellStyle="Percent"/>
    <tableColumn id="33" name="Female FA" dataDxfId="2209" dataCellStyle="Percent"/>
    <tableColumn id="34" name="16-34 FA" dataDxfId="2208" dataCellStyle="Percent"/>
    <tableColumn id="35" name="35-54 FA" dataDxfId="2207" dataCellStyle="Percent"/>
    <tableColumn id="36" name="55-74 FA" dataDxfId="2206" dataCellStyle="Percent"/>
    <tableColumn id="37" name="75+ FA" dataDxfId="2205" dataCellStyle="Percent"/>
    <tableColumn id="38" name="16-54 FA" dataDxfId="2204" dataCellStyle="Percent"/>
    <tableColumn id="39" name="55+ FA" dataDxfId="2203" dataCellStyle="Percent"/>
    <tableColumn id="40" name="LT limiting disability FA" dataDxfId="2202" dataCellStyle="Percent"/>
    <tableColumn id="41" name="No LT limiting disability FA" dataDxfId="2201" dataCellStyle="Percent"/>
    <tableColumn id="42" name="White British FA" dataDxfId="2200" dataCellStyle="Percent"/>
    <tableColumn id="43" name="White Other FA" dataDxfId="2199" dataCellStyle="Percent"/>
    <tableColumn id="44" name="South Asian FA" dataDxfId="2198" dataCellStyle="Percent"/>
    <tableColumn id="45" name="Black FA" dataDxfId="2197" dataCellStyle="Percent"/>
    <tableColumn id="46" name="Chinese FA" dataDxfId="2196" dataCellStyle="Percent"/>
    <tableColumn id="47" name="Mixed FA" dataDxfId="2195" dataCellStyle="Percent"/>
    <tableColumn id="48" name="Other ethnic group FA" dataDxfId="2194" dataCellStyle="Percent"/>
    <tableColumn id="49" name="NS SEC 1-2: Higher social groups FA" dataDxfId="2193" dataCellStyle="Percent"/>
    <tableColumn id="50" name="NS SEC 3-5: Middle social groups FA" dataDxfId="2192" dataCellStyle="Percent"/>
    <tableColumn id="51" name="NS SEC 6-8: Lower social groups FA" dataDxfId="2191" dataCellStyle="Percent"/>
    <tableColumn id="52" name="NS SEC 9: Students and other FA" dataDxfId="2190" dataCellStyle="Percent"/>
    <tableColumn id="53" name="Working full or part time FA" dataDxfId="2189" dataCellStyle="Percent"/>
    <tableColumn id="54" name="Unemployed FA" dataDxfId="2188" dataCellStyle="Percent"/>
    <tableColumn id="55" name="Not working - retired FA" dataDxfId="2187" dataCellStyle="Percent"/>
    <tableColumn id="56" name="Not working - looking after house/children FA" dataDxfId="2186" dataCellStyle="Percent"/>
    <tableColumn id="57" name="Not working - long term sick or disabled FA" dataDxfId="2185" dataCellStyle="Percent"/>
    <tableColumn id="58" name="Student full or part time FA" dataDxfId="2184" dataCellStyle="Percent"/>
    <tableColumn id="59" name="Other working status FA" dataDxfId="2183" dataCellStyle="Percent"/>
    <tableColumn id="60" name="Inactive - Total Population" dataDxfId="2182" dataCellStyle="Percent"/>
    <tableColumn id="95" name="Inactive - Numbers" dataDxfId="2181" dataCellStyle="Percent"/>
    <tableColumn id="61" name="Male I" dataDxfId="2180" dataCellStyle="Percent"/>
    <tableColumn id="62" name="Female I" dataDxfId="2179" dataCellStyle="Percent"/>
    <tableColumn id="63" name="16-34 I" dataDxfId="2178" dataCellStyle="Percent"/>
    <tableColumn id="64" name="35-54 I" dataDxfId="2177" dataCellStyle="Percent"/>
    <tableColumn id="65" name="55-74 I" dataDxfId="2176" dataCellStyle="Percent"/>
    <tableColumn id="66" name="75+ I" dataDxfId="2175" dataCellStyle="Percent"/>
    <tableColumn id="67" name="16-54 I" dataDxfId="2174" dataCellStyle="Percent"/>
    <tableColumn id="68" name="55+ I" dataDxfId="2173" dataCellStyle="Percent"/>
    <tableColumn id="69" name="LT limiting disability I" dataDxfId="2172" dataCellStyle="Percent"/>
    <tableColumn id="70" name="No LT limiting disability I" dataDxfId="2171" dataCellStyle="Percent"/>
    <tableColumn id="71" name="White British I" dataDxfId="2170" dataCellStyle="Percent"/>
    <tableColumn id="72" name="White Other I" dataDxfId="2169" dataCellStyle="Percent"/>
    <tableColumn id="73" name="South Asian I" dataDxfId="2168" dataCellStyle="Percent"/>
    <tableColumn id="74" name="Black I" dataDxfId="2167" dataCellStyle="Percent"/>
    <tableColumn id="75" name="Chinese I" dataDxfId="2166" dataCellStyle="Percent"/>
    <tableColumn id="76" name="Mixed I" dataDxfId="2165" dataCellStyle="Percent"/>
    <tableColumn id="77" name="Other ethnic group I" dataDxfId="2164" dataCellStyle="Percent"/>
    <tableColumn id="78" name="NS SEC 1-2: Higher social groups I" dataDxfId="2163" dataCellStyle="Percent"/>
    <tableColumn id="79" name="NS SEC 3-5: Middle social groups I" dataDxfId="2162" dataCellStyle="Percent"/>
    <tableColumn id="80" name="NS SEC 6-8: Lower social groups I" dataDxfId="2161" dataCellStyle="Percent"/>
    <tableColumn id="81" name="NS SEC 9: Students and other I" dataDxfId="2160" dataCellStyle="Percent"/>
    <tableColumn id="82" name="Working full or part time I" dataDxfId="2159" dataCellStyle="Percent"/>
    <tableColumn id="83" name="Unemployed I" dataDxfId="2158" dataCellStyle="Percent"/>
    <tableColumn id="84" name="Not working - retired I" dataDxfId="2157" dataCellStyle="Percent"/>
    <tableColumn id="85" name="Not working - looking after house/children I" dataDxfId="2156" dataCellStyle="Percent"/>
    <tableColumn id="86" name="Not working - long term sick or disabled I" dataDxfId="2155" dataCellStyle="Percent"/>
    <tableColumn id="87" name="Student full or part time I" dataDxfId="2154" dataCellStyle="Percent"/>
    <tableColumn id="88" name="Other working status I" dataDxfId="2153" dataCellStyle="Percent"/>
    <tableColumn id="89" name="Moving" dataDxfId="2152" dataCellStyle="Percent">
      <calculatedColumnFormula>SUM(C3,AG3)</calculatedColumnFormula>
    </tableColumn>
    <tableColumn id="98" name="Moving - Numbers" dataDxfId="2151" dataCellStyle="Percent">
      <calculatedColumnFormula>GM[[#This Row],[Active - Numbers]]+GM[[#This Row],[Fairly Active - Numbers]]</calculatedColumnFormula>
    </tableColumn>
    <tableColumn id="90" name="Inactive Gender Gap" dataDxfId="2150" dataCellStyle="Percent">
      <calculatedColumnFormula>GM[[#This Row],[Male I]]-GM[[#This Row],[Female I]]</calculatedColumnFormula>
    </tableColumn>
    <tableColumn id="91" name="Inactive Socio-Economic Gap" dataDxfId="2149" dataCellStyle="Percent">
      <calculatedColumnFormula>GM[[#This Row],[NS SEC 1-2: Higher social groups I]]-GM[[#This Row],[NS SEC 6-8: Lower social groups I]]</calculatedColumnFormula>
    </tableColumn>
    <tableColumn id="92" name="Inactive Disability Gap" dataDxfId="2148" dataCellStyle="Percent">
      <calculatedColumnFormula>GM[[#This Row],[No LT limiting disability I]]-GM[[#This Row],[LT limiting disability I]]</calculatedColumnFormula>
    </tableColumn>
    <tableColumn id="93" name="Inactivity Age Gap" dataDxfId="2147" dataCellStyle="Percent">
      <calculatedColumnFormula>GM[[#This Row],[16-34 I]]-GM[[#This Row],[75+ I]]</calculatedColumnFormula>
    </tableColumn>
    <tableColumn id="99" name="Walking for leisure" dataDxfId="2146" dataCellStyle="Percent"/>
    <tableColumn id="100" name="Walking for travel" dataDxfId="2145" dataCellStyle="Percent"/>
    <tableColumn id="101" name="All walking" dataDxfId="2144" dataCellStyle="Percent"/>
    <tableColumn id="102" name="Volunteering" dataDxfId="2143" dataCellStyle="Percent"/>
  </tableColumns>
  <tableStyleInfo name="TableStyleMedium2" showFirstColumn="0" showLastColumn="0" showRowStripes="1" showColumnStripes="0"/>
</table>
</file>

<file path=xl/tables/table8.xml><?xml version="1.0" encoding="utf-8"?>
<table xmlns="http://schemas.openxmlformats.org/spreadsheetml/2006/main" id="2" name="Bolton1" displayName="Bolton1" ref="A2:CX11" totalsRowShown="0" dataDxfId="2106" headerRowCellStyle="Normal" dataCellStyle="Percent">
  <autoFilter ref="A2:CX11"/>
  <tableColumns count="102">
    <tableColumn id="94" name="Area" dataDxfId="2105" dataCellStyle="Percent"/>
    <tableColumn id="1" name="Release" dataDxfId="2104" dataCellStyle="Percent"/>
    <tableColumn id="2" name="Active - Total Population" dataDxfId="2103" dataCellStyle="Percent"/>
    <tableColumn id="97" name="Active - Numbers" dataDxfId="2102" dataCellStyle="Percent"/>
    <tableColumn id="3" name="Male" dataDxfId="2101" dataCellStyle="Percent"/>
    <tableColumn id="4" name="Female" dataDxfId="2100" dataCellStyle="Percent"/>
    <tableColumn id="5" name="16-34" dataDxfId="2099" dataCellStyle="Percent"/>
    <tableColumn id="6" name="35-54" dataDxfId="2098" dataCellStyle="Percent"/>
    <tableColumn id="7" name="55-74" dataDxfId="2097" dataCellStyle="Percent"/>
    <tableColumn id="8" name="75+" dataDxfId="2096" dataCellStyle="Percent"/>
    <tableColumn id="9" name="16-54" dataDxfId="2095" dataCellStyle="Percent"/>
    <tableColumn id="10" name="55+" dataDxfId="2094" dataCellStyle="Percent"/>
    <tableColumn id="11" name="LT limiting disability" dataDxfId="2093" dataCellStyle="Percent"/>
    <tableColumn id="12" name="No LT limiting disability" dataDxfId="2092" dataCellStyle="Percent"/>
    <tableColumn id="13" name="White British" dataDxfId="2091" dataCellStyle="Percent"/>
    <tableColumn id="14" name="White Other" dataDxfId="2090" dataCellStyle="Percent"/>
    <tableColumn id="15" name="South Asian" dataDxfId="2089" dataCellStyle="Percent"/>
    <tableColumn id="16" name="Black" dataDxfId="2088" dataCellStyle="Percent"/>
    <tableColumn id="17" name="Chinese" dataDxfId="2087" dataCellStyle="Percent"/>
    <tableColumn id="18" name="Mixed" dataDxfId="2086" dataCellStyle="Percent"/>
    <tableColumn id="19" name="Other ethnic group" dataDxfId="2085" dataCellStyle="Percent"/>
    <tableColumn id="20" name="NS SEC 1-2: Higher social groups" dataDxfId="2084" dataCellStyle="Percent"/>
    <tableColumn id="21" name="NS SEC 3-5: Middle social groups" dataDxfId="2083" dataCellStyle="Percent"/>
    <tableColumn id="22" name="NS SEC 6-8: Lower social groups" dataDxfId="2082" dataCellStyle="Percent"/>
    <tableColumn id="23" name="NS SEC 9: Students and other" dataDxfId="2081" dataCellStyle="Percent"/>
    <tableColumn id="24" name="Working full or part time" dataDxfId="2080" dataCellStyle="Percent"/>
    <tableColumn id="25" name="Unemployed" dataDxfId="2079" dataCellStyle="Percent"/>
    <tableColumn id="26" name="Not working - retired" dataDxfId="2078" dataCellStyle="Percent"/>
    <tableColumn id="27" name="Not working - looking after house/children" dataDxfId="2077" dataCellStyle="Percent"/>
    <tableColumn id="28" name="Not working - long term sick or disabled" dataDxfId="2076" dataCellStyle="Percent"/>
    <tableColumn id="29" name="Student full or part time" dataDxfId="2075" dataCellStyle="Percent"/>
    <tableColumn id="30" name="Other working status" dataDxfId="2074" dataCellStyle="Percent"/>
    <tableColumn id="31" name="Fairly Active - Total Population" dataDxfId="2073" dataCellStyle="Percent"/>
    <tableColumn id="96" name="Fairly Active - Numbers" dataDxfId="2072" dataCellStyle="Percent"/>
    <tableColumn id="32" name="Male FA" dataDxfId="2071" dataCellStyle="Percent"/>
    <tableColumn id="33" name="Female FA" dataDxfId="2070" dataCellStyle="Percent"/>
    <tableColumn id="34" name="16-34 FA" dataDxfId="2069" dataCellStyle="Percent"/>
    <tableColumn id="35" name="35-54 FA" dataDxfId="2068" dataCellStyle="Percent"/>
    <tableColumn id="36" name="55-74 FA" dataDxfId="2067" dataCellStyle="Percent"/>
    <tableColumn id="37" name="75+ FA" dataDxfId="2066" dataCellStyle="Percent"/>
    <tableColumn id="38" name="16-54 FA" dataDxfId="2065" dataCellStyle="Percent"/>
    <tableColumn id="39" name="55+ FA" dataDxfId="2064" dataCellStyle="Percent"/>
    <tableColumn id="40" name="LT limiting disability FA" dataDxfId="2063" dataCellStyle="Percent"/>
    <tableColumn id="41" name="No LT limiting disability FA" dataDxfId="2062" dataCellStyle="Percent"/>
    <tableColumn id="42" name="White British FA" dataDxfId="2061" dataCellStyle="Percent"/>
    <tableColumn id="43" name="White Other FA" dataDxfId="2060" dataCellStyle="Percent"/>
    <tableColumn id="44" name="South Asian FA" dataDxfId="2059" dataCellStyle="Percent"/>
    <tableColumn id="45" name="Black FA" dataDxfId="2058" dataCellStyle="Percent"/>
    <tableColumn id="46" name="Chinese FA" dataDxfId="2057" dataCellStyle="Percent"/>
    <tableColumn id="47" name="Mixed FA" dataDxfId="2056" dataCellStyle="Percent"/>
    <tableColumn id="48" name="Other ethnic group FA" dataDxfId="2055" dataCellStyle="Percent"/>
    <tableColumn id="49" name="NS SEC 1-2: Higher social groups FA" dataDxfId="2054" dataCellStyle="Percent"/>
    <tableColumn id="50" name="NS SEC 3-5: Middle social groups FA" dataDxfId="2053" dataCellStyle="Percent"/>
    <tableColumn id="51" name="NS SEC 6-8: Lower social groups FA" dataDxfId="2052" dataCellStyle="Percent"/>
    <tableColumn id="52" name="NS SEC 9: Students and other FA" dataDxfId="2051" dataCellStyle="Percent"/>
    <tableColumn id="53" name="Working full or part time FA" dataDxfId="2050" dataCellStyle="Percent"/>
    <tableColumn id="54" name="Unemployed FA" dataDxfId="2049" dataCellStyle="Percent"/>
    <tableColumn id="55" name="Not working - retired FA" dataDxfId="2048" dataCellStyle="Percent"/>
    <tableColumn id="56" name="Not working - looking after house/children FA" dataDxfId="2047" dataCellStyle="Percent"/>
    <tableColumn id="57" name="Not working - long term sick or disabled FA" dataDxfId="2046" dataCellStyle="Percent"/>
    <tableColumn id="58" name="Student full or part time FA" dataDxfId="2045" dataCellStyle="Percent"/>
    <tableColumn id="59" name="Other working status FA" dataDxfId="2044" dataCellStyle="Percent"/>
    <tableColumn id="60" name="Inactive - Total Population" dataDxfId="2043" dataCellStyle="Percent"/>
    <tableColumn id="95" name="Inactive - Numbers" dataDxfId="2042" dataCellStyle="Percent"/>
    <tableColumn id="61" name="Male I" dataDxfId="2041" dataCellStyle="Percent"/>
    <tableColumn id="62" name="Female I" dataDxfId="2040" dataCellStyle="Percent"/>
    <tableColumn id="63" name="16-34 I" dataDxfId="2039" dataCellStyle="Percent"/>
    <tableColumn id="64" name="35-54 I" dataDxfId="2038" dataCellStyle="Percent"/>
    <tableColumn id="65" name="55-74 I" dataDxfId="2037" dataCellStyle="Percent"/>
    <tableColumn id="66" name="75+ I" dataDxfId="2036" dataCellStyle="Percent"/>
    <tableColumn id="67" name="16-54 I" dataDxfId="2035" dataCellStyle="Percent"/>
    <tableColumn id="68" name="55+ I" dataDxfId="2034" dataCellStyle="Percent"/>
    <tableColumn id="69" name="LT limiting disability I" dataDxfId="2033" dataCellStyle="Percent"/>
    <tableColumn id="70" name="No LT limiting disability I" dataDxfId="2032" dataCellStyle="Percent"/>
    <tableColumn id="71" name="White British I" dataDxfId="2031" dataCellStyle="Percent"/>
    <tableColumn id="72" name="White Other I" dataDxfId="2030" dataCellStyle="Percent"/>
    <tableColumn id="73" name="South Asian I" dataDxfId="2029" dataCellStyle="Percent"/>
    <tableColumn id="74" name="Black I" dataDxfId="2028" dataCellStyle="Percent"/>
    <tableColumn id="75" name="Chinese I" dataDxfId="2027" dataCellStyle="Percent"/>
    <tableColumn id="76" name="Mixed I" dataDxfId="2026" dataCellStyle="Percent"/>
    <tableColumn id="77" name="Other ethnic group I" dataDxfId="2025" dataCellStyle="Percent"/>
    <tableColumn id="78" name="NS SEC 1-2: Higher social groups I" dataDxfId="2024" dataCellStyle="Percent"/>
    <tableColumn id="79" name="NS SEC 3-5: Middle social groups I" dataDxfId="2023" dataCellStyle="Percent"/>
    <tableColumn id="80" name="NS SEC 6-8: Lower social groups I" dataDxfId="2022" dataCellStyle="Percent"/>
    <tableColumn id="81" name="NS SEC 9: Students and other I" dataDxfId="2021" dataCellStyle="Percent"/>
    <tableColumn id="82" name="Working full or part time I" dataDxfId="2020" dataCellStyle="Percent"/>
    <tableColumn id="83" name="Unemployed I" dataDxfId="2019" dataCellStyle="Percent"/>
    <tableColumn id="84" name="Not working - retired I" dataDxfId="2018" dataCellStyle="Percent"/>
    <tableColumn id="85" name="Not working - looking after house/children I" dataDxfId="2017" dataCellStyle="Percent"/>
    <tableColumn id="86" name="Not working - long term sick or disabled I" dataDxfId="2016" dataCellStyle="Percent"/>
    <tableColumn id="87" name="Student full or part time I" dataDxfId="2015" dataCellStyle="Percent"/>
    <tableColumn id="88" name="Other working status I" dataDxfId="2014" dataCellStyle="Percent"/>
    <tableColumn id="89" name="Moving" dataDxfId="2013" dataCellStyle="Percent">
      <calculatedColumnFormula>SUM(C5,AG3)</calculatedColumnFormula>
    </tableColumn>
    <tableColumn id="98" name="Moving - Numbers" dataDxfId="2012" dataCellStyle="Numbers">
      <calculatedColumnFormula>Bolton1[[#This Row],[Active - Numbers]]+Bolton1[[#This Row],[Fairly Active - Numbers]]</calculatedColumnFormula>
    </tableColumn>
    <tableColumn id="90" name="Inactive Gender Gap" dataDxfId="2011" dataCellStyle="Percent">
      <calculatedColumnFormula>Bolton1[[#This Row],[Male I]]-Bolton1[[#This Row],[Female I]]</calculatedColumnFormula>
    </tableColumn>
    <tableColumn id="91" name="Inactive Socio-Economic Gap" dataDxfId="2010" dataCellStyle="Percent">
      <calculatedColumnFormula>Bolton1[[#This Row],[NS SEC 1-2: Higher social groups I]]-Bolton1[[#This Row],[NS SEC 6-8: Lower social groups I]]</calculatedColumnFormula>
    </tableColumn>
    <tableColumn id="92" name="Inactive Disability Gap" dataDxfId="2009" dataCellStyle="Percent">
      <calculatedColumnFormula>Bolton1[[#This Row],[No LT limiting disability I]]-Bolton1[[#This Row],[LT limiting disability I]]</calculatedColumnFormula>
    </tableColumn>
    <tableColumn id="93" name="Inactivity Age Gap" dataDxfId="2008" dataCellStyle="Percent">
      <calculatedColumnFormula>Bolton1[[#This Row],[16-34 I]]-Bolton1[[#This Row],[75+ I]]</calculatedColumnFormula>
    </tableColumn>
    <tableColumn id="99" name="Walking for leisure" dataDxfId="2007" dataCellStyle="Percent"/>
    <tableColumn id="100" name="Walking for travel" dataDxfId="2006" dataCellStyle="Percent"/>
    <tableColumn id="101" name="All walking" dataDxfId="2005" dataCellStyle="Percent"/>
    <tableColumn id="102" name="Volunteering" dataDxfId="2004" dataCellStyle="Percent"/>
  </tableColumns>
  <tableStyleInfo name="TableStyleMedium2" showFirstColumn="0" showLastColumn="0" showRowStripes="1" showColumnStripes="0"/>
</table>
</file>

<file path=xl/tables/table9.xml><?xml version="1.0" encoding="utf-8"?>
<table xmlns="http://schemas.openxmlformats.org/spreadsheetml/2006/main" id="3" name="Bury1" displayName="Bury1" ref="A2:CX11" totalsRowShown="0" dataDxfId="1973" headerRowCellStyle="Normal" dataCellStyle="Percent">
  <autoFilter ref="A2:CX11"/>
  <tableColumns count="102">
    <tableColumn id="94" name="Area" dataDxfId="1972" dataCellStyle="Percent"/>
    <tableColumn id="1" name="Release" dataDxfId="1971" dataCellStyle="Percent"/>
    <tableColumn id="2" name="Active - Total Population" dataDxfId="1970" dataCellStyle="Percent"/>
    <tableColumn id="95" name="Active - Numbers" dataDxfId="1969" dataCellStyle="Percent"/>
    <tableColumn id="3" name="Male" dataDxfId="1968" dataCellStyle="Percent"/>
    <tableColumn id="4" name="Female" dataDxfId="1967" dataCellStyle="Percent"/>
    <tableColumn id="5" name="16-34" dataDxfId="1966" dataCellStyle="Percent"/>
    <tableColumn id="6" name="35-54" dataDxfId="1965" dataCellStyle="Percent"/>
    <tableColumn id="7" name="55-74" dataDxfId="1964" dataCellStyle="Percent"/>
    <tableColumn id="8" name="75+" dataDxfId="1963" dataCellStyle="Percent"/>
    <tableColumn id="9" name="16-54" dataDxfId="1962" dataCellStyle="Percent"/>
    <tableColumn id="10" name="55+" dataDxfId="1961" dataCellStyle="Percent"/>
    <tableColumn id="11" name="LT limiting disability" dataDxfId="1960" dataCellStyle="Percent"/>
    <tableColumn id="12" name="No LT limiting disability" dataDxfId="1959" dataCellStyle="Percent"/>
    <tableColumn id="13" name="White British" dataDxfId="1958" dataCellStyle="Percent"/>
    <tableColumn id="14" name="White Other" dataDxfId="1957" dataCellStyle="Percent"/>
    <tableColumn id="15" name="South Asian" dataDxfId="1956" dataCellStyle="Percent"/>
    <tableColumn id="16" name="Black" dataDxfId="1955" dataCellStyle="Percent"/>
    <tableColumn id="17" name="Chinese" dataDxfId="1954" dataCellStyle="Percent"/>
    <tableColumn id="18" name="Mixed" dataDxfId="1953" dataCellStyle="Percent"/>
    <tableColumn id="19" name="Other ethnic group" dataDxfId="1952" dataCellStyle="Percent"/>
    <tableColumn id="20" name="NS SEC 1-2: Higher social groups" dataDxfId="1951" dataCellStyle="Percent"/>
    <tableColumn id="21" name="NS SEC 3-5: Middle social groups" dataDxfId="1950" dataCellStyle="Percent"/>
    <tableColumn id="22" name="NS SEC 6-8: Lower social groups" dataDxfId="1949" dataCellStyle="Percent"/>
    <tableColumn id="23" name="NS SEC 9: Students and other" dataDxfId="1948" dataCellStyle="Percent"/>
    <tableColumn id="24" name="Working full or part time" dataDxfId="1947" dataCellStyle="Percent"/>
    <tableColumn id="25" name="Unemployed" dataDxfId="1946" dataCellStyle="Percent"/>
    <tableColumn id="26" name="Not working - retired" dataDxfId="1945" dataCellStyle="Percent"/>
    <tableColumn id="27" name="Not working - looking after house/children" dataDxfId="1944" dataCellStyle="Percent"/>
    <tableColumn id="28" name="Not working - long term sick or disabled" dataDxfId="1943" dataCellStyle="Percent"/>
    <tableColumn id="29" name="Student full or part time" dataDxfId="1942" dataCellStyle="Percent"/>
    <tableColumn id="30" name="Other working status" dataDxfId="1941" dataCellStyle="Percent"/>
    <tableColumn id="31" name="Fairly Active - Total Population" dataDxfId="1940" dataCellStyle="Percent"/>
    <tableColumn id="96" name="Fairly Active - Numbers" dataDxfId="1939" dataCellStyle="Percent"/>
    <tableColumn id="32" name="Male FA" dataDxfId="1938" dataCellStyle="Percent"/>
    <tableColumn id="33" name="Female FA" dataDxfId="1937" dataCellStyle="Percent"/>
    <tableColumn id="34" name="16-34 FA" dataDxfId="1936" dataCellStyle="Percent"/>
    <tableColumn id="35" name="35-54 FA" dataDxfId="1935" dataCellStyle="Percent"/>
    <tableColumn id="36" name="55-74 FA" dataDxfId="1934" dataCellStyle="Percent"/>
    <tableColumn id="37" name="75+ FA" dataDxfId="1933" dataCellStyle="Percent"/>
    <tableColumn id="38" name="16-54 FA" dataDxfId="1932" dataCellStyle="Percent"/>
    <tableColumn id="39" name="55+ FA" dataDxfId="1931" dataCellStyle="Percent"/>
    <tableColumn id="40" name="LT limiting disability FA" dataDxfId="1930" dataCellStyle="Percent"/>
    <tableColumn id="41" name="No LT limiting disability FA" dataDxfId="1929" dataCellStyle="Percent"/>
    <tableColumn id="42" name="White British FA" dataDxfId="1928" dataCellStyle="Percent"/>
    <tableColumn id="43" name="White Other FA" dataDxfId="1927" dataCellStyle="Percent"/>
    <tableColumn id="44" name="South Asian FA" dataDxfId="1926" dataCellStyle="Percent"/>
    <tableColumn id="45" name="Black FA" dataDxfId="1925" dataCellStyle="Percent"/>
    <tableColumn id="46" name="Chinese FA" dataDxfId="1924" dataCellStyle="Percent"/>
    <tableColumn id="47" name="Mixed FA" dataDxfId="1923" dataCellStyle="Percent"/>
    <tableColumn id="48" name="Other ethnic group FA" dataDxfId="1922" dataCellStyle="Percent"/>
    <tableColumn id="49" name="NS SEC 1-2: Higher social groups FA" dataDxfId="1921" dataCellStyle="Percent"/>
    <tableColumn id="50" name="NS SEC 3-5: Middle social groups FA" dataDxfId="1920" dataCellStyle="Percent"/>
    <tableColumn id="51" name="NS SEC 6-8: Lower social groups FA" dataDxfId="1919" dataCellStyle="Percent"/>
    <tableColumn id="52" name="NS SEC 9: Students and other FA" dataDxfId="1918" dataCellStyle="Percent"/>
    <tableColumn id="53" name="Working full or part time FA" dataDxfId="1917" dataCellStyle="Percent"/>
    <tableColumn id="54" name="Unemployed FA" dataDxfId="1916" dataCellStyle="Percent"/>
    <tableColumn id="55" name="Not working - retired FA" dataDxfId="1915" dataCellStyle="Percent"/>
    <tableColumn id="56" name="Not working - looking after house/children FA" dataDxfId="1914" dataCellStyle="Percent"/>
    <tableColumn id="57" name="Not working - long term sick or disabled FA" dataDxfId="1913" dataCellStyle="Percent"/>
    <tableColumn id="58" name="Student full or part time FA" dataDxfId="1912" dataCellStyle="Percent"/>
    <tableColumn id="59" name="Other working status FA" dataDxfId="1911" dataCellStyle="Percent"/>
    <tableColumn id="60" name="Inactive - Total Population" dataDxfId="1910" dataCellStyle="Percent"/>
    <tableColumn id="97" name="Inactive - Numbers" dataDxfId="1909" dataCellStyle="Percent"/>
    <tableColumn id="61" name="Male I" dataDxfId="1908" dataCellStyle="Percent"/>
    <tableColumn id="62" name="Female I" dataDxfId="1907" dataCellStyle="Percent"/>
    <tableColumn id="63" name="16-34 I" dataDxfId="1906" dataCellStyle="Percent"/>
    <tableColumn id="64" name="35-54 I" dataDxfId="1905" dataCellStyle="Percent"/>
    <tableColumn id="65" name="55-74 I" dataDxfId="1904" dataCellStyle="Percent"/>
    <tableColumn id="66" name="75+ I" dataDxfId="1903" dataCellStyle="Percent"/>
    <tableColumn id="67" name="16-54 I" dataDxfId="1902" dataCellStyle="Percent"/>
    <tableColumn id="68" name="55+ I" dataDxfId="1901" dataCellStyle="Percent"/>
    <tableColumn id="69" name="LT limiting disability I" dataDxfId="1900" dataCellStyle="Percent"/>
    <tableColumn id="70" name="No LT limiting disability I" dataDxfId="1899" dataCellStyle="Percent"/>
    <tableColumn id="71" name="White British I" dataDxfId="1898" dataCellStyle="Percent"/>
    <tableColumn id="72" name="White Other I" dataDxfId="1897" dataCellStyle="Percent"/>
    <tableColumn id="73" name="South Asian I" dataDxfId="1896" dataCellStyle="Percent"/>
    <tableColumn id="74" name="Black I" dataDxfId="1895" dataCellStyle="Percent"/>
    <tableColumn id="75" name="Chinese I" dataDxfId="1894" dataCellStyle="Percent"/>
    <tableColumn id="76" name="Mixed I" dataDxfId="1893" dataCellStyle="Percent"/>
    <tableColumn id="77" name="Other ethnic group I" dataDxfId="1892" dataCellStyle="Percent"/>
    <tableColumn id="78" name="NS SEC 1-2: Higher social groups I" dataDxfId="1891" dataCellStyle="Percent"/>
    <tableColumn id="79" name="NS SEC 3-5: Middle social groups I" dataDxfId="1890" dataCellStyle="Percent"/>
    <tableColumn id="80" name="NS SEC 6-8: Lower social groups I" dataDxfId="1889" dataCellStyle="Percent"/>
    <tableColumn id="81" name="NS SEC 9: Students and other I" dataDxfId="1888" dataCellStyle="Percent"/>
    <tableColumn id="82" name="Working full or part time I" dataDxfId="1887" dataCellStyle="Percent"/>
    <tableColumn id="83" name="Unemployed I" dataDxfId="1886" dataCellStyle="Percent"/>
    <tableColumn id="84" name="Not working - retired I" dataDxfId="1885" dataCellStyle="Percent"/>
    <tableColumn id="85" name="Not working - looking after house/children I" dataDxfId="1884" dataCellStyle="Percent"/>
    <tableColumn id="86" name="Not working - long term sick or disabled I" dataDxfId="1883" dataCellStyle="Percent"/>
    <tableColumn id="87" name="Student full or part time I" dataDxfId="1882" dataCellStyle="Percent"/>
    <tableColumn id="88" name="Other working status I" dataDxfId="1881" dataCellStyle="Percent"/>
    <tableColumn id="89" name="Moving" dataDxfId="1880" dataCellStyle="Percent">
      <calculatedColumnFormula>SUM(C3,AG3)</calculatedColumnFormula>
    </tableColumn>
    <tableColumn id="98" name="Moving - Numbers" dataCellStyle="Numbers">
      <calculatedColumnFormula>Bury1[[#This Row],[Active - Numbers]]+Bury1[[#This Row],[Fairly Active - Numbers]]</calculatedColumnFormula>
    </tableColumn>
    <tableColumn id="90" name="Inactive Gender Gap" dataDxfId="1879" dataCellStyle="Percent">
      <calculatedColumnFormula>Bury1[[#This Row],[Male I]]-Bury1[[#This Row],[Female I]]</calculatedColumnFormula>
    </tableColumn>
    <tableColumn id="91" name="Inactive Socio-Economic Gap" dataDxfId="1878" dataCellStyle="Percent">
      <calculatedColumnFormula>Bury1[[#This Row],[NS SEC 1-2: Higher social groups I]]-Bury1[[#This Row],[NS SEC 6-8: Lower social groups I]]</calculatedColumnFormula>
    </tableColumn>
    <tableColumn id="92" name="Inactive Disability Gap" dataDxfId="1877" dataCellStyle="Percent">
      <calculatedColumnFormula>Bury1[[#This Row],[No LT limiting disability I]]-Bury1[[#This Row],[LT limiting disability I]]</calculatedColumnFormula>
    </tableColumn>
    <tableColumn id="93" name="Inactivity Age Gap" dataDxfId="1876" dataCellStyle="Percent">
      <calculatedColumnFormula>Bury1[[#This Row],[16-34 I]]-Bury1[[#This Row],[75+ I]]</calculatedColumnFormula>
    </tableColumn>
    <tableColumn id="99" name="Walking for leisure" dataDxfId="1875" dataCellStyle="Percent"/>
    <tableColumn id="100" name="Walking for travel" dataDxfId="1874" dataCellStyle="Percent"/>
    <tableColumn id="101" name="All walking" dataDxfId="1873" dataCellStyle="Percent"/>
    <tableColumn id="102" name="Volunteering" dataDxfId="1872" dataCellStyle="Percent"/>
  </tableColumns>
  <tableStyleInfo name="TableStyleMedium2" showFirstColumn="0" showLastColumn="0" showRowStripes="1" showColumnStripes="0"/>
</table>
</file>

<file path=xl/tables/table10.xml><?xml version="1.0" encoding="utf-8"?>
<table xmlns="http://schemas.openxmlformats.org/spreadsheetml/2006/main" id="1" name="Manchester1" displayName="Manchester1" ref="A2:CX11" totalsRowShown="0" headerRowDxfId="1839" dataDxfId="1838" dataCellStyle="Percent">
  <autoFilter ref="A2:CX11"/>
  <tableColumns count="102">
    <tableColumn id="94" name="Area" dataDxfId="1837" dataCellStyle="Percent"/>
    <tableColumn id="1" name="Release" dataDxfId="1836" dataCellStyle="Percent"/>
    <tableColumn id="2" name="Active - Total Population" dataDxfId="1835" dataCellStyle="Percent"/>
    <tableColumn id="95" name="Active - Numbers" dataDxfId="1834" dataCellStyle="Percent"/>
    <tableColumn id="3" name="Male" dataDxfId="1833" dataCellStyle="Percent"/>
    <tableColumn id="4" name="Female" dataDxfId="1832" dataCellStyle="Percent"/>
    <tableColumn id="5" name="16-34" dataDxfId="1831" dataCellStyle="Percent"/>
    <tableColumn id="6" name="35-54" dataDxfId="1830" dataCellStyle="Percent"/>
    <tableColumn id="7" name="55-74" dataDxfId="1829" dataCellStyle="Percent"/>
    <tableColumn id="8" name="75+" dataDxfId="1828" dataCellStyle="Percent"/>
    <tableColumn id="9" name="16-54" dataDxfId="1827" dataCellStyle="Percent"/>
    <tableColumn id="10" name="55+" dataDxfId="1826" dataCellStyle="Percent"/>
    <tableColumn id="11" name="LT limiting disability" dataDxfId="1825" dataCellStyle="Percent"/>
    <tableColumn id="12" name="No LT limiting disability" dataDxfId="1824" dataCellStyle="Percent"/>
    <tableColumn id="13" name="White British" dataDxfId="1823" dataCellStyle="Percent"/>
    <tableColumn id="14" name="White Other" dataDxfId="1822" dataCellStyle="Percent"/>
    <tableColumn id="15" name="South Asian" dataDxfId="1821" dataCellStyle="Percent"/>
    <tableColumn id="16" name="Black" dataDxfId="1820" dataCellStyle="Percent"/>
    <tableColumn id="17" name="Chinese" dataDxfId="1819" dataCellStyle="Percent"/>
    <tableColumn id="18" name="Mixed" dataDxfId="1818" dataCellStyle="Percent"/>
    <tableColumn id="19" name="Other ethnic group" dataDxfId="1817" dataCellStyle="Percent"/>
    <tableColumn id="20" name="NS SEC 1-2: Higher social groups" dataDxfId="1816" dataCellStyle="Percent"/>
    <tableColumn id="21" name="NS SEC 3-5: Middle social groups" dataDxfId="1815" dataCellStyle="Percent"/>
    <tableColumn id="22" name="NS SEC 6-8: Lower social groups" dataDxfId="1814" dataCellStyle="Percent"/>
    <tableColumn id="23" name="NS SEC 9: Students and other" dataDxfId="1813" dataCellStyle="Percent"/>
    <tableColumn id="24" name="Working full or part time" dataDxfId="1812" dataCellStyle="Percent"/>
    <tableColumn id="25" name="Unemployed" dataDxfId="1811" dataCellStyle="Percent"/>
    <tableColumn id="26" name="Not working - retired" dataDxfId="1810" dataCellStyle="Percent"/>
    <tableColumn id="27" name="Not working - looking after house/children" dataDxfId="1809" dataCellStyle="Percent"/>
    <tableColumn id="28" name="Not working - long term sick or disabled" dataDxfId="1808" dataCellStyle="Percent"/>
    <tableColumn id="29" name="Student full or part time" dataDxfId="1807" dataCellStyle="Percent"/>
    <tableColumn id="30" name="Other working status" dataDxfId="1806" dataCellStyle="Percent"/>
    <tableColumn id="31" name="Fairly Active - Total Population" dataDxfId="1805" dataCellStyle="Percent"/>
    <tableColumn id="96" name="Fairly Active - Numbers" dataDxfId="1804" dataCellStyle="Percent"/>
    <tableColumn id="32" name="Male FA" dataDxfId="1803" dataCellStyle="Percent"/>
    <tableColumn id="33" name="Female FA" dataDxfId="1802" dataCellStyle="Percent"/>
    <tableColumn id="34" name="16-34 FA" dataDxfId="1801" dataCellStyle="Percent"/>
    <tableColumn id="35" name="35-54 FA" dataDxfId="1800" dataCellStyle="Percent"/>
    <tableColumn id="36" name="55-74 FA" dataDxfId="1799" dataCellStyle="Percent"/>
    <tableColumn id="37" name="75+ FA" dataDxfId="1798" dataCellStyle="Percent"/>
    <tableColumn id="38" name="16-54 FA" dataDxfId="1797" dataCellStyle="Percent"/>
    <tableColumn id="39" name="55+ FA" dataDxfId="1796" dataCellStyle="Percent"/>
    <tableColumn id="40" name="LT limiting disability FA" dataDxfId="1795" dataCellStyle="Percent"/>
    <tableColumn id="41" name="No LT limiting disability FA" dataDxfId="1794" dataCellStyle="Percent"/>
    <tableColumn id="42" name="White British FA" dataDxfId="1793" dataCellStyle="Percent"/>
    <tableColumn id="43" name="White Other FA" dataDxfId="1792" dataCellStyle="Percent"/>
    <tableColumn id="44" name="South Asian FA" dataDxfId="1791" dataCellStyle="Percent"/>
    <tableColumn id="45" name="Black FA" dataDxfId="1790" dataCellStyle="Percent"/>
    <tableColumn id="46" name="Chinese FA" dataDxfId="1789" dataCellStyle="Percent"/>
    <tableColumn id="47" name="Mixed FA" dataDxfId="1788" dataCellStyle="Percent"/>
    <tableColumn id="48" name="Other ethnic group FA" dataDxfId="1787" dataCellStyle="Percent"/>
    <tableColumn id="49" name="NS SEC 1-2: Higher social groups FA" dataDxfId="1786" dataCellStyle="Percent"/>
    <tableColumn id="50" name="NS SEC 3-5: Middle social groups FA" dataDxfId="1785" dataCellStyle="Percent"/>
    <tableColumn id="51" name="NS SEC 6-8: Lower social groups FA" dataDxfId="1784" dataCellStyle="Percent"/>
    <tableColumn id="52" name="NS SEC 9: Students and other FA" dataDxfId="1783" dataCellStyle="Percent"/>
    <tableColumn id="53" name="Working full or part time FA" dataDxfId="1782" dataCellStyle="Percent"/>
    <tableColumn id="54" name="Unemployed FA" dataDxfId="1781" dataCellStyle="Percent"/>
    <tableColumn id="55" name="Not working - retired FA" dataDxfId="1780" dataCellStyle="Percent"/>
    <tableColumn id="56" name="Not working - looking after house/children FA" dataDxfId="1779" dataCellStyle="Percent"/>
    <tableColumn id="57" name="Not working - long term sick or disabled FA" dataDxfId="1778" dataCellStyle="Percent"/>
    <tableColumn id="58" name="Student full or part time FA" dataDxfId="1777" dataCellStyle="Percent"/>
    <tableColumn id="59" name="Other working status FA" dataDxfId="1776" dataCellStyle="Percent"/>
    <tableColumn id="60" name="Inactive - Total Population" dataDxfId="1775" dataCellStyle="Percent"/>
    <tableColumn id="97" name="Inactive - Numbers" dataDxfId="1774" dataCellStyle="Percent"/>
    <tableColumn id="61" name="Male I" dataDxfId="1773" dataCellStyle="Percent"/>
    <tableColumn id="62" name="Female I" dataDxfId="1772" dataCellStyle="Percent"/>
    <tableColumn id="63" name="16-34 I" dataDxfId="1771" dataCellStyle="Percent"/>
    <tableColumn id="64" name="35-54 I" dataDxfId="1770" dataCellStyle="Percent"/>
    <tableColumn id="65" name="55-74 I" dataDxfId="1769" dataCellStyle="Percent"/>
    <tableColumn id="66" name="75+ I" dataDxfId="1768" dataCellStyle="Percent"/>
    <tableColumn id="67" name="16-54 I" dataDxfId="1767" dataCellStyle="Percent"/>
    <tableColumn id="68" name="55+ I" dataDxfId="1766" dataCellStyle="Percent"/>
    <tableColumn id="69" name="LT limiting disability I" dataDxfId="1765" dataCellStyle="Percent"/>
    <tableColumn id="70" name="No LT limiting disability I" dataDxfId="1764" dataCellStyle="Percent"/>
    <tableColumn id="71" name="White British I" dataDxfId="1763" dataCellStyle="Percent"/>
    <tableColumn id="72" name="White Other I" dataDxfId="1762" dataCellStyle="Percent"/>
    <tableColumn id="73" name="South Asian I" dataDxfId="1761" dataCellStyle="Percent"/>
    <tableColumn id="74" name="Black I" dataDxfId="1760" dataCellStyle="Percent"/>
    <tableColumn id="75" name="Chinese I" dataDxfId="1759" dataCellStyle="Percent"/>
    <tableColumn id="76" name="Mixed I" dataDxfId="1758" dataCellStyle="Percent"/>
    <tableColumn id="77" name="Other ethnic group I" dataDxfId="1757" dataCellStyle="Percent"/>
    <tableColumn id="78" name="NS SEC 1-2: Higher social groups I" dataDxfId="1756" dataCellStyle="Percent"/>
    <tableColumn id="79" name="NS SEC 3-5: Middle social groups I" dataDxfId="1755" dataCellStyle="Percent"/>
    <tableColumn id="80" name="NS SEC 6-8: Lower social groups I" dataDxfId="1754" dataCellStyle="Percent"/>
    <tableColumn id="81" name="NS SEC 9: Students and other I" dataDxfId="1753" dataCellStyle="Percent"/>
    <tableColumn id="82" name="Working full or part time I" dataDxfId="1752" dataCellStyle="Percent"/>
    <tableColumn id="83" name="Unemployed I" dataDxfId="1751" dataCellStyle="Percent"/>
    <tableColumn id="84" name="Not working - retired I" dataDxfId="1750" dataCellStyle="Percent"/>
    <tableColumn id="85" name="Not working - looking after house/children I" dataDxfId="1749" dataCellStyle="Percent"/>
    <tableColumn id="86" name="Not working - long term sick or disabled I" dataDxfId="1748" dataCellStyle="Percent"/>
    <tableColumn id="87" name="Student full or part time I" dataDxfId="1747" dataCellStyle="Percent"/>
    <tableColumn id="88" name="Other working status I" dataDxfId="1746" dataCellStyle="Percent"/>
    <tableColumn id="89" name="Moving" dataDxfId="1745" dataCellStyle="Percent">
      <calculatedColumnFormula>SUM(C3,AG3)</calculatedColumnFormula>
    </tableColumn>
    <tableColumn id="98" name="Moving - Numbers" dataCellStyle="Numbers">
      <calculatedColumnFormula>Manchester1[[#This Row],[Active - Numbers]]+Manchester1[[#This Row],[Fairly Active - Numbers]]</calculatedColumnFormula>
    </tableColumn>
    <tableColumn id="90" name="Inactive Gender Gap" dataDxfId="1744" dataCellStyle="Percent">
      <calculatedColumnFormula>Manchester1[[#This Row],[Male I]]-Manchester1[[#This Row],[Female I]]</calculatedColumnFormula>
    </tableColumn>
    <tableColumn id="91" name="Inactive Socio-Economic Gap" dataDxfId="1743" dataCellStyle="Percent">
      <calculatedColumnFormula>Manchester1[[#This Row],[NS SEC 1-2: Higher social groups I]]-Manchester1[[#This Row],[NS SEC 6-8: Lower social groups I]]</calculatedColumnFormula>
    </tableColumn>
    <tableColumn id="92" name="Inactive Disability Gap" dataDxfId="1742" dataCellStyle="Percent">
      <calculatedColumnFormula>Manchester1[[#This Row],[No LT limiting disability I]]-Manchester1[[#This Row],[LT limiting disability I]]</calculatedColumnFormula>
    </tableColumn>
    <tableColumn id="93" name="Inactivity Age Gap" dataDxfId="1741" dataCellStyle="Percent">
      <calculatedColumnFormula>Manchester1[[#This Row],[16-34 I]]-Manchester1[[#This Row],[75+ I]]</calculatedColumnFormula>
    </tableColumn>
    <tableColumn id="99" name="Walking for leisure" dataDxfId="1740" dataCellStyle="Percent"/>
    <tableColumn id="100" name="Walking for travel" dataDxfId="1739" dataCellStyle="Percent"/>
    <tableColumn id="101" name="All walking" dataDxfId="1738" dataCellStyle="Percent"/>
    <tableColumn id="102" name="Volunteering" dataDxfId="1737" dataCellStyle="Percent"/>
  </tableColumns>
  <tableStyleInfo name="TableStyleMedium2" showFirstColumn="0" showLastColumn="0" showRowStripes="1" showColumnStripes="0"/>
</table>
</file>

<file path=xl/tables/table11.xml><?xml version="1.0" encoding="utf-8"?>
<table xmlns="http://schemas.openxmlformats.org/spreadsheetml/2006/main" id="4" name="Oldham1" displayName="Oldham1" ref="A2:CX11" totalsRowShown="0" dataDxfId="1714" headerRowCellStyle="Normal" dataCellStyle="Percent">
  <autoFilter ref="A2:CX11"/>
  <tableColumns count="102">
    <tableColumn id="187" name="Area" dataDxfId="1713" dataCellStyle="Percent"/>
    <tableColumn id="1" name="Release" dataDxfId="1712" dataCellStyle="Percent"/>
    <tableColumn id="2" name="Active - Total Population" dataDxfId="1711" dataCellStyle="Percent"/>
    <tableColumn id="94" name="Active - Numbers" dataDxfId="1710" dataCellStyle="Percent"/>
    <tableColumn id="3" name="Male" dataDxfId="1709" dataCellStyle="Percent"/>
    <tableColumn id="4" name="Female" dataDxfId="1708" dataCellStyle="Percent"/>
    <tableColumn id="5" name="16-34" dataDxfId="1707" dataCellStyle="Percent"/>
    <tableColumn id="6" name="35-54" dataDxfId="1706" dataCellStyle="Percent"/>
    <tableColumn id="7" name="55-74" dataDxfId="1705" dataCellStyle="Percent"/>
    <tableColumn id="8" name="75+" dataDxfId="1704" dataCellStyle="Percent"/>
    <tableColumn id="9" name="16-54" dataDxfId="1703" dataCellStyle="Percent"/>
    <tableColumn id="10" name="55+" dataDxfId="1702" dataCellStyle="Percent"/>
    <tableColumn id="11" name="LT limiting disability" dataDxfId="1701" dataCellStyle="Percent"/>
    <tableColumn id="12" name="No LT limiting disability" dataDxfId="1700" dataCellStyle="Percent"/>
    <tableColumn id="13" name="White British" dataDxfId="1699" dataCellStyle="Percent"/>
    <tableColumn id="14" name="White Other" dataDxfId="1698" dataCellStyle="Percent"/>
    <tableColumn id="15" name="South Asian" dataDxfId="1697" dataCellStyle="Percent"/>
    <tableColumn id="16" name="Black" dataDxfId="1696" dataCellStyle="Percent"/>
    <tableColumn id="17" name="Chinese" dataDxfId="1695" dataCellStyle="Percent"/>
    <tableColumn id="18" name="Mixed" dataDxfId="1694" dataCellStyle="Percent"/>
    <tableColumn id="19" name="Other ethnic group" dataDxfId="1693" dataCellStyle="Percent"/>
    <tableColumn id="20" name="NS SEC 1-2: Higher social groups" dataDxfId="1692" dataCellStyle="Percent"/>
    <tableColumn id="21" name="NS SEC 3-5: Middle social groups" dataDxfId="1691" dataCellStyle="Percent"/>
    <tableColumn id="22" name="NS SEC 6-8: Lower social groups" dataDxfId="1690" dataCellStyle="Percent"/>
    <tableColumn id="23" name="NS SEC 9: Students and other" dataDxfId="1689" dataCellStyle="Percent"/>
    <tableColumn id="24" name="Working full or part time" dataDxfId="1688" dataCellStyle="Percent"/>
    <tableColumn id="25" name="Unemployed" dataDxfId="1687" dataCellStyle="Percent"/>
    <tableColumn id="26" name="Not working - retired" dataDxfId="1686" dataCellStyle="Percent"/>
    <tableColumn id="27" name="Not working - looking after house/children" dataDxfId="1685" dataCellStyle="Percent"/>
    <tableColumn id="28" name="Not working - long term sick or disabled" dataDxfId="1684" dataCellStyle="Percent"/>
    <tableColumn id="29" name="Student full or part time" dataDxfId="1683" dataCellStyle="Percent"/>
    <tableColumn id="30" name="Other working status" dataDxfId="1682" dataCellStyle="Percent"/>
    <tableColumn id="31" name="Fairly Active - Total Population" dataDxfId="1681" dataCellStyle="Percent"/>
    <tableColumn id="95" name="Fairly Active - Numbers" dataDxfId="1680" dataCellStyle="Percent"/>
    <tableColumn id="32" name="Male FA" dataDxfId="1679" dataCellStyle="Percent"/>
    <tableColumn id="33" name="Female FA" dataDxfId="1678" dataCellStyle="Percent"/>
    <tableColumn id="34" name="16-34 FA" dataDxfId="1677" dataCellStyle="Percent"/>
    <tableColumn id="35" name="35-54 FA" dataDxfId="1676" dataCellStyle="Percent"/>
    <tableColumn id="36" name="55-74 FA" dataDxfId="1675" dataCellStyle="Percent"/>
    <tableColumn id="37" name="75+ FA" dataDxfId="1674" dataCellStyle="Percent"/>
    <tableColumn id="38" name="16-54 FA" dataDxfId="1673" dataCellStyle="Percent"/>
    <tableColumn id="39" name="55+ FA" dataDxfId="1672" dataCellStyle="Percent"/>
    <tableColumn id="40" name="LT limiting disability FA" dataDxfId="1671" dataCellStyle="Percent"/>
    <tableColumn id="41" name="No LT limiting disability FA" dataDxfId="1670" dataCellStyle="Percent"/>
    <tableColumn id="42" name="White British FA" dataDxfId="1669" dataCellStyle="Percent"/>
    <tableColumn id="43" name="White Other FA" dataDxfId="1668" dataCellStyle="Percent"/>
    <tableColumn id="44" name="South Asian FA" dataDxfId="1667" dataCellStyle="Percent"/>
    <tableColumn id="45" name="Black FA" dataDxfId="1666" dataCellStyle="Percent"/>
    <tableColumn id="46" name="Chinese FA" dataDxfId="1665" dataCellStyle="Percent"/>
    <tableColumn id="47" name="Mixed FA" dataDxfId="1664" dataCellStyle="Percent"/>
    <tableColumn id="48" name="Other ethnic group FA" dataDxfId="1663" dataCellStyle="Percent"/>
    <tableColumn id="49" name="NS SEC 1-2: Higher social groups FA" dataDxfId="1662" dataCellStyle="Percent"/>
    <tableColumn id="50" name="NS SEC 3-5: Middle social groups FA" dataDxfId="1661" dataCellStyle="Percent"/>
    <tableColumn id="51" name="NS SEC 6-8: Lower social groups FA" dataDxfId="1660" dataCellStyle="Percent"/>
    <tableColumn id="52" name="NS SEC 9: Students and other FA" dataDxfId="1659" dataCellStyle="Percent"/>
    <tableColumn id="53" name="Working full or part time FA" dataDxfId="1658" dataCellStyle="Percent"/>
    <tableColumn id="54" name="Unemployed FA" dataDxfId="1657" dataCellStyle="Percent"/>
    <tableColumn id="55" name="Not working - retired FA" dataDxfId="1656" dataCellStyle="Percent"/>
    <tableColumn id="56" name="Not working - looking after house/children FA" dataDxfId="1655" dataCellStyle="Percent"/>
    <tableColumn id="57" name="Not working - long term sick or disabled FA" dataDxfId="1654" dataCellStyle="Percent"/>
    <tableColumn id="58" name="Student full or part time FA" dataDxfId="1653" dataCellStyle="Percent"/>
    <tableColumn id="59" name="Other working status FA" dataDxfId="1652" dataCellStyle="Percent"/>
    <tableColumn id="60" name="Inactive - Total Population" dataDxfId="1651" dataCellStyle="Percent"/>
    <tableColumn id="96" name="Inactive - Numbers" dataDxfId="1650" dataCellStyle="Percent"/>
    <tableColumn id="61" name="Male I" dataDxfId="1649" dataCellStyle="Percent"/>
    <tableColumn id="62" name="Female I" dataDxfId="1648" dataCellStyle="Percent"/>
    <tableColumn id="63" name="16-34 I" dataDxfId="1647" dataCellStyle="Percent"/>
    <tableColumn id="64" name="35-54 I" dataDxfId="1646" dataCellStyle="Percent"/>
    <tableColumn id="65" name="55-74 I" dataDxfId="1645" dataCellStyle="Percent"/>
    <tableColumn id="66" name="75+ I" dataDxfId="1644" dataCellStyle="Percent"/>
    <tableColumn id="67" name="16-54 I" dataDxfId="1643" dataCellStyle="Percent"/>
    <tableColumn id="68" name="55+ I" dataDxfId="1642" dataCellStyle="Percent"/>
    <tableColumn id="69" name="LT limiting disability I" dataDxfId="1641" dataCellStyle="Percent"/>
    <tableColumn id="70" name="No LT limiting disability I" dataDxfId="1640" dataCellStyle="Percent"/>
    <tableColumn id="71" name="White British I" dataDxfId="1639" dataCellStyle="Percent"/>
    <tableColumn id="72" name="White Other I" dataDxfId="1638" dataCellStyle="Percent"/>
    <tableColumn id="73" name="South Asian I" dataDxfId="1637" dataCellStyle="Percent"/>
    <tableColumn id="74" name="Black I" dataDxfId="1636" dataCellStyle="Percent"/>
    <tableColumn id="75" name="Chinese I" dataDxfId="1635" dataCellStyle="Percent"/>
    <tableColumn id="76" name="Mixed I" dataDxfId="1634" dataCellStyle="Percent"/>
    <tableColumn id="77" name="Other ethnic group I" dataDxfId="1633" dataCellStyle="Percent"/>
    <tableColumn id="78" name="NS SEC 1-2: Higher social groups I" dataDxfId="1632" dataCellStyle="Percent"/>
    <tableColumn id="79" name="NS SEC 3-5: Middle social groups I" dataDxfId="1631" dataCellStyle="Percent"/>
    <tableColumn id="80" name="NS SEC 6-8: Lower social groups I" dataDxfId="1630" dataCellStyle="Percent"/>
    <tableColumn id="81" name="NS SEC 9: Students and other I" dataDxfId="1629" dataCellStyle="Percent"/>
    <tableColumn id="82" name="Working full or part time I" dataDxfId="1628" dataCellStyle="Percent"/>
    <tableColumn id="83" name="Unemployed I" dataDxfId="1627" dataCellStyle="Percent"/>
    <tableColumn id="84" name="Not working - retired I" dataDxfId="1626" dataCellStyle="Percent"/>
    <tableColumn id="85" name="Not working - looking after house/children I" dataDxfId="1625" dataCellStyle="Percent"/>
    <tableColumn id="86" name="Not working - long term sick or disabled I" dataDxfId="1624" dataCellStyle="Percent"/>
    <tableColumn id="87" name="Student full or part time I" dataDxfId="1623" dataCellStyle="Percent"/>
    <tableColumn id="88" name="Other working status I" dataDxfId="1622" dataCellStyle="Percent"/>
    <tableColumn id="89" name="Moving" dataDxfId="1621" dataCellStyle="Percent">
      <calculatedColumnFormula>SUM(C3,AG3)</calculatedColumnFormula>
    </tableColumn>
    <tableColumn id="97" name="Moving - Numbers" dataCellStyle="Numbers">
      <calculatedColumnFormula>Oldham1[[#This Row],[Active - Numbers]]+Oldham1[[#This Row],[Fairly Active - Numbers]]</calculatedColumnFormula>
    </tableColumn>
    <tableColumn id="90" name="Inactive Gender Gap" dataDxfId="1620" dataCellStyle="Percent">
      <calculatedColumnFormula>Oldham1[[#This Row],[Male I]]-Oldham1[[#This Row],[Female I]]</calculatedColumnFormula>
    </tableColumn>
    <tableColumn id="91" name="Inactive Socio-Economic Gap" dataDxfId="1619" dataCellStyle="Percent">
      <calculatedColumnFormula>Oldham1[[#This Row],[NS SEC 1-2: Higher social groups I]]-Oldham1[[#This Row],[NS SEC 6-8: Lower social groups I]]</calculatedColumnFormula>
    </tableColumn>
    <tableColumn id="92" name="Inactive Disability Gap" dataDxfId="1618" dataCellStyle="Percent">
      <calculatedColumnFormula>Oldham1[[#This Row],[No LT limiting disability I]]-Oldham1[[#This Row],[LT limiting disability I]]</calculatedColumnFormula>
    </tableColumn>
    <tableColumn id="93" name="Inactivity Age Gap" dataDxfId="1617" dataCellStyle="Percent">
      <calculatedColumnFormula>Oldham1[[#This Row],[16-34 I]]-Oldham1[[#This Row],[75+ I]]</calculatedColumnFormula>
    </tableColumn>
    <tableColumn id="98" name="Walking for leisure" dataDxfId="1616" dataCellStyle="Percent"/>
    <tableColumn id="99" name="Walking for travel" dataDxfId="1615" dataCellStyle="Percent"/>
    <tableColumn id="100" name="All walking" dataDxfId="1614" dataCellStyle="Percent"/>
    <tableColumn id="101" name="Volunteering" dataDxfId="1613" dataCellStyle="Percent"/>
  </tableColumns>
  <tableStyleInfo name="TableStyleMedium2" showFirstColumn="0" showLastColumn="0" showRowStripes="1" showColumnStripes="0"/>
</table>
</file>

<file path=xl/tables/table12.xml><?xml version="1.0" encoding="utf-8"?>
<table xmlns="http://schemas.openxmlformats.org/spreadsheetml/2006/main" id="5" name="Rochdale1" displayName="Rochdale1" ref="A2:CX11" totalsRowShown="0" dataDxfId="1586" headerRowCellStyle="Normal" dataCellStyle="Percent">
  <autoFilter ref="A2:CX11"/>
  <tableColumns count="102">
    <tableColumn id="94" name="Area" dataDxfId="1585" dataCellStyle="Percent"/>
    <tableColumn id="1" name="Release" dataDxfId="1584" dataCellStyle="Percent"/>
    <tableColumn id="2" name="Active - Total Population" dataDxfId="1583" dataCellStyle="Percent"/>
    <tableColumn id="95" name="Active - Numbers" dataDxfId="1582" dataCellStyle="Percent"/>
    <tableColumn id="3" name="Male" dataDxfId="1581" dataCellStyle="Percent"/>
    <tableColumn id="4" name="Female" dataDxfId="1580" dataCellStyle="Percent"/>
    <tableColumn id="5" name="16-34" dataDxfId="1579" dataCellStyle="Percent"/>
    <tableColumn id="6" name="35-54" dataDxfId="1578" dataCellStyle="Percent"/>
    <tableColumn id="7" name="55-74" dataDxfId="1577" dataCellStyle="Percent"/>
    <tableColumn id="8" name="75+" dataDxfId="1576" dataCellStyle="Percent"/>
    <tableColumn id="9" name="16-54" dataDxfId="1575" dataCellStyle="Percent"/>
    <tableColumn id="10" name="55+" dataDxfId="1574" dataCellStyle="Percent"/>
    <tableColumn id="11" name="LT limiting disability" dataDxfId="1573" dataCellStyle="Percent"/>
    <tableColumn id="12" name="No LT limiting disability" dataDxfId="1572" dataCellStyle="Percent"/>
    <tableColumn id="13" name="White British" dataDxfId="1571" dataCellStyle="Percent"/>
    <tableColumn id="14" name="White Other" dataDxfId="1570" dataCellStyle="Percent"/>
    <tableColumn id="15" name="South Asian" dataDxfId="1569" dataCellStyle="Percent"/>
    <tableColumn id="16" name="Black" dataDxfId="1568" dataCellStyle="Percent"/>
    <tableColumn id="17" name="Chinese" dataDxfId="1567" dataCellStyle="Percent"/>
    <tableColumn id="18" name="Mixed" dataDxfId="1566" dataCellStyle="Percent"/>
    <tableColumn id="19" name="Other ethnic group" dataDxfId="1565" dataCellStyle="Percent"/>
    <tableColumn id="20" name="NS SEC 1-2: Higher social groups" dataDxfId="1564" dataCellStyle="Percent"/>
    <tableColumn id="21" name="NS SEC 3-5: Middle social groups" dataDxfId="1563" dataCellStyle="Percent"/>
    <tableColumn id="22" name="NS SEC 6-8: Lower social groups" dataDxfId="1562" dataCellStyle="Percent"/>
    <tableColumn id="23" name="NS SEC 9: Students and other" dataDxfId="1561" dataCellStyle="Percent"/>
    <tableColumn id="24" name="Working full or part time" dataDxfId="1560" dataCellStyle="Percent"/>
    <tableColumn id="25" name="Unemployed" dataDxfId="1559" dataCellStyle="Percent"/>
    <tableColumn id="26" name="Not working - retired" dataDxfId="1558" dataCellStyle="Percent"/>
    <tableColumn id="27" name="Not working - looking after house/children" dataDxfId="1557" dataCellStyle="Percent"/>
    <tableColumn id="28" name="Not working - long term sick or disabled" dataDxfId="1556" dataCellStyle="Percent"/>
    <tableColumn id="29" name="Student full or part time" dataDxfId="1555" dataCellStyle="Percent"/>
    <tableColumn id="30" name="Other working status" dataDxfId="1554" dataCellStyle="Percent"/>
    <tableColumn id="31" name="Fairly Active - Total Population" dataDxfId="1553" dataCellStyle="Percent"/>
    <tableColumn id="96" name="Fairly Active - Numbers" dataDxfId="1552" dataCellStyle="Percent"/>
    <tableColumn id="32" name="Male FA" dataDxfId="1551" dataCellStyle="Percent"/>
    <tableColumn id="33" name="Female FA" dataDxfId="1550" dataCellStyle="Percent"/>
    <tableColumn id="34" name="16-34 FA" dataDxfId="1549" dataCellStyle="Percent"/>
    <tableColumn id="35" name="35-54 FA" dataDxfId="1548" dataCellStyle="Percent"/>
    <tableColumn id="36" name="55-74 FA" dataDxfId="1547" dataCellStyle="Percent"/>
    <tableColumn id="37" name="75+ FA" dataDxfId="1546" dataCellStyle="Percent"/>
    <tableColumn id="38" name="16-54 FA" dataDxfId="1545" dataCellStyle="Percent"/>
    <tableColumn id="39" name="55+ FA" dataDxfId="1544" dataCellStyle="Percent"/>
    <tableColumn id="40" name="LT limiting disability FA" dataDxfId="1543" dataCellStyle="Percent"/>
    <tableColumn id="41" name="No LT limiting disability FA" dataDxfId="1542" dataCellStyle="Percent"/>
    <tableColumn id="42" name="White British FA" dataDxfId="1541" dataCellStyle="Percent"/>
    <tableColumn id="43" name="White Other FA" dataDxfId="1540" dataCellStyle="Percent"/>
    <tableColumn id="44" name="South Asian FA" dataDxfId="1539" dataCellStyle="Percent"/>
    <tableColumn id="45" name="Black FA" dataDxfId="1538" dataCellStyle="Percent"/>
    <tableColumn id="46" name="Chinese FA" dataDxfId="1537" dataCellStyle="Percent"/>
    <tableColumn id="47" name="Mixed FA" dataDxfId="1536" dataCellStyle="Percent"/>
    <tableColumn id="48" name="Other ethnic group FA" dataDxfId="1535" dataCellStyle="Percent"/>
    <tableColumn id="49" name="NS SEC 1-2: Higher social groups FA" dataDxfId="1534" dataCellStyle="Percent"/>
    <tableColumn id="50" name="NS SEC 3-5: Middle social groups FA" dataDxfId="1533" dataCellStyle="Percent"/>
    <tableColumn id="51" name="NS SEC 6-8: Lower social groups FA" dataDxfId="1532" dataCellStyle="Percent"/>
    <tableColumn id="52" name="NS SEC 9: Students and other FA" dataDxfId="1531" dataCellStyle="Percent"/>
    <tableColumn id="53" name="Working full or part time FA" dataDxfId="1530" dataCellStyle="Percent"/>
    <tableColumn id="54" name="Unemployed FA" dataDxfId="1529" dataCellStyle="Percent"/>
    <tableColumn id="55" name="Not working - retired FA" dataDxfId="1528" dataCellStyle="Percent"/>
    <tableColumn id="56" name="Not working - looking after house/children FA" dataDxfId="1527" dataCellStyle="Percent"/>
    <tableColumn id="57" name="Not working - long term sick or disabled FA" dataDxfId="1526" dataCellStyle="Percent"/>
    <tableColumn id="58" name="Student full or part time FA" dataDxfId="1525" dataCellStyle="Percent"/>
    <tableColumn id="59" name="Other working status FA" dataDxfId="1524" dataCellStyle="Percent"/>
    <tableColumn id="60" name="Inactive - Total Population" dataDxfId="1523" dataCellStyle="Percent"/>
    <tableColumn id="97" name="Inactive - Numbers" dataDxfId="1522" dataCellStyle="Percent"/>
    <tableColumn id="61" name="Male I" dataDxfId="1521" dataCellStyle="Percent"/>
    <tableColumn id="62" name="Female I" dataDxfId="1520" dataCellStyle="Percent"/>
    <tableColumn id="63" name="16-34 I" dataDxfId="1519" dataCellStyle="Percent"/>
    <tableColumn id="64" name="35-54 I" dataDxfId="1518" dataCellStyle="Percent"/>
    <tableColumn id="65" name="55-74 I" dataDxfId="1517" dataCellStyle="Percent"/>
    <tableColumn id="66" name="75+ I" dataDxfId="1516" dataCellStyle="Percent"/>
    <tableColumn id="67" name="16-54 I" dataDxfId="1515" dataCellStyle="Percent"/>
    <tableColumn id="68" name="55+ I" dataDxfId="1514" dataCellStyle="Percent"/>
    <tableColumn id="69" name="LT limiting disability I" dataDxfId="1513" dataCellStyle="Percent"/>
    <tableColumn id="70" name="No LT limiting disability I" dataDxfId="1512" dataCellStyle="Percent"/>
    <tableColumn id="71" name="White British I" dataDxfId="1511" dataCellStyle="Percent"/>
    <tableColumn id="72" name="White Other I" dataDxfId="1510" dataCellStyle="Percent"/>
    <tableColumn id="73" name="South Asian I" dataDxfId="1509" dataCellStyle="Percent"/>
    <tableColumn id="74" name="Black I" dataDxfId="1508" dataCellStyle="Percent"/>
    <tableColumn id="75" name="Chinese I" dataDxfId="1507" dataCellStyle="Percent"/>
    <tableColumn id="76" name="Mixed I" dataDxfId="1506" dataCellStyle="Percent"/>
    <tableColumn id="77" name="Other ethnic group I" dataDxfId="1505" dataCellStyle="Percent"/>
    <tableColumn id="78" name="NS SEC 1-2: Higher social groups I" dataDxfId="1504" dataCellStyle="Percent"/>
    <tableColumn id="79" name="NS SEC 3-5: Middle social groups I" dataDxfId="1503" dataCellStyle="Percent"/>
    <tableColumn id="80" name="NS SEC 6-8: Lower social groups I" dataDxfId="1502" dataCellStyle="Percent"/>
    <tableColumn id="81" name="NS SEC 9: Students and other I" dataDxfId="1501" dataCellStyle="Percent"/>
    <tableColumn id="82" name="Working full or part time I" dataDxfId="1500" dataCellStyle="Percent"/>
    <tableColumn id="83" name="Unemployed I" dataDxfId="1499" dataCellStyle="Percent"/>
    <tableColumn id="84" name="Not working - retired I" dataDxfId="1498" dataCellStyle="Percent"/>
    <tableColumn id="85" name="Not working - looking after house/children I" dataDxfId="1497" dataCellStyle="Percent"/>
    <tableColumn id="86" name="Not working - long term sick or disabled I" dataDxfId="1496" dataCellStyle="Percent"/>
    <tableColumn id="87" name="Student full or part time I" dataDxfId="1495" dataCellStyle="Percent"/>
    <tableColumn id="88" name="Other working status I" dataDxfId="1494" dataCellStyle="Percent"/>
    <tableColumn id="89" name="Moving" dataDxfId="1493" dataCellStyle="Percent"/>
    <tableColumn id="98" name="Moving - Numbers" dataCellStyle="Numbers">
      <calculatedColumnFormula>Rochdale1[[#This Row],[Active - Numbers]]+Rochdale1[[#This Row],[Fairly Active - Numbers]]</calculatedColumnFormula>
    </tableColumn>
    <tableColumn id="90" name="Inactive Gender Gap" dataDxfId="1492" dataCellStyle="Percent">
      <calculatedColumnFormula>Rochdale1[[#This Row],[Male I]]-Rochdale1[[#This Row],[Female I]]</calculatedColumnFormula>
    </tableColumn>
    <tableColumn id="91" name="Inactive Socio-Economic Gap" dataDxfId="1491" dataCellStyle="Percent">
      <calculatedColumnFormula>Rochdale1[[#This Row],[NS SEC 1-2: Higher social groups I]]-Rochdale1[[#This Row],[NS SEC 6-8: Lower social groups I]]</calculatedColumnFormula>
    </tableColumn>
    <tableColumn id="92" name="Inactive Disability Gap" dataDxfId="1490" dataCellStyle="Percent">
      <calculatedColumnFormula>Rochdale1[[#This Row],[No LT limiting disability I]]-Rochdale1[[#This Row],[LT limiting disability I]]</calculatedColumnFormula>
    </tableColumn>
    <tableColumn id="93" name="Inactivity Age Gap" dataDxfId="1489" dataCellStyle="Percent">
      <calculatedColumnFormula>Rochdale1[[#This Row],[16-34 I]]-Rochdale1[[#This Row],[75+ I]]</calculatedColumnFormula>
    </tableColumn>
    <tableColumn id="99" name="Walking for leisure" dataDxfId="1488" dataCellStyle="Percent"/>
    <tableColumn id="100" name="Walking for travel" dataDxfId="1487" dataCellStyle="Percent"/>
    <tableColumn id="101" name="All walking" dataDxfId="1486" dataCellStyle="Percent"/>
    <tableColumn id="102" name="Volunteering" dataDxfId="1485" dataCellStyle="Percent"/>
  </tableColumns>
  <tableStyleInfo name="TableStyleMedium2" showFirstColumn="0" showLastColumn="0" showRowStripes="1" showColumnStripes="0"/>
</table>
</file>

<file path=xl/tables/table13.xml><?xml version="1.0" encoding="utf-8"?>
<table xmlns="http://schemas.openxmlformats.org/spreadsheetml/2006/main" id="6" name="Salford1" displayName="Salford1" ref="A2:CX11" totalsRowShown="0" dataDxfId="1456" headerRowCellStyle="Normal" dataCellStyle="Percent">
  <autoFilter ref="A2:CX11"/>
  <tableColumns count="102">
    <tableColumn id="94" name="Area" dataDxfId="1455" dataCellStyle="Percent"/>
    <tableColumn id="1" name="Release" dataDxfId="1454" dataCellStyle="Percent"/>
    <tableColumn id="2" name="Active - Total Population" dataDxfId="1453" dataCellStyle="Percent"/>
    <tableColumn id="95" name="Active - Numbers" dataDxfId="1452" dataCellStyle="Percent"/>
    <tableColumn id="3" name="Male" dataDxfId="1451" dataCellStyle="Percent"/>
    <tableColumn id="4" name="Female" dataDxfId="1450" dataCellStyle="Percent"/>
    <tableColumn id="5" name="16-34" dataDxfId="1449" dataCellStyle="Percent"/>
    <tableColumn id="6" name="35-54" dataDxfId="1448" dataCellStyle="Percent"/>
    <tableColumn id="7" name="55-74" dataDxfId="1447" dataCellStyle="Percent"/>
    <tableColumn id="8" name="75+" dataDxfId="1446" dataCellStyle="Percent"/>
    <tableColumn id="9" name="16-54" dataDxfId="1445" dataCellStyle="Percent"/>
    <tableColumn id="10" name="55+" dataDxfId="1444" dataCellStyle="Percent"/>
    <tableColumn id="11" name="LT limiting disability" dataDxfId="1443" dataCellStyle="Percent"/>
    <tableColumn id="12" name="No LT limiting disability" dataDxfId="1442" dataCellStyle="Percent"/>
    <tableColumn id="13" name="White British" dataDxfId="1441" dataCellStyle="Percent"/>
    <tableColumn id="14" name="White Other" dataDxfId="1440" dataCellStyle="Percent"/>
    <tableColumn id="15" name="South Asian" dataDxfId="1439" dataCellStyle="Percent"/>
    <tableColumn id="16" name="Black" dataDxfId="1438" dataCellStyle="Percent"/>
    <tableColumn id="17" name="Chinese" dataDxfId="1437" dataCellStyle="Percent"/>
    <tableColumn id="18" name="Mixed" dataDxfId="1436" dataCellStyle="Percent"/>
    <tableColumn id="19" name="Other ethnic group" dataDxfId="1435" dataCellStyle="Percent"/>
    <tableColumn id="20" name="NS SEC 1-2: Higher social groups" dataDxfId="1434" dataCellStyle="Percent"/>
    <tableColumn id="21" name="NS SEC 3-5: Middle social groups" dataDxfId="1433" dataCellStyle="Percent"/>
    <tableColumn id="22" name="NS SEC 6-8: Lower social groups" dataDxfId="1432" dataCellStyle="Percent"/>
    <tableColumn id="23" name="NS SEC 9: Students and other" dataDxfId="1431" dataCellStyle="Percent"/>
    <tableColumn id="24" name="Working full or part time" dataDxfId="1430" dataCellStyle="Percent"/>
    <tableColumn id="25" name="Unemployed" dataDxfId="1429" dataCellStyle="Percent"/>
    <tableColumn id="26" name="Not working - retired" dataDxfId="1428" dataCellStyle="Percent"/>
    <tableColumn id="27" name="Not working - looking after house/children" dataDxfId="1427" dataCellStyle="Percent"/>
    <tableColumn id="28" name="Not working - long term sick or disabled" dataDxfId="1426" dataCellStyle="Percent"/>
    <tableColumn id="29" name="Student full or part time" dataDxfId="1425" dataCellStyle="Percent"/>
    <tableColumn id="30" name="Other working status" dataDxfId="1424" dataCellStyle="Percent"/>
    <tableColumn id="31" name="Fairly Active - Total Population" dataDxfId="1423" dataCellStyle="Percent"/>
    <tableColumn id="96" name="Fairly Active - Numbers" dataDxfId="1422" dataCellStyle="Percent"/>
    <tableColumn id="32" name="Male FA" dataDxfId="1421" dataCellStyle="Percent"/>
    <tableColumn id="33" name="Female FA" dataDxfId="1420" dataCellStyle="Percent"/>
    <tableColumn id="34" name="16-34 FA" dataDxfId="1419" dataCellStyle="Percent"/>
    <tableColumn id="35" name="35-54 FA" dataDxfId="1418" dataCellStyle="Percent"/>
    <tableColumn id="36" name="55-74 FA" dataDxfId="1417" dataCellStyle="Percent"/>
    <tableColumn id="37" name="75+ FA" dataDxfId="1416" dataCellStyle="Percent"/>
    <tableColumn id="38" name="16-54 FA" dataDxfId="1415" dataCellStyle="Percent"/>
    <tableColumn id="39" name="55+ FA" dataDxfId="1414" dataCellStyle="Percent"/>
    <tableColumn id="40" name="LT limiting disability FA" dataDxfId="1413" dataCellStyle="Percent"/>
    <tableColumn id="41" name="No LT limiting disability FA" dataDxfId="1412" dataCellStyle="Percent"/>
    <tableColumn id="42" name="White British FA" dataDxfId="1411" dataCellStyle="Percent"/>
    <tableColumn id="43" name="White Other FA" dataDxfId="1410" dataCellStyle="Percent"/>
    <tableColumn id="44" name="South Asian FA" dataDxfId="1409" dataCellStyle="Percent"/>
    <tableColumn id="45" name="Black FA" dataDxfId="1408" dataCellStyle="Percent"/>
    <tableColumn id="46" name="Chinese FA" dataDxfId="1407" dataCellStyle="Percent"/>
    <tableColumn id="47" name="Mixed FA" dataDxfId="1406" dataCellStyle="Percent"/>
    <tableColumn id="48" name="Other ethnic group FA" dataDxfId="1405" dataCellStyle="Percent"/>
    <tableColumn id="49" name="NS SEC 1-2: Higher social groups FA" dataDxfId="1404" dataCellStyle="Percent"/>
    <tableColumn id="50" name="NS SEC 3-5: Middle social groups FA" dataDxfId="1403" dataCellStyle="Percent"/>
    <tableColumn id="51" name="NS SEC 6-8: Lower social groups FA" dataDxfId="1402" dataCellStyle="Percent"/>
    <tableColumn id="52" name="NS SEC 9: Students and other FA" dataDxfId="1401" dataCellStyle="Percent"/>
    <tableColumn id="53" name="Working full or part time FA" dataDxfId="1400" dataCellStyle="Percent"/>
    <tableColumn id="54" name="Unemployed FA" dataDxfId="1399" dataCellStyle="Percent"/>
    <tableColumn id="55" name="Not working - retired FA" dataDxfId="1398" dataCellStyle="Percent"/>
    <tableColumn id="56" name="Not working - looking after house/children FA" dataDxfId="1397" dataCellStyle="Percent"/>
    <tableColumn id="57" name="Not working - long term sick or disabled FA" dataDxfId="1396" dataCellStyle="Percent"/>
    <tableColumn id="58" name="Student full or part time FA" dataDxfId="1395" dataCellStyle="Percent"/>
    <tableColumn id="59" name="Other working status FA" dataDxfId="1394" dataCellStyle="Percent"/>
    <tableColumn id="60" name="Inactive - Total Population" dataDxfId="1393" dataCellStyle="Percent"/>
    <tableColumn id="97" name="Inactive - Numbers" dataDxfId="1392" dataCellStyle="Percent"/>
    <tableColumn id="61" name="Male I" dataDxfId="1391" dataCellStyle="Percent"/>
    <tableColumn id="62" name="Female I" dataDxfId="1390" dataCellStyle="Percent"/>
    <tableColumn id="63" name="16-34 I" dataDxfId="1389" dataCellStyle="Percent"/>
    <tableColumn id="64" name="35-54 I" dataDxfId="1388" dataCellStyle="Percent"/>
    <tableColumn id="65" name="55-74 I" dataDxfId="1387" dataCellStyle="Percent"/>
    <tableColumn id="66" name="75+ I" dataDxfId="1386" dataCellStyle="Percent"/>
    <tableColumn id="67" name="16-54 I" dataDxfId="1385" dataCellStyle="Percent"/>
    <tableColumn id="68" name="55+ I" dataDxfId="1384" dataCellStyle="Percent"/>
    <tableColumn id="69" name="LT limiting disability I" dataDxfId="1383" dataCellStyle="Percent"/>
    <tableColumn id="70" name="No LT limiting disability I" dataDxfId="1382" dataCellStyle="Percent"/>
    <tableColumn id="71" name="White British I" dataDxfId="1381" dataCellStyle="Percent"/>
    <tableColumn id="72" name="White Other I" dataDxfId="1380" dataCellStyle="Percent"/>
    <tableColumn id="73" name="South Asian I" dataDxfId="1379" dataCellStyle="Percent"/>
    <tableColumn id="74" name="Black I" dataDxfId="1378" dataCellStyle="Percent"/>
    <tableColumn id="75" name="Chinese I" dataDxfId="1377" dataCellStyle="Percent"/>
    <tableColumn id="76" name="Mixed I" dataDxfId="1376" dataCellStyle="Percent"/>
    <tableColumn id="77" name="Other ethnic group I" dataDxfId="1375" dataCellStyle="Percent"/>
    <tableColumn id="78" name="NS SEC 1-2: Higher social groups I" dataDxfId="1374" dataCellStyle="Percent"/>
    <tableColumn id="79" name="NS SEC 3-5: Middle social groups I" dataDxfId="1373" dataCellStyle="Percent"/>
    <tableColumn id="80" name="NS SEC 6-8: Lower social groups I" dataDxfId="1372" dataCellStyle="Percent"/>
    <tableColumn id="81" name="NS SEC 9: Students and other I" dataDxfId="1371" dataCellStyle="Percent"/>
    <tableColumn id="82" name="Working full or part time I" dataDxfId="1370" dataCellStyle="Percent"/>
    <tableColumn id="83" name="Unemployed I" dataDxfId="1369" dataCellStyle="Percent"/>
    <tableColumn id="84" name="Not working - retired I" dataDxfId="1368" dataCellStyle="Percent"/>
    <tableColumn id="85" name="Not working - looking after house/children I" dataDxfId="1367" dataCellStyle="Percent"/>
    <tableColumn id="86" name="Not working - long term sick or disabled I" dataDxfId="1366" dataCellStyle="Percent"/>
    <tableColumn id="87" name="Student full or part time I" dataDxfId="1365" dataCellStyle="Percent"/>
    <tableColumn id="88" name="Other working status I" dataDxfId="1364" dataCellStyle="Percent"/>
    <tableColumn id="89" name="Moving" dataDxfId="1363" dataCellStyle="Percent"/>
    <tableColumn id="98" name="Moving - Numbers" dataCellStyle="Numbers">
      <calculatedColumnFormula>Salford1[[#This Row],[Active - Numbers]]+Salford1[[#This Row],[Fairly Active - Numbers]]</calculatedColumnFormula>
    </tableColumn>
    <tableColumn id="90" name="Inactive Gender Gap" dataDxfId="1362" dataCellStyle="Percent">
      <calculatedColumnFormula>Salford1[[#This Row],[Male I]]-Salford1[[#This Row],[Female I]]</calculatedColumnFormula>
    </tableColumn>
    <tableColumn id="91" name="Inactive Socio-Economic Gap" dataDxfId="1361" dataCellStyle="Percent">
      <calculatedColumnFormula>Salford1[[#This Row],[NS SEC 1-2: Higher social groups I]]-Salford1[[#This Row],[NS SEC 6-8: Lower social groups I]]</calculatedColumnFormula>
    </tableColumn>
    <tableColumn id="92" name="Inactive Disability Gap" dataDxfId="1360" dataCellStyle="Percent">
      <calculatedColumnFormula>Salford1[[#This Row],[No LT limiting disability I]]-Salford1[[#This Row],[LT limiting disability I]]</calculatedColumnFormula>
    </tableColumn>
    <tableColumn id="93" name="Inactivity Age Gap" dataDxfId="1359" dataCellStyle="Percent">
      <calculatedColumnFormula>Salford1[[#This Row],[16-34 I]]-Salford1[[#This Row],[75+ I]]</calculatedColumnFormula>
    </tableColumn>
    <tableColumn id="99" name="Walking for leisure" dataDxfId="1358" dataCellStyle="Percent"/>
    <tableColumn id="100" name="Walking for travel" dataDxfId="1357" dataCellStyle="Percent"/>
    <tableColumn id="101" name="All walking" dataDxfId="1356" dataCellStyle="Percent"/>
    <tableColumn id="102" name="Volunteering" dataDxfId="1355" dataCellStyle="Percent"/>
  </tableColumns>
  <tableStyleInfo name="TableStyleMedium2" showFirstColumn="0" showLastColumn="0" showRowStripes="1" showColumnStripes="0"/>
</table>
</file>

<file path=xl/tables/table14.xml><?xml version="1.0" encoding="utf-8"?>
<table xmlns="http://schemas.openxmlformats.org/spreadsheetml/2006/main" id="7" name="Stockport1" displayName="Stockport1" ref="A2:CX11" totalsRowShown="0" dataDxfId="1332" headerRowCellStyle="Normal" dataCellStyle="Percent">
  <autoFilter ref="A2:CX11"/>
  <tableColumns count="102">
    <tableColumn id="94" name="Area" dataDxfId="1331" dataCellStyle="Percent"/>
    <tableColumn id="1" name="Release" dataDxfId="1330" dataCellStyle="Percent"/>
    <tableColumn id="2" name="Active - Total Population" dataDxfId="1329" dataCellStyle="Percent"/>
    <tableColumn id="95" name="Active - Numbers" dataDxfId="1328" dataCellStyle="Percent"/>
    <tableColumn id="3" name="Male" dataDxfId="1327" dataCellStyle="Percent"/>
    <tableColumn id="4" name="Female" dataDxfId="1326" dataCellStyle="Percent"/>
    <tableColumn id="5" name="16-34" dataDxfId="1325" dataCellStyle="Percent"/>
    <tableColumn id="6" name="35-54" dataDxfId="1324" dataCellStyle="Percent"/>
    <tableColumn id="7" name="55-74" dataDxfId="1323" dataCellStyle="Percent"/>
    <tableColumn id="8" name="75+" dataDxfId="1322" dataCellStyle="Percent"/>
    <tableColumn id="9" name="16-54" dataDxfId="1321" dataCellStyle="Percent"/>
    <tableColumn id="10" name="55+" dataDxfId="1320" dataCellStyle="Percent"/>
    <tableColumn id="11" name="LT limiting disability" dataDxfId="1319" dataCellStyle="Percent"/>
    <tableColumn id="12" name="No LT limiting disability" dataDxfId="1318" dataCellStyle="Percent"/>
    <tableColumn id="13" name="White British" dataDxfId="1317" dataCellStyle="Percent"/>
    <tableColumn id="14" name="White Other" dataDxfId="1316" dataCellStyle="Percent"/>
    <tableColumn id="15" name="South Asian" dataDxfId="1315" dataCellStyle="Percent"/>
    <tableColumn id="16" name="Black" dataDxfId="1314" dataCellStyle="Percent"/>
    <tableColumn id="17" name="Chinese" dataDxfId="1313" dataCellStyle="Percent"/>
    <tableColumn id="18" name="Mixed" dataDxfId="1312" dataCellStyle="Percent"/>
    <tableColumn id="19" name="Other ethnic group" dataDxfId="1311" dataCellStyle="Percent"/>
    <tableColumn id="20" name="NS SEC 1-2: Higher social groups" dataDxfId="1310" dataCellStyle="Percent"/>
    <tableColumn id="21" name="NS SEC 3-5: Middle social groups" dataDxfId="1309" dataCellStyle="Percent"/>
    <tableColumn id="22" name="NS SEC 6-8: Lower social groups" dataDxfId="1308" dataCellStyle="Percent"/>
    <tableColumn id="23" name="NS SEC 9: Students and other" dataDxfId="1307" dataCellStyle="Percent"/>
    <tableColumn id="24" name="Working full or part time" dataDxfId="1306" dataCellStyle="Percent"/>
    <tableColumn id="25" name="Unemployed" dataDxfId="1305" dataCellStyle="Percent"/>
    <tableColumn id="26" name="Not working - retired" dataDxfId="1304" dataCellStyle="Percent"/>
    <tableColumn id="27" name="Not working - looking after house/children" dataDxfId="1303" dataCellStyle="Percent"/>
    <tableColumn id="28" name="Not working - long term sick or disabled" dataDxfId="1302" dataCellStyle="Percent"/>
    <tableColumn id="29" name="Student full or part time" dataDxfId="1301" dataCellStyle="Percent"/>
    <tableColumn id="30" name="Other working status" dataDxfId="1300" dataCellStyle="Percent"/>
    <tableColumn id="31" name="Fairly Active - Total Population" dataDxfId="1299" dataCellStyle="Percent"/>
    <tableColumn id="96" name="Fairly Active - Numbers" dataDxfId="1298" dataCellStyle="Percent"/>
    <tableColumn id="32" name="Male FA" dataDxfId="1297" dataCellStyle="Percent"/>
    <tableColumn id="33" name="Female FA" dataDxfId="1296" dataCellStyle="Percent"/>
    <tableColumn id="34" name="16-34 FA" dataDxfId="1295" dataCellStyle="Percent"/>
    <tableColumn id="35" name="35-54 FA" dataDxfId="1294" dataCellStyle="Percent"/>
    <tableColumn id="36" name="55-74 FA" dataDxfId="1293" dataCellStyle="Percent"/>
    <tableColumn id="37" name="75+ FA" dataDxfId="1292" dataCellStyle="Percent"/>
    <tableColumn id="38" name="16-54 FA" dataDxfId="1291" dataCellStyle="Percent"/>
    <tableColumn id="39" name="55+ FA" dataDxfId="1290" dataCellStyle="Percent"/>
    <tableColumn id="40" name="LT limiting disability FA" dataDxfId="1289" dataCellStyle="Percent"/>
    <tableColumn id="41" name="No LT limiting disability FA" dataDxfId="1288" dataCellStyle="Percent"/>
    <tableColumn id="42" name="White British FA" dataDxfId="1287" dataCellStyle="Percent"/>
    <tableColumn id="43" name="White Other FA" dataDxfId="1286" dataCellStyle="Percent"/>
    <tableColumn id="44" name="South Asian FA" dataDxfId="1285" dataCellStyle="Percent"/>
    <tableColumn id="45" name="Black FA" dataDxfId="1284" dataCellStyle="Percent"/>
    <tableColumn id="46" name="Chinese FA" dataDxfId="1283" dataCellStyle="Percent"/>
    <tableColumn id="47" name="Mixed FA" dataDxfId="1282" dataCellStyle="Percent"/>
    <tableColumn id="48" name="Other ethnic group FA" dataDxfId="1281" dataCellStyle="Percent"/>
    <tableColumn id="49" name="NS SEC 1-2: Higher social groups FA" dataDxfId="1280" dataCellStyle="Percent"/>
    <tableColumn id="50" name="NS SEC 3-5: Middle social groups FA" dataDxfId="1279" dataCellStyle="Percent"/>
    <tableColumn id="51" name="NS SEC 6-8: Lower social groups FA" dataDxfId="1278" dataCellStyle="Percent"/>
    <tableColumn id="52" name="NS SEC 9: Students and other FA" dataDxfId="1277" dataCellStyle="Percent"/>
    <tableColumn id="53" name="Working full or part time FA" dataDxfId="1276" dataCellStyle="Percent"/>
    <tableColumn id="54" name="Unemployed FA" dataDxfId="1275" dataCellStyle="Percent"/>
    <tableColumn id="55" name="Not working - retired FA" dataDxfId="1274" dataCellStyle="Percent"/>
    <tableColumn id="56" name="Not working - looking after house/children FA" dataDxfId="1273" dataCellStyle="Percent"/>
    <tableColumn id="57" name="Not working - long term sick or disabled FA" dataDxfId="1272" dataCellStyle="Percent"/>
    <tableColumn id="58" name="Student full or part time FA" dataDxfId="1271" dataCellStyle="Percent"/>
    <tableColumn id="59" name="Other working status FA" dataDxfId="1270" dataCellStyle="Percent"/>
    <tableColumn id="60" name="Inactive - Total Population" dataDxfId="1269" dataCellStyle="Percent"/>
    <tableColumn id="97" name="Inactive - Numbers" dataDxfId="1268" dataCellStyle="Percent"/>
    <tableColumn id="61" name="Male I" dataDxfId="1267" dataCellStyle="Percent"/>
    <tableColumn id="62" name="Female I" dataDxfId="1266" dataCellStyle="Percent"/>
    <tableColumn id="63" name="16-34 I" dataDxfId="1265" dataCellStyle="Percent"/>
    <tableColumn id="64" name="35-54 I" dataDxfId="1264" dataCellStyle="Percent"/>
    <tableColumn id="65" name="55-74 I" dataDxfId="1263" dataCellStyle="Percent"/>
    <tableColumn id="66" name="75+ I" dataDxfId="1262" dataCellStyle="Percent"/>
    <tableColumn id="67" name="16-54 I" dataDxfId="1261" dataCellStyle="Percent"/>
    <tableColumn id="68" name="55+ I" dataDxfId="1260" dataCellStyle="Percent"/>
    <tableColumn id="69" name="LT limiting disability I" dataDxfId="1259" dataCellStyle="Percent"/>
    <tableColumn id="70" name="No LT limiting disability I" dataDxfId="1258" dataCellStyle="Percent"/>
    <tableColumn id="71" name="White British I" dataDxfId="1257" dataCellStyle="Percent"/>
    <tableColumn id="72" name="White Other I" dataDxfId="1256" dataCellStyle="Percent"/>
    <tableColumn id="73" name="South Asian I" dataDxfId="1255" dataCellStyle="Percent"/>
    <tableColumn id="74" name="Black I" dataDxfId="1254" dataCellStyle="Percent"/>
    <tableColumn id="75" name="Chinese I" dataDxfId="1253" dataCellStyle="Percent"/>
    <tableColumn id="76" name="Mixed I" dataDxfId="1252" dataCellStyle="Percent"/>
    <tableColumn id="77" name="Other ethnic group I" dataDxfId="1251" dataCellStyle="Percent"/>
    <tableColumn id="78" name="NS SEC 1-2: Higher social groups I" dataDxfId="1250" dataCellStyle="Percent"/>
    <tableColumn id="79" name="NS SEC 3-5: Middle social groups I" dataDxfId="1249" dataCellStyle="Percent"/>
    <tableColumn id="80" name="NS SEC 6-8: Lower social groups I" dataDxfId="1248" dataCellStyle="Percent"/>
    <tableColumn id="81" name="NS SEC 9: Students and other I" dataDxfId="1247" dataCellStyle="Percent"/>
    <tableColumn id="82" name="Working full or part time I" dataDxfId="1246" dataCellStyle="Percent"/>
    <tableColumn id="83" name="Unemployed I" dataDxfId="1245" dataCellStyle="Percent"/>
    <tableColumn id="84" name="Not working - retired I" dataDxfId="1244" dataCellStyle="Percent"/>
    <tableColumn id="85" name="Not working - looking after house/children I" dataDxfId="1243" dataCellStyle="Percent"/>
    <tableColumn id="86" name="Not working - long term sick or disabled I" dataDxfId="1242" dataCellStyle="Percent"/>
    <tableColumn id="87" name="Student full or part time I" dataDxfId="1241" dataCellStyle="Percent"/>
    <tableColumn id="88" name="Other working status I" dataDxfId="1240" dataCellStyle="Percent"/>
    <tableColumn id="89" name="Moving" dataDxfId="1239" dataCellStyle="Percent"/>
    <tableColumn id="98" name="Moving - Numbers" dataCellStyle="Numbers">
      <calculatedColumnFormula>Stockport1[[#This Row],[Active - Numbers]]+Stockport1[[#This Row],[Fairly Active - Numbers]]</calculatedColumnFormula>
    </tableColumn>
    <tableColumn id="90" name="Inactive Gender Gap" dataDxfId="1238" dataCellStyle="Percent">
      <calculatedColumnFormula>Stockport1[[#This Row],[Male I]]-Stockport1[[#This Row],[Female I]]</calculatedColumnFormula>
    </tableColumn>
    <tableColumn id="91" name="Inactive Socio-Economic Gap" dataDxfId="1237" dataCellStyle="Percent">
      <calculatedColumnFormula>Stockport1[[#This Row],[NS SEC 1-2: Higher social groups I]]-Stockport1[[#This Row],[NS SEC 6-8: Lower social groups I]]</calculatedColumnFormula>
    </tableColumn>
    <tableColumn id="92" name="Inactive Disability Gap" dataDxfId="1236" dataCellStyle="Percent">
      <calculatedColumnFormula>Stockport1[[#This Row],[No LT limiting disability I]]-Stockport1[[#This Row],[LT limiting disability I]]</calculatedColumnFormula>
    </tableColumn>
    <tableColumn id="93" name="Inactivity Age Gap" dataDxfId="1235" dataCellStyle="Percent">
      <calculatedColumnFormula>Stockport1[[#This Row],[16-34 I]]-Stockport1[[#This Row],[75+ I]]</calculatedColumnFormula>
    </tableColumn>
    <tableColumn id="99" name="Walking for leisure" dataDxfId="1234" dataCellStyle="Percent"/>
    <tableColumn id="100" name="Walking for travel" dataDxfId="1233" dataCellStyle="Percent"/>
    <tableColumn id="101" name="All walking" dataDxfId="1232" dataCellStyle="Percent"/>
    <tableColumn id="102" name="Volunteering" dataDxfId="1231" dataCellStyle="Percent"/>
  </tableColumns>
  <tableStyleInfo name="TableStyleMedium2" showFirstColumn="0" showLastColumn="0" showRowStripes="1" showColumnStripes="0"/>
</table>
</file>

<file path=xl/tables/table15.xml><?xml version="1.0" encoding="utf-8"?>
<table xmlns="http://schemas.openxmlformats.org/spreadsheetml/2006/main" id="8" name="Tameside1" displayName="Tameside1" ref="A2:CX11" totalsRowShown="0" dataDxfId="1208" headerRowCellStyle="Normal" dataCellStyle="Percent">
  <autoFilter ref="A2:CX11"/>
  <tableColumns count="102">
    <tableColumn id="94" name="Area" dataDxfId="1207" dataCellStyle="Percent"/>
    <tableColumn id="1" name="Release" dataDxfId="1206" dataCellStyle="Percent"/>
    <tableColumn id="2" name="Active - Total Population" dataDxfId="1205" dataCellStyle="Percent"/>
    <tableColumn id="95" name="Active - Numbers" dataDxfId="1204" dataCellStyle="Percent"/>
    <tableColumn id="3" name="Male" dataDxfId="1203" dataCellStyle="Percent"/>
    <tableColumn id="4" name="Female" dataDxfId="1202" dataCellStyle="Percent"/>
    <tableColumn id="5" name="16-34" dataDxfId="1201" dataCellStyle="Percent"/>
    <tableColumn id="6" name="35-54" dataDxfId="1200" dataCellStyle="Percent"/>
    <tableColumn id="7" name="55-74" dataDxfId="1199" dataCellStyle="Percent"/>
    <tableColumn id="8" name="75+" dataDxfId="1198" dataCellStyle="Percent"/>
    <tableColumn id="9" name="16-54" dataDxfId="1197" dataCellStyle="Percent"/>
    <tableColumn id="10" name="55+" dataDxfId="1196" dataCellStyle="Percent"/>
    <tableColumn id="11" name="LT limiting disability" dataDxfId="1195" dataCellStyle="Percent"/>
    <tableColumn id="12" name="No LT limiting disability" dataDxfId="1194" dataCellStyle="Percent"/>
    <tableColumn id="13" name="White British" dataDxfId="1193" dataCellStyle="Percent"/>
    <tableColumn id="14" name="White Other" dataDxfId="1192" dataCellStyle="Percent"/>
    <tableColumn id="15" name="South Asian" dataDxfId="1191" dataCellStyle="Percent"/>
    <tableColumn id="16" name="Black" dataDxfId="1190" dataCellStyle="Percent"/>
    <tableColumn id="17" name="Chinese" dataDxfId="1189" dataCellStyle="Percent"/>
    <tableColumn id="18" name="Mixed" dataDxfId="1188" dataCellStyle="Percent"/>
    <tableColumn id="19" name="Other ethnic group" dataDxfId="1187" dataCellStyle="Percent"/>
    <tableColumn id="20" name="NS SEC 1-2: Higher social groups" dataDxfId="1186" dataCellStyle="Percent"/>
    <tableColumn id="21" name="NS SEC 3-5: Middle social groups" dataDxfId="1185" dataCellStyle="Percent"/>
    <tableColumn id="22" name="NS SEC 6-8: Lower social groups" dataDxfId="1184" dataCellStyle="Percent"/>
    <tableColumn id="23" name="NS SEC 9: Students and other" dataDxfId="1183" dataCellStyle="Percent"/>
    <tableColumn id="24" name="Working full or part time" dataDxfId="1182" dataCellStyle="Percent"/>
    <tableColumn id="25" name="Unemployed" dataDxfId="1181" dataCellStyle="Percent"/>
    <tableColumn id="26" name="Not working - retired" dataDxfId="1180" dataCellStyle="Percent"/>
    <tableColumn id="27" name="Not working - looking after house/children" dataDxfId="1179" dataCellStyle="Percent"/>
    <tableColumn id="28" name="Not working - long term sick or disabled" dataDxfId="1178" dataCellStyle="Percent"/>
    <tableColumn id="29" name="Student full or part time" dataDxfId="1177" dataCellStyle="Percent"/>
    <tableColumn id="30" name="Other working status" dataDxfId="1176" dataCellStyle="Percent"/>
    <tableColumn id="31" name="Fairly Active - Total Population" dataDxfId="1175" dataCellStyle="Percent"/>
    <tableColumn id="96" name="Fairly Active - Numbers" dataDxfId="1174" dataCellStyle="Percent"/>
    <tableColumn id="32" name="Male FA" dataDxfId="1173" dataCellStyle="Percent"/>
    <tableColumn id="33" name="Female FA" dataDxfId="1172" dataCellStyle="Percent"/>
    <tableColumn id="34" name="16-34 FA" dataDxfId="1171" dataCellStyle="Percent"/>
    <tableColumn id="35" name="35-54 FA" dataDxfId="1170" dataCellStyle="Percent"/>
    <tableColumn id="36" name="55-74 FA" dataDxfId="1169" dataCellStyle="Percent"/>
    <tableColumn id="37" name="75+ FA" dataDxfId="1168" dataCellStyle="Percent"/>
    <tableColumn id="38" name="16-54 FA" dataDxfId="1167" dataCellStyle="Percent"/>
    <tableColumn id="39" name="55+ FA" dataDxfId="1166" dataCellStyle="Percent"/>
    <tableColumn id="40" name="LT limiting disability FA" dataDxfId="1165" dataCellStyle="Percent"/>
    <tableColumn id="41" name="No LT limiting disability FA" dataDxfId="1164" dataCellStyle="Percent"/>
    <tableColumn id="42" name="White British FA" dataDxfId="1163" dataCellStyle="Percent"/>
    <tableColumn id="43" name="White Other FA" dataDxfId="1162" dataCellStyle="Percent"/>
    <tableColumn id="44" name="South Asian FA" dataDxfId="1161" dataCellStyle="Percent"/>
    <tableColumn id="45" name="Black FA" dataDxfId="1160" dataCellStyle="Percent"/>
    <tableColumn id="46" name="Chinese FA" dataDxfId="1159" dataCellStyle="Percent"/>
    <tableColumn id="47" name="Mixed FA" dataDxfId="1158" dataCellStyle="Percent"/>
    <tableColumn id="48" name="Other ethnic group FA" dataDxfId="1157" dataCellStyle="Percent"/>
    <tableColumn id="49" name="NS SEC 1-2: Higher social groups FA" dataDxfId="1156" dataCellStyle="Percent"/>
    <tableColumn id="50" name="NS SEC 3-5: Middle social groups FA" dataDxfId="1155" dataCellStyle="Percent"/>
    <tableColumn id="51" name="NS SEC 6-8: Lower social groups FA" dataDxfId="1154" dataCellStyle="Percent"/>
    <tableColumn id="52" name="NS SEC 9: Students and other FA" dataDxfId="1153" dataCellStyle="Percent"/>
    <tableColumn id="53" name="Working full or part time FA" dataDxfId="1152" dataCellStyle="Percent"/>
    <tableColumn id="54" name="Unemployed FA" dataDxfId="1151" dataCellStyle="Percent"/>
    <tableColumn id="55" name="Not working - retired FA" dataDxfId="1150" dataCellStyle="Percent"/>
    <tableColumn id="56" name="Not working - looking after house/children FA" dataDxfId="1149" dataCellStyle="Percent"/>
    <tableColumn id="57" name="Not working - long term sick or disabled FA" dataDxfId="1148" dataCellStyle="Percent"/>
    <tableColumn id="58" name="Student full or part time FA" dataDxfId="1147" dataCellStyle="Percent"/>
    <tableColumn id="59" name="Other working status FA" dataDxfId="1146" dataCellStyle="Percent"/>
    <tableColumn id="60" name="Inactive - Total Population" dataDxfId="1145" dataCellStyle="Percent"/>
    <tableColumn id="97" name="Inactive - Numbers" dataDxfId="1144" dataCellStyle="Percent"/>
    <tableColumn id="61" name="Male I" dataDxfId="1143" dataCellStyle="Percent"/>
    <tableColumn id="62" name="Female I" dataDxfId="1142" dataCellStyle="Percent"/>
    <tableColumn id="63" name="16-34 I" dataDxfId="1141" dataCellStyle="Percent"/>
    <tableColumn id="64" name="35-54 I" dataDxfId="1140" dataCellStyle="Percent"/>
    <tableColumn id="65" name="55-74 I" dataDxfId="1139" dataCellStyle="Percent"/>
    <tableColumn id="66" name="75+ I" dataDxfId="1138" dataCellStyle="Percent"/>
    <tableColumn id="67" name="16-54 I" dataDxfId="1137" dataCellStyle="Percent"/>
    <tableColumn id="68" name="55+ I" dataDxfId="1136" dataCellStyle="Percent"/>
    <tableColumn id="69" name="LT limiting disability I" dataDxfId="1135" dataCellStyle="Percent"/>
    <tableColumn id="70" name="No LT limiting disability I" dataDxfId="1134" dataCellStyle="Percent"/>
    <tableColumn id="71" name="White British I" dataDxfId="1133" dataCellStyle="Percent"/>
    <tableColumn id="72" name="White Other I" dataDxfId="1132" dataCellStyle="Percent"/>
    <tableColumn id="73" name="South Asian I" dataDxfId="1131" dataCellStyle="Percent"/>
    <tableColumn id="74" name="Black I" dataDxfId="1130" dataCellStyle="Percent"/>
    <tableColumn id="75" name="Chinese I" dataDxfId="1129" dataCellStyle="Percent"/>
    <tableColumn id="76" name="Mixed I" dataDxfId="1128" dataCellStyle="Percent"/>
    <tableColumn id="77" name="Other ethnic group I" dataDxfId="1127" dataCellStyle="Percent"/>
    <tableColumn id="78" name="NS SEC 1-2: Higher social groups I" dataDxfId="1126" dataCellStyle="Percent"/>
    <tableColumn id="79" name="NS SEC 3-5: Middle social groups I" dataDxfId="1125" dataCellStyle="Percent"/>
    <tableColumn id="80" name="NS SEC 6-8: Lower social groups I" dataDxfId="1124" dataCellStyle="Percent"/>
    <tableColumn id="81" name="NS SEC 9: Students and other I" dataDxfId="1123" dataCellStyle="Percent"/>
    <tableColumn id="82" name="Working full or part time I" dataDxfId="1122" dataCellStyle="Percent"/>
    <tableColumn id="83" name="Unemployed I" dataDxfId="1121" dataCellStyle="Percent"/>
    <tableColumn id="84" name="Not working - retired I" dataDxfId="1120" dataCellStyle="Percent"/>
    <tableColumn id="85" name="Not working - looking after house/children I" dataDxfId="1119" dataCellStyle="Percent"/>
    <tableColumn id="86" name="Not working - long term sick or disabled I" dataDxfId="1118" dataCellStyle="Percent"/>
    <tableColumn id="87" name="Student full or part time I" dataDxfId="1117" dataCellStyle="Percent"/>
    <tableColumn id="88" name="Other working status I" dataDxfId="1116" dataCellStyle="Percent"/>
    <tableColumn id="89" name="Moving" dataDxfId="1115" dataCellStyle="Percent"/>
    <tableColumn id="98" name="Moving - Numbers" dataCellStyle="Numbers">
      <calculatedColumnFormula>Tameside1[[#This Row],[Active - Numbers]]+Tameside1[[#This Row],[Fairly Active - Numbers]]</calculatedColumnFormula>
    </tableColumn>
    <tableColumn id="90" name="Inactive Gender Gap" dataDxfId="1114" dataCellStyle="Percent">
      <calculatedColumnFormula>Tameside1[[#This Row],[Male I]]-Tameside1[[#This Row],[Female I]]</calculatedColumnFormula>
    </tableColumn>
    <tableColumn id="91" name="Inactive Socio-Economic Gap" dataDxfId="1113" dataCellStyle="Percent">
      <calculatedColumnFormula>Tameside1[[#This Row],[NS SEC 1-2: Higher social groups I]]-Tameside1[[#This Row],[NS SEC 6-8: Lower social groups I]]</calculatedColumnFormula>
    </tableColumn>
    <tableColumn id="92" name="Inactive Disability Gap" dataDxfId="1112" dataCellStyle="Percent">
      <calculatedColumnFormula>Tameside1[[#This Row],[No LT limiting disability I]]-Tameside1[[#This Row],[LT limiting disability I]]</calculatedColumnFormula>
    </tableColumn>
    <tableColumn id="93" name="Inactivity Age Gap" dataDxfId="1111" dataCellStyle="Percent">
      <calculatedColumnFormula>Tameside1[[#This Row],[16-34 I]]-Tameside1[[#This Row],[75+ I]]</calculatedColumnFormula>
    </tableColumn>
    <tableColumn id="99" name="Walking for leisure" dataDxfId="1110" dataCellStyle="Percent"/>
    <tableColumn id="100" name="Walking for travel" dataDxfId="1109" dataCellStyle="Percent"/>
    <tableColumn id="101" name="All walking" dataDxfId="1108" dataCellStyle="Percent"/>
    <tableColumn id="102" name="Volunteering" dataDxfId="1107" dataCellStyle="Percent"/>
  </tableColumns>
  <tableStyleInfo name="TableStyleMedium2" showFirstColumn="0" showLastColumn="0" showRowStripes="1" showColumnStripes="0"/>
</table>
</file>

<file path=xl/tables/table16.xml><?xml version="1.0" encoding="utf-8"?>
<table xmlns="http://schemas.openxmlformats.org/spreadsheetml/2006/main" id="9" name="Trafford1" displayName="Trafford1" ref="A2:CX11" totalsRowShown="0" headerRowDxfId="1082" dataDxfId="1081" headerRowCellStyle="Percent" dataCellStyle="Percent">
  <autoFilter ref="A2:CX11"/>
  <tableColumns count="102">
    <tableColumn id="94" name="Area" dataDxfId="1080" dataCellStyle="Percent"/>
    <tableColumn id="1" name="Release" dataDxfId="1079" dataCellStyle="Percent"/>
    <tableColumn id="2" name="Active - Total Population" dataDxfId="1078" dataCellStyle="Percent"/>
    <tableColumn id="95" name="Active - Numbers" dataDxfId="1077" dataCellStyle="Percent"/>
    <tableColumn id="3" name="Male" dataDxfId="1076" dataCellStyle="Percent"/>
    <tableColumn id="4" name="Female" dataDxfId="1075" dataCellStyle="Percent"/>
    <tableColumn id="5" name="16-34" dataDxfId="1074" dataCellStyle="Percent"/>
    <tableColumn id="6" name="35-54" dataDxfId="1073" dataCellStyle="Percent"/>
    <tableColumn id="7" name="55-74" dataDxfId="1072" dataCellStyle="Percent"/>
    <tableColumn id="8" name="75+" dataDxfId="1071" dataCellStyle="Percent"/>
    <tableColumn id="9" name="16-54" dataDxfId="1070" dataCellStyle="Percent"/>
    <tableColumn id="10" name="55+" dataDxfId="1069" dataCellStyle="Percent"/>
    <tableColumn id="11" name="LT limiting disability" dataDxfId="1068" dataCellStyle="Percent"/>
    <tableColumn id="12" name="No LT limiting disability" dataDxfId="1067" dataCellStyle="Percent"/>
    <tableColumn id="13" name="White British" dataDxfId="1066" dataCellStyle="Percent"/>
    <tableColumn id="14" name="White Other" dataDxfId="1065" dataCellStyle="Percent"/>
    <tableColumn id="15" name="South Asian" dataDxfId="1064" dataCellStyle="Percent"/>
    <tableColumn id="16" name="Black" dataDxfId="1063" dataCellStyle="Percent"/>
    <tableColumn id="17" name="Chinese" dataDxfId="1062" dataCellStyle="Percent"/>
    <tableColumn id="18" name="Mixed" dataDxfId="1061" dataCellStyle="Percent"/>
    <tableColumn id="19" name="Other ethnic group" dataDxfId="1060" dataCellStyle="Percent"/>
    <tableColumn id="20" name="NS SEC 1-2: Higher social groups" dataDxfId="1059" dataCellStyle="Percent"/>
    <tableColumn id="21" name="NS SEC 3-5: Middle social groups" dataDxfId="1058" dataCellStyle="Percent"/>
    <tableColumn id="22" name="NS SEC 6-8: Lower social groups" dataDxfId="1057" dataCellStyle="Percent"/>
    <tableColumn id="23" name="NS SEC 9: Students and other" dataDxfId="1056" dataCellStyle="Percent"/>
    <tableColumn id="24" name="Working full or part time" dataDxfId="1055" dataCellStyle="Percent"/>
    <tableColumn id="25" name="Unemployed" dataDxfId="1054" dataCellStyle="Percent"/>
    <tableColumn id="26" name="Not working - retired" dataDxfId="1053" dataCellStyle="Percent"/>
    <tableColumn id="27" name="Not working - looking after house/children" dataDxfId="1052" dataCellStyle="Percent"/>
    <tableColumn id="28" name="Not working - long term sick or disabled" dataDxfId="1051" dataCellStyle="Percent"/>
    <tableColumn id="29" name="Student full or part time" dataDxfId="1050" dataCellStyle="Percent"/>
    <tableColumn id="30" name="Other working status" dataDxfId="1049" dataCellStyle="Percent"/>
    <tableColumn id="31" name="Fairly Active - Total Population" dataDxfId="1048" dataCellStyle="Percent"/>
    <tableColumn id="96" name="Fairly Active - Numbers" dataDxfId="1047" dataCellStyle="Percent"/>
    <tableColumn id="32" name="Male FA" dataDxfId="1046" dataCellStyle="Percent"/>
    <tableColumn id="33" name="Female FA" dataDxfId="1045" dataCellStyle="Percent"/>
    <tableColumn id="34" name="16-34 FA" dataDxfId="1044" dataCellStyle="Percent"/>
    <tableColumn id="35" name="35-54 FA" dataDxfId="1043" dataCellStyle="Percent"/>
    <tableColumn id="36" name="55-74 FA" dataDxfId="1042" dataCellStyle="Percent"/>
    <tableColumn id="37" name="75+ FA" dataDxfId="1041" dataCellStyle="Percent"/>
    <tableColumn id="38" name="16-54 FA" dataDxfId="1040" dataCellStyle="Percent"/>
    <tableColumn id="39" name="55+ FA" dataDxfId="1039" dataCellStyle="Percent"/>
    <tableColumn id="40" name="LT limiting disability FA" dataDxfId="1038" dataCellStyle="Percent"/>
    <tableColumn id="41" name="No LT limiting disability FA" dataDxfId="1037" dataCellStyle="Percent"/>
    <tableColumn id="42" name="White British FA" dataDxfId="1036" dataCellStyle="Percent"/>
    <tableColumn id="43" name="White Other FA" dataDxfId="1035" dataCellStyle="Percent"/>
    <tableColumn id="44" name="South Asian FA" dataDxfId="1034" dataCellStyle="Percent"/>
    <tableColumn id="45" name="Black FA" dataDxfId="1033" dataCellStyle="Percent"/>
    <tableColumn id="46" name="Chinese FA" dataDxfId="1032" dataCellStyle="Percent"/>
    <tableColumn id="47" name="Mixed FA" dataDxfId="1031" dataCellStyle="Percent"/>
    <tableColumn id="48" name="Other ethnic group FA" dataDxfId="1030" dataCellStyle="Percent"/>
    <tableColumn id="49" name="NS SEC 1-2: Higher social groups FA" dataDxfId="1029" dataCellStyle="Percent"/>
    <tableColumn id="50" name="NS SEC 3-5: Middle social groups FA" dataDxfId="1028" dataCellStyle="Percent"/>
    <tableColumn id="51" name="NS SEC 6-8: Lower social groups FA" dataDxfId="1027" dataCellStyle="Percent"/>
    <tableColumn id="52" name="NS SEC 9: Students and other FA" dataDxfId="1026" dataCellStyle="Percent"/>
    <tableColumn id="53" name="Working full or part time FA" dataDxfId="1025" dataCellStyle="Percent"/>
    <tableColumn id="54" name="Unemployed FA" dataDxfId="1024" dataCellStyle="Percent"/>
    <tableColumn id="55" name="Not working - retired FA" dataDxfId="1023" dataCellStyle="Percent"/>
    <tableColumn id="56" name="Not working - looking after house/children FA" dataDxfId="1022" dataCellStyle="Percent"/>
    <tableColumn id="57" name="Not working - long term sick or disabled FA" dataDxfId="1021" dataCellStyle="Percent"/>
    <tableColumn id="58" name="Student full or part time FA" dataDxfId="1020" dataCellStyle="Percent"/>
    <tableColumn id="59" name="Other working status FA" dataDxfId="1019" dataCellStyle="Percent"/>
    <tableColumn id="60" name="Inactive - Total Population" dataDxfId="1018" dataCellStyle="Percent"/>
    <tableColumn id="97" name="Inactive - Numbers" dataDxfId="1017" dataCellStyle="Percent"/>
    <tableColumn id="61" name="Male I" dataDxfId="1016" dataCellStyle="Percent"/>
    <tableColumn id="62" name="Female I" dataDxfId="1015" dataCellStyle="Percent"/>
    <tableColumn id="63" name="16-34 I" dataDxfId="1014" dataCellStyle="Percent"/>
    <tableColumn id="64" name="35-54 I" dataDxfId="1013" dataCellStyle="Percent"/>
    <tableColumn id="65" name="55-74 I" dataDxfId="1012" dataCellStyle="Percent"/>
    <tableColumn id="66" name="75+ I" dataDxfId="1011" dataCellStyle="Percent"/>
    <tableColumn id="67" name="16-54 I" dataDxfId="1010" dataCellStyle="Percent"/>
    <tableColumn id="68" name="55+ I" dataDxfId="1009" dataCellStyle="Percent"/>
    <tableColumn id="69" name="LT limiting disability I" dataDxfId="1008" dataCellStyle="Percent"/>
    <tableColumn id="70" name="No LT limiting disability I" dataDxfId="1007" dataCellStyle="Percent"/>
    <tableColumn id="71" name="White British I" dataDxfId="1006" dataCellStyle="Percent"/>
    <tableColumn id="72" name="White Other I" dataDxfId="1005" dataCellStyle="Percent"/>
    <tableColumn id="73" name="South Asian I" dataDxfId="1004" dataCellStyle="Percent"/>
    <tableColumn id="74" name="Black I" dataDxfId="1003" dataCellStyle="Percent"/>
    <tableColumn id="75" name="Chinese I" dataDxfId="1002" dataCellStyle="Percent"/>
    <tableColumn id="76" name="Mixed I" dataDxfId="1001" dataCellStyle="Percent"/>
    <tableColumn id="77" name="Other ethnic group I" dataDxfId="1000" dataCellStyle="Percent"/>
    <tableColumn id="78" name="NS SEC 1-2: Higher social groups I" dataDxfId="999" dataCellStyle="Percent"/>
    <tableColumn id="79" name="NS SEC 3-5: Middle social groups I" dataDxfId="998" dataCellStyle="Percent"/>
    <tableColumn id="80" name="NS SEC 6-8: Lower social groups I" dataDxfId="997" dataCellStyle="Percent"/>
    <tableColumn id="81" name="NS SEC 9: Students and other I" dataDxfId="996" dataCellStyle="Percent"/>
    <tableColumn id="82" name="Working full or part time I" dataDxfId="995" dataCellStyle="Percent"/>
    <tableColumn id="83" name="Unemployed I" dataDxfId="994" dataCellStyle="Percent"/>
    <tableColumn id="84" name="Not working - retired I" dataDxfId="993" dataCellStyle="Percent"/>
    <tableColumn id="85" name="Not working - looking after house/children I" dataDxfId="992" dataCellStyle="Percent"/>
    <tableColumn id="86" name="Not working - long term sick or disabled I" dataDxfId="991" dataCellStyle="Percent"/>
    <tableColumn id="87" name="Student full or part time I" dataDxfId="990" dataCellStyle="Percent"/>
    <tableColumn id="88" name="Other working status I" dataDxfId="989" dataCellStyle="Percent"/>
    <tableColumn id="89" name="Moving" dataDxfId="988" dataCellStyle="Percent"/>
    <tableColumn id="98" name="Moving - Numbers" dataCellStyle="Numbers">
      <calculatedColumnFormula>Trafford1[[#This Row],[Active - Numbers]]+Trafford1[[#This Row],[Fairly Active - Numbers]]</calculatedColumnFormula>
    </tableColumn>
    <tableColumn id="90" name="Inactive Gender Gap" dataDxfId="987" dataCellStyle="Percent">
      <calculatedColumnFormula>Trafford1[[#This Row],[Male I]]-Trafford1[[#This Row],[Female I]]</calculatedColumnFormula>
    </tableColumn>
    <tableColumn id="91" name="Inactive Socio-Economic Gap" dataDxfId="986" dataCellStyle="Percent">
      <calculatedColumnFormula>Trafford1[[#This Row],[NS SEC 1-2: Higher social groups I]]-Trafford1[[#This Row],[NS SEC 6-8: Lower social groups I]]</calculatedColumnFormula>
    </tableColumn>
    <tableColumn id="92" name="Inactive Disability Gap" dataDxfId="985" dataCellStyle="Percent">
      <calculatedColumnFormula>Trafford1[[#This Row],[No LT limiting disability I]]-Trafford1[[#This Row],[LT limiting disability I]]</calculatedColumnFormula>
    </tableColumn>
    <tableColumn id="93" name="Inactivity Age Gap" dataDxfId="984" dataCellStyle="Percent">
      <calculatedColumnFormula>Trafford1[[#This Row],[16-34 I]]-Trafford1[[#This Row],[75+ I]]</calculatedColumnFormula>
    </tableColumn>
    <tableColumn id="99" name="Walking for leisure" dataDxfId="983" dataCellStyle="Percent"/>
    <tableColumn id="100" name="Walking for travel" dataDxfId="982" dataCellStyle="Percent"/>
    <tableColumn id="101" name="All walking" dataDxfId="981" dataCellStyle="Percent"/>
    <tableColumn id="102" name="Volunteering" dataDxfId="980" dataCellStyle="Percent"/>
  </tableColumns>
  <tableStyleInfo name="TableStyleMedium2" showFirstColumn="0" showLastColumn="0" showRowStripes="1" showColumnStripes="0"/>
</table>
</file>

<file path=xl/tables/table17.xml><?xml version="1.0" encoding="utf-8"?>
<table xmlns="http://schemas.openxmlformats.org/spreadsheetml/2006/main" id="10" name="Wigan1" displayName="Wigan1" ref="A2:CX11" totalsRowShown="0" dataDxfId="957" headerRowCellStyle="Normal" dataCellStyle="Percent">
  <autoFilter ref="A2:CX11"/>
  <tableColumns count="102">
    <tableColumn id="94" name="Area" dataDxfId="956" dataCellStyle="Percent"/>
    <tableColumn id="1" name="Release" dataDxfId="955" dataCellStyle="Percent"/>
    <tableColumn id="2" name="Active - Total Population" dataDxfId="954" dataCellStyle="Percent"/>
    <tableColumn id="95" name="Active - Numbers" dataDxfId="953" dataCellStyle="Percent"/>
    <tableColumn id="3" name="Male" dataDxfId="952" dataCellStyle="Percent"/>
    <tableColumn id="4" name="Female" dataDxfId="951" dataCellStyle="Percent"/>
    <tableColumn id="5" name="16-34" dataDxfId="950" dataCellStyle="Percent"/>
    <tableColumn id="6" name="35-54" dataDxfId="949" dataCellStyle="Percent"/>
    <tableColumn id="7" name="55-74" dataDxfId="948" dataCellStyle="Percent"/>
    <tableColumn id="8" name="75+" dataDxfId="947" dataCellStyle="Percent"/>
    <tableColumn id="9" name="16-54" dataDxfId="946" dataCellStyle="Percent"/>
    <tableColumn id="10" name="55+" dataDxfId="945" dataCellStyle="Percent"/>
    <tableColumn id="11" name="LT limiting disability" dataDxfId="944" dataCellStyle="Percent"/>
    <tableColumn id="12" name="No LT limiting disability" dataDxfId="943" dataCellStyle="Percent"/>
    <tableColumn id="13" name="White British" dataDxfId="942" dataCellStyle="Percent"/>
    <tableColumn id="14" name="White Other" dataDxfId="941" dataCellStyle="Percent"/>
    <tableColumn id="15" name="South Asian" dataDxfId="940" dataCellStyle="Percent"/>
    <tableColumn id="16" name="Black" dataDxfId="939" dataCellStyle="Percent"/>
    <tableColumn id="17" name="Chinese" dataDxfId="938" dataCellStyle="Percent"/>
    <tableColumn id="18" name="Mixed" dataDxfId="937" dataCellStyle="Percent"/>
    <tableColumn id="19" name="Other ethnic group" dataDxfId="936" dataCellStyle="Percent"/>
    <tableColumn id="20" name="NS SEC 1-2: Higher social groups" dataDxfId="935" dataCellStyle="Percent"/>
    <tableColumn id="21" name="NS SEC 3-5: Middle social groups" dataDxfId="934" dataCellStyle="Percent"/>
    <tableColumn id="22" name="NS SEC 6-8: Lower social groups" dataDxfId="933" dataCellStyle="Percent"/>
    <tableColumn id="23" name="NS SEC 9: Students and other" dataDxfId="932" dataCellStyle="Percent"/>
    <tableColumn id="24" name="Working full or part time" dataDxfId="931" dataCellStyle="Percent"/>
    <tableColumn id="25" name="Unemployed" dataDxfId="930" dataCellStyle="Percent"/>
    <tableColumn id="26" name="Not working - retired" dataDxfId="929" dataCellStyle="Percent"/>
    <tableColumn id="27" name="Not working - looking after house/children" dataDxfId="928" dataCellStyle="Percent"/>
    <tableColumn id="28" name="Not working - long term sick or disabled" dataDxfId="927" dataCellStyle="Percent"/>
    <tableColumn id="29" name="Student full or part time" dataDxfId="926" dataCellStyle="Percent"/>
    <tableColumn id="30" name="Other working status" dataDxfId="925" dataCellStyle="Percent"/>
    <tableColumn id="31" name="Fairly Active - Total Population" dataDxfId="924" dataCellStyle="Percent"/>
    <tableColumn id="96" name="Fairly Active - Numbers" dataDxfId="923" dataCellStyle="Percent"/>
    <tableColumn id="32" name="Male FA" dataDxfId="922" dataCellStyle="Percent"/>
    <tableColumn id="33" name="Female FA" dataDxfId="921" dataCellStyle="Percent"/>
    <tableColumn id="34" name="16-34 FA" dataDxfId="920" dataCellStyle="Percent"/>
    <tableColumn id="35" name="35-54 FA" dataDxfId="919" dataCellStyle="Percent"/>
    <tableColumn id="36" name="55-74 FA" dataDxfId="918" dataCellStyle="Percent"/>
    <tableColumn id="37" name="75+ FA" dataDxfId="917" dataCellStyle="Percent"/>
    <tableColumn id="38" name="16-54 FA" dataDxfId="916" dataCellStyle="Percent"/>
    <tableColumn id="39" name="55+ FA" dataDxfId="915" dataCellStyle="Percent"/>
    <tableColumn id="40" name="LT limiting disability FA" dataDxfId="914" dataCellStyle="Percent"/>
    <tableColumn id="41" name="No LT limiting disability FA" dataDxfId="913" dataCellStyle="Percent"/>
    <tableColumn id="42" name="White British FA" dataDxfId="912" dataCellStyle="Percent"/>
    <tableColumn id="43" name="White Other FA" dataDxfId="911" dataCellStyle="Percent"/>
    <tableColumn id="44" name="South Asian FA" dataDxfId="910" dataCellStyle="Percent"/>
    <tableColumn id="45" name="Black FA" dataDxfId="909" dataCellStyle="Percent"/>
    <tableColumn id="46" name="Chinese FA" dataDxfId="908" dataCellStyle="Percent"/>
    <tableColumn id="47" name="Mixed FA" dataDxfId="907" dataCellStyle="Percent"/>
    <tableColumn id="48" name="Other ethnic group FA" dataDxfId="906" dataCellStyle="Percent"/>
    <tableColumn id="49" name="NS SEC 1-2: Higher social groups FA" dataDxfId="905" dataCellStyle="Percent"/>
    <tableColumn id="50" name="NS SEC 3-5: Middle social groups FA" dataDxfId="904" dataCellStyle="Percent"/>
    <tableColumn id="51" name="NS SEC 6-8: Lower social groups FA" dataDxfId="903" dataCellStyle="Percent"/>
    <tableColumn id="52" name="NS SEC 9: Students and other FA" dataDxfId="902" dataCellStyle="Percent"/>
    <tableColumn id="53" name="Working full or part time FA" dataDxfId="901" dataCellStyle="Percent"/>
    <tableColumn id="54" name="Unemployed FA" dataDxfId="900" dataCellStyle="Percent"/>
    <tableColumn id="55" name="Not working - retired FA" dataDxfId="899" dataCellStyle="Percent"/>
    <tableColumn id="56" name="Not working - looking after house/children FA" dataDxfId="898" dataCellStyle="Percent"/>
    <tableColumn id="57" name="Not working - long term sick or disabled FA" dataDxfId="897" dataCellStyle="Percent"/>
    <tableColumn id="58" name="Student full or part time FA" dataDxfId="896" dataCellStyle="Percent"/>
    <tableColumn id="59" name="Other working status FA" dataDxfId="895" dataCellStyle="Percent"/>
    <tableColumn id="60" name="Inactive - Total Population" dataDxfId="894" dataCellStyle="Percent"/>
    <tableColumn id="97" name="Inactive - Numbers" dataDxfId="893" dataCellStyle="Percent"/>
    <tableColumn id="61" name="Male I" dataDxfId="892" dataCellStyle="Percent"/>
    <tableColumn id="62" name="Female I" dataDxfId="891" dataCellStyle="Percent"/>
    <tableColumn id="63" name="16-34 I" dataDxfId="890" dataCellStyle="Percent"/>
    <tableColumn id="64" name="35-54 I" dataDxfId="889" dataCellStyle="Percent"/>
    <tableColumn id="65" name="55-74 I" dataDxfId="888" dataCellStyle="Percent"/>
    <tableColumn id="66" name="75+ I" dataDxfId="887" dataCellStyle="Percent"/>
    <tableColumn id="67" name="16-54 I" dataDxfId="886" dataCellStyle="Percent"/>
    <tableColumn id="68" name="55+ I" dataDxfId="885" dataCellStyle="Percent"/>
    <tableColumn id="69" name="LT limiting disability I" dataDxfId="884" dataCellStyle="Percent"/>
    <tableColumn id="70" name="No LT limiting disability I" dataDxfId="883" dataCellStyle="Percent"/>
    <tableColumn id="71" name="White British I" dataDxfId="882" dataCellStyle="Percent"/>
    <tableColumn id="72" name="White Other I" dataDxfId="881" dataCellStyle="Percent"/>
    <tableColumn id="73" name="South Asian I" dataDxfId="880" dataCellStyle="Percent"/>
    <tableColumn id="74" name="Black I" dataDxfId="879" dataCellStyle="Percent"/>
    <tableColumn id="75" name="Chinese I" dataDxfId="878" dataCellStyle="Percent"/>
    <tableColumn id="76" name="Mixed I" dataDxfId="877" dataCellStyle="Percent"/>
    <tableColumn id="77" name="Other ethnic group I" dataDxfId="876" dataCellStyle="Percent"/>
    <tableColumn id="78" name="NS SEC 1-2: Higher social groups I" dataDxfId="875" dataCellStyle="Percent"/>
    <tableColumn id="79" name="NS SEC 3-5: Middle social groups I" dataDxfId="874" dataCellStyle="Percent"/>
    <tableColumn id="80" name="NS SEC 6-8: Lower social groups I" dataDxfId="873" dataCellStyle="Percent"/>
    <tableColumn id="81" name="NS SEC 9: Students and other I" dataDxfId="872" dataCellStyle="Percent"/>
    <tableColumn id="82" name="Working full or part time I" dataDxfId="871" dataCellStyle="Percent"/>
    <tableColumn id="83" name="Unemployed I" dataDxfId="870" dataCellStyle="Percent"/>
    <tableColumn id="84" name="Not working - retired I" dataDxfId="869" dataCellStyle="Percent"/>
    <tableColumn id="85" name="Not working - looking after house/children I" dataDxfId="868" dataCellStyle="Percent"/>
    <tableColumn id="86" name="Not working - long term sick or disabled I" dataDxfId="867" dataCellStyle="Percent"/>
    <tableColumn id="87" name="Student full or part time I" dataDxfId="866" dataCellStyle="Percent"/>
    <tableColumn id="88" name="Other working status I" dataDxfId="865" dataCellStyle="Percent"/>
    <tableColumn id="89" name="Moving" dataDxfId="864" dataCellStyle="Percent"/>
    <tableColumn id="98" name="Moving - Numbers" dataCellStyle="Numbers">
      <calculatedColumnFormula>Wigan1[[#This Row],[Active - Numbers]]+Wigan1[[#This Row],[Fairly Active - Numbers]]</calculatedColumnFormula>
    </tableColumn>
    <tableColumn id="90" name="Inactive Gender Gap" dataDxfId="863" dataCellStyle="Percent">
      <calculatedColumnFormula>Wigan1[[#This Row],[Male I]]-Wigan1[[#This Row],[Female I]]</calculatedColumnFormula>
    </tableColumn>
    <tableColumn id="91" name="Inactive Socio-Economic Gap" dataDxfId="862" dataCellStyle="Percent">
      <calculatedColumnFormula>Wigan1[[#This Row],[NS SEC 1-2: Higher social groups I]]-Wigan1[[#This Row],[NS SEC 6-8: Lower social groups I]]</calculatedColumnFormula>
    </tableColumn>
    <tableColumn id="92" name="Inactive Disability Gap" dataDxfId="861" dataCellStyle="Percent">
      <calculatedColumnFormula>Wigan1[[#This Row],[No LT limiting disability I]]-Wigan1[[#This Row],[LT limiting disability I]]</calculatedColumnFormula>
    </tableColumn>
    <tableColumn id="93" name="Inactivity Age Gap" dataDxfId="860" dataCellStyle="Percent">
      <calculatedColumnFormula>Wigan1[[#This Row],[16-34 I]]-Wigan1[[#This Row],[75+ I]]</calculatedColumnFormula>
    </tableColumn>
    <tableColumn id="99" name="Walking for leisure" dataDxfId="859" dataCellStyle="Percent"/>
    <tableColumn id="100" name="Walking for travel" dataDxfId="858" dataCellStyle="Percent"/>
    <tableColumn id="101" name="All walking" dataDxfId="857" dataCellStyle="Percent"/>
    <tableColumn id="102" name="Volunteering" dataDxfId="856" dataCellStyle="Percent"/>
  </tableColumns>
  <tableStyleInfo name="TableStyleMedium2" showFirstColumn="0" showLastColumn="0" showRowStripes="1" showColumnStripes="0"/>
</table>
</file>

<file path=xl/tables/table18.xml><?xml version="1.0" encoding="utf-8"?>
<table xmlns="http://schemas.openxmlformats.org/spreadsheetml/2006/main" id="18" name="EnglandCYP" displayName="EnglandCYP" ref="A2:AV4" totalsRowShown="0" headerRowDxfId="826">
  <autoFilter ref="A2:AV4"/>
  <tableColumns count="48">
    <tableColumn id="1" name="Area"/>
    <tableColumn id="2" name="Release"/>
    <tableColumn id="3" name="Active" dataDxfId="825" dataCellStyle="Percent"/>
    <tableColumn id="12" name="Active - Numbers" dataCellStyle="Numbers"/>
    <tableColumn id="4" name="Fairly Active" dataDxfId="824" dataCellStyle="Percent"/>
    <tableColumn id="13" name="Fairly Active - Numbers" dataCellStyle="Numbers"/>
    <tableColumn id="5" name="Less Active" dataDxfId="823" dataCellStyle="Percent"/>
    <tableColumn id="14" name="Less Active - Numbers" dataCellStyle="Numbers"/>
    <tableColumn id="6" name="Active 60 minutes every day" dataDxfId="822" dataCellStyle="Percent"/>
    <tableColumn id="7" name="Active 30 minutes+ at and outside school" dataDxfId="821" dataCellStyle="Percent"/>
    <tableColumn id="8" name="Active 30+ minutes outside school" dataDxfId="820" dataCellStyle="Percent"/>
    <tableColumn id="9" name="Active 30+ minutes at school" dataDxfId="819" dataCellStyle="Percent"/>
    <tableColumn id="10" name="Volunteered twice in the last 12 months" dataCellStyle="Percent"/>
    <tableColumn id="11" name="Moving" dataDxfId="818" dataCellStyle="Percent">
      <calculatedColumnFormula>SUM(C3,E3)</calculatedColumnFormula>
    </tableColumn>
    <tableColumn id="15" name="Moving - Numbers" dataCellStyle="Numbers">
      <calculatedColumnFormula>SUM(D3,F3)</calculatedColumnFormula>
    </tableColumn>
    <tableColumn id="16" name="Boy - Active" dataDxfId="817" dataCellStyle="Percent"/>
    <tableColumn id="17" name="Girl - Active" dataDxfId="816" dataCellStyle="Percent"/>
    <tableColumn id="18" name="Low Affluence - Active" dataDxfId="815" dataCellStyle="Percent"/>
    <tableColumn id="19" name="Medium Affluence - Active" dataDxfId="814" dataCellStyle="Percent"/>
    <tableColumn id="20" name="High Affluence - Active" dataDxfId="813" dataCellStyle="Percent"/>
    <tableColumn id="21" name="White British - Active" dataDxfId="812" dataCellStyle="Percent"/>
    <tableColumn id="22" name="White Other - Active" dataDxfId="811" dataCellStyle="Percent"/>
    <tableColumn id="23" name="Asian - Active" dataDxfId="810" dataCellStyle="Percent"/>
    <tableColumn id="24" name="Black - Active" dataDxfId="809" dataCellStyle="Percent"/>
    <tableColumn id="25" name="Mixed - Active" dataDxfId="808" dataCellStyle="Percent"/>
    <tableColumn id="26" name="Other - Active" dataDxfId="807" dataCellStyle="Percent"/>
    <tableColumn id="27" name="Boy - Fairly Active" dataDxfId="806" dataCellStyle="Percent"/>
    <tableColumn id="28" name="Girl - Fairly Active" dataDxfId="805" dataCellStyle="Percent"/>
    <tableColumn id="29" name="Low Affluence - Fairly Active" dataDxfId="804" dataCellStyle="Percent"/>
    <tableColumn id="30" name="Medium Affluence - Fairly Active" dataDxfId="803" dataCellStyle="Percent"/>
    <tableColumn id="31" name="High Affluence - Fairly Active" dataDxfId="802" dataCellStyle="Percent"/>
    <tableColumn id="32" name="White British - Fairly Active" dataDxfId="801" dataCellStyle="Percent"/>
    <tableColumn id="33" name="White Other - Fairly Active" dataDxfId="800" dataCellStyle="Percent"/>
    <tableColumn id="34" name="Asian - Fairly Active" dataDxfId="799" dataCellStyle="Percent"/>
    <tableColumn id="35" name="Black - Fairly Active" dataDxfId="798" dataCellStyle="Percent"/>
    <tableColumn id="36" name="Mixed - Fairly Active" dataDxfId="797" dataCellStyle="Percent"/>
    <tableColumn id="37" name="Other - Fairly Active" dataDxfId="796" dataCellStyle="Percent"/>
    <tableColumn id="38" name="Boy - Less Active" dataDxfId="795" dataCellStyle="Percent"/>
    <tableColumn id="39" name="Girl - Less Active" dataDxfId="794" dataCellStyle="Percent"/>
    <tableColumn id="40" name="Low Affluence - Less Active" dataDxfId="793" dataCellStyle="Percent"/>
    <tableColumn id="41" name="Medium Affluence - Less Active" dataDxfId="792" dataCellStyle="Percent"/>
    <tableColumn id="42" name="High Affluence - Less Active" dataDxfId="791" dataCellStyle="Percent"/>
    <tableColumn id="43" name="White British - Less Active" dataDxfId="790" dataCellStyle="Percent"/>
    <tableColumn id="44" name="White Other - Less Active" dataDxfId="789" dataCellStyle="Percent"/>
    <tableColumn id="45" name="Asian - Less Active" dataDxfId="788" dataCellStyle="Percent"/>
    <tableColumn id="46" name="Black - Less Active" dataDxfId="787" dataCellStyle="Percent"/>
    <tableColumn id="47" name="Mixed - Less Active" dataDxfId="786" dataCellStyle="Percent"/>
    <tableColumn id="48" name="Other - Less Active" dataDxfId="785" dataCellStyle="Percent"/>
  </tableColumns>
  <tableStyleInfo name="TableStyleMedium2" showFirstColumn="0" showLastColumn="0" showRowStripes="1" showColumnStripes="0"/>
</table>
</file>

<file path=xl/tables/table19.xml><?xml version="1.0" encoding="utf-8"?>
<table xmlns="http://schemas.openxmlformats.org/spreadsheetml/2006/main" id="19" name="GMCYP" displayName="GMCYP" ref="A2:AV4" totalsRowShown="0" headerRowDxfId="755" dataDxfId="754" dataCellStyle="Percent">
  <autoFilter ref="A2:AV4"/>
  <tableColumns count="48">
    <tableColumn id="1" name="Area" dataDxfId="753" dataCellStyle="Percent"/>
    <tableColumn id="2" name="Release" dataDxfId="752" dataCellStyle="Percent"/>
    <tableColumn id="3" name="Active" dataDxfId="751" dataCellStyle="Percent"/>
    <tableColumn id="12" name="Active - Numbers" dataCellStyle="Numbers"/>
    <tableColumn id="4" name="Fairly Active" dataDxfId="750" dataCellStyle="Percent"/>
    <tableColumn id="13" name="Fairly Active - Numbers" dataCellStyle="Numbers"/>
    <tableColumn id="5" name="Less Active" dataDxfId="749" dataCellStyle="Percent"/>
    <tableColumn id="14" name="Less Active - Numbers" dataCellStyle="Numbers"/>
    <tableColumn id="6" name="Active 60 minutes every day" dataDxfId="748" dataCellStyle="Percent"/>
    <tableColumn id="7" name="Active 30 minutes+ at and outside school" dataDxfId="747" dataCellStyle="Percent"/>
    <tableColumn id="8" name="Active 30+ minutes outside school" dataDxfId="746" dataCellStyle="Percent"/>
    <tableColumn id="9" name="Active 30+ minutes at school" dataDxfId="745" dataCellStyle="Percent"/>
    <tableColumn id="10" name="Volunteered twice in the last 12 months" dataCellStyle="Percent"/>
    <tableColumn id="11" name="Moving" dataDxfId="744" dataCellStyle="Percent">
      <calculatedColumnFormula>GMCYP[[#This Row],[Active]]+GMCYP[[#This Row],[Fairly Active]]</calculatedColumnFormula>
    </tableColumn>
    <tableColumn id="15" name="Moving - Numbers" dataCellStyle="Numbers">
      <calculatedColumnFormula>GMCYP[[#This Row],[Active - Numbers]]+GMCYP[[#This Row],[Fairly Active - Numbers]]</calculatedColumnFormula>
    </tableColumn>
    <tableColumn id="26" name="Boy - Active" dataCellStyle="Numbers"/>
    <tableColumn id="25" name="Girl - Active" dataCellStyle="Numbers"/>
    <tableColumn id="16" name="Low Affluence - Active" dataDxfId="743" dataCellStyle="Percent"/>
    <tableColumn id="17" name="Medium Affluence - Active" dataDxfId="742" dataCellStyle="Percent"/>
    <tableColumn id="18" name="High Affluence - Active" dataDxfId="741" dataCellStyle="Percent"/>
    <tableColumn id="19" name="White British - Active" dataDxfId="740" dataCellStyle="Percent"/>
    <tableColumn id="20" name="White Other - Active" dataDxfId="739" dataCellStyle="Percent"/>
    <tableColumn id="21" name="Asian - Active" dataDxfId="738" dataCellStyle="Percent"/>
    <tableColumn id="22" name="Black - Active" dataDxfId="737" dataCellStyle="Percent"/>
    <tableColumn id="23" name="Mixed - Active" dataDxfId="736" dataCellStyle="Percent"/>
    <tableColumn id="24" name="Other - Active" dataDxfId="735" dataCellStyle="Percent"/>
    <tableColumn id="28" name="Boy - Fairly Active"/>
    <tableColumn id="27" name="Girl - Fairly Active"/>
    <tableColumn id="34" name="Low Affluence - Fairly Active" dataDxfId="734" dataCellStyle="Percent"/>
    <tableColumn id="35" name="Medium Affluence - Fairly Active" dataDxfId="733" dataCellStyle="Percent"/>
    <tableColumn id="36" name="High Affluence - Fairly Active" dataDxfId="732" dataCellStyle="Percent"/>
    <tableColumn id="37" name="White British - Fairly Active" dataDxfId="731" dataCellStyle="Percent"/>
    <tableColumn id="38" name="White Other - Fairly Active" dataDxfId="730" dataCellStyle="Percent"/>
    <tableColumn id="39" name="Asian - Fairly Active" dataDxfId="729" dataCellStyle="Percent"/>
    <tableColumn id="40" name="Black - Fairly Active" dataDxfId="728" dataCellStyle="Percent"/>
    <tableColumn id="41" name="Mixed - Fairly Active" dataDxfId="727" dataCellStyle="Percent"/>
    <tableColumn id="42" name="Other - Fairly Active" dataDxfId="726" dataCellStyle="Percent"/>
    <tableColumn id="30" name="Boy - Less Active"/>
    <tableColumn id="29" name="Girl - Less Active"/>
    <tableColumn id="43" name="Low Affluence - Less Active" dataDxfId="725" dataCellStyle="Percent"/>
    <tableColumn id="44" name="Medium Affluence - Less Active" dataDxfId="724" dataCellStyle="Percent"/>
    <tableColumn id="45" name="High Affluence - Less Active" dataDxfId="723" dataCellStyle="Percent"/>
    <tableColumn id="46" name="White British - Less Active" dataDxfId="722" dataCellStyle="Percent"/>
    <tableColumn id="47" name="White Other - Less Active" dataDxfId="721" dataCellStyle="Percent"/>
    <tableColumn id="48" name="Asian - Less Active" dataDxfId="720" dataCellStyle="Percent"/>
    <tableColumn id="49" name="Black - Less Active" dataDxfId="719" dataCellStyle="Percent"/>
    <tableColumn id="50" name="Mixed - Less Active" dataDxfId="718" dataCellStyle="Percent"/>
    <tableColumn id="51" name="Other - Less Active" dataDxfId="717" dataCellStyle="Percent"/>
  </tableColumns>
  <tableStyleInfo name="TableStyleMedium2" showFirstColumn="0" showLastColumn="0" showRowStripes="1" showColumnStripes="0"/>
</table>
</file>

<file path=xl/tables/table20.xml><?xml version="1.0" encoding="utf-8"?>
<table xmlns="http://schemas.openxmlformats.org/spreadsheetml/2006/main" id="21" name="BoltonCYP" displayName="BoltonCYP" ref="A2:AV4" totalsRowShown="0" headerRowDxfId="683" dataDxfId="682" dataCellStyle="Percent">
  <autoFilter ref="A2:AV4"/>
  <tableColumns count="48">
    <tableColumn id="1" name="Area" dataDxfId="681" dataCellStyle="Percent"/>
    <tableColumn id="2" name="Release" dataDxfId="680" dataCellStyle="Percent"/>
    <tableColumn id="3" name="Active" dataDxfId="679" dataCellStyle="Percent"/>
    <tableColumn id="12" name="Active - Numbers" dataCellStyle="Numbers"/>
    <tableColumn id="4" name="Fairly Active" dataDxfId="678" dataCellStyle="Percent"/>
    <tableColumn id="13" name="Fairly Active - Numbers" dataCellStyle="Numbers"/>
    <tableColumn id="5" name="Less Active" dataDxfId="677" dataCellStyle="Percent"/>
    <tableColumn id="14" name="Less Active - Numbers" dataCellStyle="Numbers"/>
    <tableColumn id="6" name="Active 60 minutes every day" dataDxfId="676" dataCellStyle="Percent"/>
    <tableColumn id="7" name="Active 30 minutes+ at and outside school" dataDxfId="675" dataCellStyle="Percent"/>
    <tableColumn id="8" name="Active 30+ minutes outside school" dataDxfId="674" dataCellStyle="Percent"/>
    <tableColumn id="9" name="Active 30+ minutes at school" dataDxfId="673" dataCellStyle="Percent"/>
    <tableColumn id="10" name="Volunteered twice in the last 12 months" dataDxfId="672" dataCellStyle="Percent"/>
    <tableColumn id="11" name="Moving" dataDxfId="671" dataCellStyle="Percent">
      <calculatedColumnFormula>GMCYP[[#This Row],[Active]]+GMCYP[[#This Row],[Fairly Active]]</calculatedColumnFormula>
    </tableColumn>
    <tableColumn id="15" name="Moving - Numbers" dataCellStyle="Numbers">
      <calculatedColumnFormula>GMCYP[[#This Row],[Active - Numbers]]+GMCYP[[#This Row],[Fairly Active - Numbers]]</calculatedColumnFormula>
    </tableColumn>
    <tableColumn id="16" name="Boy - Active" dataDxfId="670" dataCellStyle="Percent"/>
    <tableColumn id="17" name="Girl - Active" dataDxfId="669" dataCellStyle="Percent"/>
    <tableColumn id="18" name="Low Affluence - Active" dataDxfId="668" dataCellStyle="Percent"/>
    <tableColumn id="19" name="Medium Affluence - Active" dataDxfId="667" dataCellStyle="Percent"/>
    <tableColumn id="20" name="High Affluence - Active" dataDxfId="666" dataCellStyle="Percent"/>
    <tableColumn id="21" name="White British - Active" dataDxfId="665" dataCellStyle="Percent"/>
    <tableColumn id="22" name="White Other - Active" dataDxfId="664" dataCellStyle="Percent"/>
    <tableColumn id="23" name="Asian - Active" dataDxfId="663" dataCellStyle="Percent"/>
    <tableColumn id="24" name="Black - Active" dataDxfId="662" dataCellStyle="Percent"/>
    <tableColumn id="34" name="Mixed - Active" dataDxfId="661" dataCellStyle="Percent"/>
    <tableColumn id="35" name="Other - Active" dataDxfId="660" dataCellStyle="Percent"/>
    <tableColumn id="36" name="Boy - Fairly Active" dataDxfId="659" dataCellStyle="Percent"/>
    <tableColumn id="37" name="Girl - Fairly Active" dataDxfId="658" dataCellStyle="Percent"/>
    <tableColumn id="38" name="Low Affluence - Fairly Active" dataDxfId="657" dataCellStyle="Percent"/>
    <tableColumn id="39" name="Medium Affluence - Fairly Active" dataDxfId="656" dataCellStyle="Percent"/>
    <tableColumn id="40" name="High Affluence - Fairly Active" dataDxfId="655" dataCellStyle="Percent"/>
    <tableColumn id="41" name="White British - Fairly Active" dataDxfId="654" dataCellStyle="Percent"/>
    <tableColumn id="42" name="White Other - Fairly Active" dataDxfId="653" dataCellStyle="Percent"/>
    <tableColumn id="43" name="Asian - Fairly Active" dataDxfId="652" dataCellStyle="Percent"/>
    <tableColumn id="44" name="Black - Fairly Active" dataDxfId="651" dataCellStyle="Percent"/>
    <tableColumn id="45" name="Mixed - Fairly Active" dataDxfId="650" dataCellStyle="Percent"/>
    <tableColumn id="46" name="Other - Fairly Active" dataDxfId="649" dataCellStyle="Percent"/>
    <tableColumn id="47" name="Boy - Less Active" dataDxfId="648" dataCellStyle="Percent"/>
    <tableColumn id="48" name="Girl - Less Active" dataDxfId="647" dataCellStyle="Percent"/>
    <tableColumn id="49" name="Low Affluence - Less Active" dataDxfId="646" dataCellStyle="Percent"/>
    <tableColumn id="50" name="Medium Affluence - Less Active" dataDxfId="645" dataCellStyle="Percent"/>
    <tableColumn id="51" name="High Affluence - Less Active" dataDxfId="644" dataCellStyle="Percent"/>
    <tableColumn id="25" name="White British - Less Active" dataDxfId="643" dataCellStyle="Percent"/>
    <tableColumn id="26" name="White Other - Less Active" dataDxfId="642" dataCellStyle="Percent"/>
    <tableColumn id="27" name="Asian - Less Active" dataDxfId="641" dataCellStyle="Percent"/>
    <tableColumn id="28" name="Black - Less Active" dataDxfId="640" dataCellStyle="Percent"/>
    <tableColumn id="29" name="Mixed - Less Active" dataDxfId="639" dataCellStyle="Percent"/>
    <tableColumn id="30" name="Other - Less Active" dataDxfId="638" dataCellStyle="Percent"/>
  </tableColumns>
  <tableStyleInfo name="TableStyleMedium2" showFirstColumn="0" showLastColumn="0" showRowStripes="1" showColumnStripes="0"/>
</table>
</file>

<file path=xl/tables/table21.xml><?xml version="1.0" encoding="utf-8"?>
<table xmlns="http://schemas.openxmlformats.org/spreadsheetml/2006/main" id="23" name="BuryCYP" displayName="BuryCYP" ref="A2:AV4" totalsRowShown="0" headerRowDxfId="602" dataDxfId="601" dataCellStyle="Percent">
  <autoFilter ref="A2:AV4"/>
  <tableColumns count="48">
    <tableColumn id="1" name="Area" dataDxfId="600" dataCellStyle="Percent"/>
    <tableColumn id="2" name="Release" dataDxfId="599" dataCellStyle="Percent"/>
    <tableColumn id="3" name="Active" dataDxfId="598" dataCellStyle="Percent"/>
    <tableColumn id="14" name="Active - Numbers" dataCellStyle="Numbers"/>
    <tableColumn id="4" name="Fairly Active" dataDxfId="597" dataCellStyle="Percent"/>
    <tableColumn id="12" name="Fairly Active - Numbers" dataCellStyle="Numbers"/>
    <tableColumn id="5" name="Less Active" dataDxfId="596" dataCellStyle="Percent"/>
    <tableColumn id="13" name="Less Active - Numbers" dataCellStyle="Numbers"/>
    <tableColumn id="6" name="Active 60 minutes every day" dataDxfId="595" dataCellStyle="Percent"/>
    <tableColumn id="7" name="Active 30 minutes+ at and outside school" dataDxfId="594" dataCellStyle="Percent"/>
    <tableColumn id="8" name="Active 30+ minutes outside school" dataDxfId="593" dataCellStyle="Percent"/>
    <tableColumn id="9" name="Active 30+ minutes at school" dataDxfId="592" dataCellStyle="Percent"/>
    <tableColumn id="10" name="Volunteered twice in the last 12 months" dataCellStyle="Percent"/>
    <tableColumn id="11" name="Moving" dataDxfId="591" dataCellStyle="Percent">
      <calculatedColumnFormula>SUM(C3,E3)</calculatedColumnFormula>
    </tableColumn>
    <tableColumn id="15" name="Moving - Numbers" dataDxfId="590" dataCellStyle="Percent">
      <calculatedColumnFormula>SUM(D3,F3)</calculatedColumnFormula>
    </tableColumn>
    <tableColumn id="16" name="Boy - Active" dataDxfId="589" dataCellStyle="Percent"/>
    <tableColumn id="17" name="Girl - Active" dataDxfId="588" dataCellStyle="Percent"/>
    <tableColumn id="18" name="Low Affluence - Active" dataDxfId="587" dataCellStyle="Percent"/>
    <tableColumn id="19" name="Medium Affluence - Active" dataDxfId="586" dataCellStyle="Percent"/>
    <tableColumn id="20" name="High Affluence - Active" dataDxfId="585" dataCellStyle="Percent"/>
    <tableColumn id="21" name="White British - Active" dataDxfId="584" dataCellStyle="Percent"/>
    <tableColumn id="22" name="White Other - Active" dataDxfId="583" dataCellStyle="Percent"/>
    <tableColumn id="23" name="Asian - Active" dataDxfId="582" dataCellStyle="Percent"/>
    <tableColumn id="24" name="Black - Active" dataDxfId="581" dataCellStyle="Percent"/>
    <tableColumn id="25" name="Mixed - Active" dataDxfId="580" dataCellStyle="Percent"/>
    <tableColumn id="26" name="Other - Active" dataDxfId="579" dataCellStyle="Percent"/>
    <tableColumn id="27" name="Boy - Fairly Active" dataDxfId="578" dataCellStyle="Percent"/>
    <tableColumn id="28" name="Girl - Fairly Active" dataDxfId="577" dataCellStyle="Percent"/>
    <tableColumn id="29" name="Low Affluence - Fairly Active" dataDxfId="576" dataCellStyle="Percent"/>
    <tableColumn id="30" name="Medium Affluence - Fairly Active" dataDxfId="575" dataCellStyle="Percent"/>
    <tableColumn id="31" name="High Affluence - Fairly Active" dataDxfId="574" dataCellStyle="Percent"/>
    <tableColumn id="32" name="White British - Fairly Active" dataDxfId="573" dataCellStyle="Percent"/>
    <tableColumn id="33" name="White Other - Fairly Active" dataDxfId="572" dataCellStyle="Percent"/>
    <tableColumn id="34" name="Asian - Fairly Active" dataDxfId="571" dataCellStyle="Percent"/>
    <tableColumn id="35" name="Black - Fairly Active" dataDxfId="570" dataCellStyle="Percent"/>
    <tableColumn id="36" name="Mixed - Fairly Active" dataDxfId="569" dataCellStyle="Percent"/>
    <tableColumn id="37" name="Other - Fairly Active" dataDxfId="568" dataCellStyle="Percent"/>
    <tableColumn id="38" name="Boy - Less Active" dataDxfId="567" dataCellStyle="Percent"/>
    <tableColumn id="39" name="Girl - Less Active" dataDxfId="566" dataCellStyle="Percent"/>
    <tableColumn id="40" name="Low Affluence - Less Active" dataDxfId="565" dataCellStyle="Percent"/>
    <tableColumn id="41" name="Medium Affluence - Less Active" dataDxfId="564" dataCellStyle="Percent"/>
    <tableColumn id="42" name="High Affluence - Less Active" dataDxfId="563" dataCellStyle="Percent"/>
    <tableColumn id="43" name="White British - Less Active" dataDxfId="562" dataCellStyle="Percent"/>
    <tableColumn id="44" name="White Other - Less Active" dataDxfId="561" dataCellStyle="Percent"/>
    <tableColumn id="45" name="Asian - Less Active" dataDxfId="560" dataCellStyle="Percent"/>
    <tableColumn id="46" name="Black - Less Active" dataDxfId="559" dataCellStyle="Percent"/>
    <tableColumn id="47" name="Mixed - Less Active" dataDxfId="558" dataCellStyle="Percent"/>
    <tableColumn id="48" name="Other - Less Active" dataDxfId="557" dataCellStyle="Percent"/>
  </tableColumns>
  <tableStyleInfo name="TableStyleMedium2" showFirstColumn="0" showLastColumn="0" showRowStripes="1" showColumnStripes="0"/>
</table>
</file>

<file path=xl/tables/table22.xml><?xml version="1.0" encoding="utf-8"?>
<table xmlns="http://schemas.openxmlformats.org/spreadsheetml/2006/main" id="25" name="ManchesterCYP" displayName="ManchesterCYP" ref="A2:AV4" totalsRowShown="0" headerRowDxfId="534" dataDxfId="533" dataCellStyle="Percent">
  <autoFilter ref="A2:AV4"/>
  <tableColumns count="48">
    <tableColumn id="1" name="Area" dataDxfId="532" dataCellStyle="Percent"/>
    <tableColumn id="2" name="Release" dataDxfId="531" dataCellStyle="Percent"/>
    <tableColumn id="3" name="Active" dataDxfId="530" dataCellStyle="Percent"/>
    <tableColumn id="12" name="Active - Numbers" dataDxfId="529" dataCellStyle="Percent"/>
    <tableColumn id="4" name="Fairly Active" dataDxfId="528" dataCellStyle="Percent"/>
    <tableColumn id="13" name="Fairly Active - Numbers" dataDxfId="527" dataCellStyle="Percent"/>
    <tableColumn id="5" name="Less Active" dataDxfId="526" dataCellStyle="Percent"/>
    <tableColumn id="14" name="Less Active - Numbers" dataDxfId="525" dataCellStyle="Percent"/>
    <tableColumn id="6" name="Active 60 minutes every day" dataDxfId="524" dataCellStyle="Percent"/>
    <tableColumn id="7" name="Active 30 minutes+ at and outside school" dataDxfId="523" dataCellStyle="Percent"/>
    <tableColumn id="8" name="Active 30+ minutes outside school" dataDxfId="522" dataCellStyle="Percent"/>
    <tableColumn id="9" name="Active 30+ minutes at school" dataDxfId="521" dataCellStyle="Percent"/>
    <tableColumn id="10" name="Volunteered twice in the last 12 months" dataDxfId="520" dataCellStyle="Percent"/>
    <tableColumn id="11" name="Moving" dataDxfId="519" dataCellStyle="Percent">
      <calculatedColumnFormula>ManchesterCYP[[#This Row],[Active]]+ManchesterCYP[[#This Row],[Fairly Active]]</calculatedColumnFormula>
    </tableColumn>
    <tableColumn id="15" name="Moving - Numbers" dataDxfId="518" dataCellStyle="Numbers">
      <calculatedColumnFormula>ManchesterCYP[[#This Row],[Active - Numbers]]+ManchesterCYP[[#This Row],[Fairly Active - Numbers]]</calculatedColumnFormula>
    </tableColumn>
    <tableColumn id="16" name="Boy - Active" dataDxfId="517" dataCellStyle="Percent"/>
    <tableColumn id="17" name="Girl - Active" dataDxfId="516" dataCellStyle="Percent"/>
    <tableColumn id="18" name="Low Affluence - Active" dataDxfId="515" dataCellStyle="Percent"/>
    <tableColumn id="19" name="Medium Affluence - Active" dataDxfId="514" dataCellStyle="Percent"/>
    <tableColumn id="20" name="High Affluence - Active" dataDxfId="513" dataCellStyle="Percent"/>
    <tableColumn id="21" name="White British - Active" dataDxfId="512" dataCellStyle="Percent"/>
    <tableColumn id="22" name="White Other - Active" dataDxfId="511" dataCellStyle="Percent"/>
    <tableColumn id="23" name="Asian - Active" dataDxfId="510" dataCellStyle="Percent"/>
    <tableColumn id="24" name="Black - Active" dataDxfId="509" dataCellStyle="Percent"/>
    <tableColumn id="25" name="Mixed - Active" dataDxfId="508" dataCellStyle="Percent"/>
    <tableColumn id="26" name="Other - Active" dataDxfId="507" dataCellStyle="Percent"/>
    <tableColumn id="27" name="Boy - Fairly Active" dataDxfId="506" dataCellStyle="Percent"/>
    <tableColumn id="28" name="Girl - Fairly Active" dataDxfId="505" dataCellStyle="Percent"/>
    <tableColumn id="29" name="Low Affluence - Fairly Active" dataDxfId="504" dataCellStyle="Percent"/>
    <tableColumn id="30" name="Medium Affluence - Fairly Active" dataDxfId="503" dataCellStyle="Percent"/>
    <tableColumn id="31" name="High Affluence - Fairly Active" dataDxfId="502" dataCellStyle="Percent"/>
    <tableColumn id="32" name="White British - Fairly Active" dataDxfId="501" dataCellStyle="Percent"/>
    <tableColumn id="33" name="White Other - Fairly Active" dataDxfId="500" dataCellStyle="Percent"/>
    <tableColumn id="34" name="Asian - Fairly Active" dataDxfId="499" dataCellStyle="Percent"/>
    <tableColumn id="35" name="Black - Fairly Active" dataDxfId="498" dataCellStyle="Percent"/>
    <tableColumn id="36" name="Mixed - Fairly Active" dataDxfId="497" dataCellStyle="Percent"/>
    <tableColumn id="37" name="Other - Fairly Active" dataDxfId="496" dataCellStyle="Percent"/>
    <tableColumn id="38" name="Boy - Less Active" dataDxfId="495" dataCellStyle="Percent"/>
    <tableColumn id="39" name="Girl - Less Active" dataDxfId="494" dataCellStyle="Percent"/>
    <tableColumn id="40" name="Low Affluence - Less Active" dataDxfId="493" dataCellStyle="Percent"/>
    <tableColumn id="41" name="Medium Affluence - Less Active" dataDxfId="492" dataCellStyle="Percent"/>
    <tableColumn id="42" name="High Affluence - Less Active" dataDxfId="491" dataCellStyle="Percent"/>
    <tableColumn id="43" name="White British - Less Active" dataDxfId="490" dataCellStyle="Percent"/>
    <tableColumn id="44" name="White Other - Less Active" dataDxfId="489" dataCellStyle="Percent"/>
    <tableColumn id="45" name="Asian - Less Active" dataDxfId="488" dataCellStyle="Percent"/>
    <tableColumn id="46" name="Black - Less Active" dataDxfId="487" dataCellStyle="Percent"/>
    <tableColumn id="47" name="Mixed - Less Active" dataDxfId="486" dataCellStyle="Percent"/>
    <tableColumn id="48" name="Other - Less Active" dataDxfId="485" dataCellStyle="Percent"/>
  </tableColumns>
  <tableStyleInfo name="TableStyleMedium2" showFirstColumn="0" showLastColumn="0" showRowStripes="1" showColumnStripes="0"/>
</table>
</file>

<file path=xl/tables/table23.xml><?xml version="1.0" encoding="utf-8"?>
<table xmlns="http://schemas.openxmlformats.org/spreadsheetml/2006/main" id="27" name="OldhamCYP" displayName="OldhamCYP" ref="A2:AV4" totalsRowShown="0" headerRowDxfId="460" dataDxfId="459" dataCellStyle="Percent">
  <autoFilter ref="A2:AV4"/>
  <tableColumns count="48">
    <tableColumn id="1" name="Area" dataDxfId="458" dataCellStyle="Percent"/>
    <tableColumn id="2" name="Release" dataDxfId="457" dataCellStyle="Percent"/>
    <tableColumn id="3" name="Active" dataDxfId="456" dataCellStyle="Percent"/>
    <tableColumn id="12" name="Active - Numbers" dataDxfId="455" dataCellStyle="Percent"/>
    <tableColumn id="4" name="Fairly Active" dataDxfId="454" dataCellStyle="Percent"/>
    <tableColumn id="13" name="Fairly Active - Numbers" dataDxfId="453" dataCellStyle="Percent"/>
    <tableColumn id="5" name="Less Active" dataDxfId="452" dataCellStyle="Percent"/>
    <tableColumn id="14" name="Less Active - Numbers" dataDxfId="451" dataCellStyle="Percent"/>
    <tableColumn id="6" name="Active 60 minutes every day" dataDxfId="450" dataCellStyle="Percent"/>
    <tableColumn id="7" name="Active 30 minutes+ at and outside school" dataDxfId="449" dataCellStyle="Percent"/>
    <tableColumn id="8" name="Active 30+ minutes outside school" dataDxfId="448" dataCellStyle="Percent"/>
    <tableColumn id="9" name="Active 30+ minutes at school" dataDxfId="447" dataCellStyle="Percent"/>
    <tableColumn id="10" name="Volunteered twice in the last 12 months" dataDxfId="446" dataCellStyle="Percent"/>
    <tableColumn id="11" name="Moving" dataDxfId="445" dataCellStyle="Percent">
      <calculatedColumnFormula>ManchesterCYP[[#This Row],[Active]]+ManchesterCYP[[#This Row],[Fairly Active]]</calculatedColumnFormula>
    </tableColumn>
    <tableColumn id="15" name="Moving - Numbers" dataCellStyle="Numbers">
      <calculatedColumnFormula>ManchesterCYP[[#This Row],[Active - Numbers]]+ManchesterCYP[[#This Row],[Fairly Active - Numbers]]</calculatedColumnFormula>
    </tableColumn>
    <tableColumn id="16" name="Boy - Active" dataDxfId="444" dataCellStyle="Percent"/>
    <tableColumn id="17" name="Girl - Active" dataDxfId="443" dataCellStyle="Percent"/>
    <tableColumn id="18" name="Low Affluence - Active" dataDxfId="442" dataCellStyle="Percent"/>
    <tableColumn id="19" name="Medium Affluence - Active" dataDxfId="441" dataCellStyle="Percent"/>
    <tableColumn id="20" name="High Affluence - Active" dataDxfId="440" dataCellStyle="Percent"/>
    <tableColumn id="21" name="White British - Active" dataDxfId="439" dataCellStyle="Percent"/>
    <tableColumn id="22" name="White Other - Active" dataDxfId="438" dataCellStyle="Percent"/>
    <tableColumn id="23" name="Asian - Active" dataDxfId="437" dataCellStyle="Percent"/>
    <tableColumn id="24" name="Black - Active" dataDxfId="436" dataCellStyle="Percent"/>
    <tableColumn id="25" name="Mixed - Active" dataDxfId="435" dataCellStyle="Percent"/>
    <tableColumn id="26" name="Other - Active" dataDxfId="434" dataCellStyle="Percent"/>
    <tableColumn id="27" name="Boy - Fairly Active" dataDxfId="433" dataCellStyle="Percent"/>
    <tableColumn id="28" name="Girl - Fairly Active" dataDxfId="432" dataCellStyle="Percent"/>
    <tableColumn id="29" name="Low Affluence - Fairly Active" dataDxfId="431" dataCellStyle="Percent"/>
    <tableColumn id="30" name="Medium Affluence - Fairly Active" dataDxfId="430" dataCellStyle="Percent"/>
    <tableColumn id="31" name="High Affluence - Fairly Active" dataDxfId="429" dataCellStyle="Percent"/>
    <tableColumn id="32" name="White British - Fairly Active" dataDxfId="428" dataCellStyle="Percent"/>
    <tableColumn id="33" name="White Other - Fairly Active" dataDxfId="427" dataCellStyle="Percent"/>
    <tableColumn id="34" name="Asian - Fairly Active" dataDxfId="426" dataCellStyle="Percent"/>
    <tableColumn id="35" name="Black - Fairly Active" dataDxfId="425" dataCellStyle="Percent"/>
    <tableColumn id="36" name="Mixed - Fairly Active" dataDxfId="424" dataCellStyle="Percent"/>
    <tableColumn id="37" name="Other - Fairly Active" dataDxfId="423" dataCellStyle="Percent"/>
    <tableColumn id="38" name="Boy - Less Active" dataDxfId="422" dataCellStyle="Percent"/>
    <tableColumn id="39" name="Girl - Less Active" dataDxfId="421" dataCellStyle="Percent"/>
    <tableColumn id="40" name="Low Affluence - Less Active" dataDxfId="420" dataCellStyle="Percent"/>
    <tableColumn id="41" name="Medium Affluence - Less Active" dataDxfId="419" dataCellStyle="Percent"/>
    <tableColumn id="42" name="High Affluence - Less Active" dataDxfId="418" dataCellStyle="Percent"/>
    <tableColumn id="43" name="White British - Less Active" dataDxfId="417" dataCellStyle="Percent"/>
    <tableColumn id="44" name="White Other - Less Active" dataDxfId="416" dataCellStyle="Percent"/>
    <tableColumn id="45" name="Asian - Less Active" dataDxfId="415" dataCellStyle="Percent"/>
    <tableColumn id="46" name="Black - Less Active" dataDxfId="414" dataCellStyle="Percent"/>
    <tableColumn id="47" name="Mixed - Less Active" dataDxfId="413" dataCellStyle="Percent"/>
    <tableColumn id="48" name="Other - Less Active" dataDxfId="412" dataCellStyle="Percent"/>
  </tableColumns>
  <tableStyleInfo name="TableStyleMedium2" showFirstColumn="0" showLastColumn="0" showRowStripes="1" showColumnStripes="0"/>
</table>
</file>

<file path=xl/tables/table24.xml><?xml version="1.0" encoding="utf-8"?>
<table xmlns="http://schemas.openxmlformats.org/spreadsheetml/2006/main" id="29" name="RochdaleCYP" displayName="RochdaleCYP" ref="A2:AV4" totalsRowShown="0" headerRowDxfId="375" dataDxfId="374" dataCellStyle="Percent">
  <autoFilter ref="A2:AV4"/>
  <tableColumns count="48">
    <tableColumn id="1" name="Area" dataDxfId="373" dataCellStyle="Percent"/>
    <tableColumn id="2" name="Release" dataDxfId="372" dataCellStyle="Percent"/>
    <tableColumn id="3" name="Active" dataDxfId="371" dataCellStyle="Percent"/>
    <tableColumn id="12" name="Active - Numbers" dataCellStyle="Numbers"/>
    <tableColumn id="4" name="Fairly Active" dataDxfId="370" dataCellStyle="Percent"/>
    <tableColumn id="13" name="Fairly Active - Numbers" dataCellStyle="Numbers"/>
    <tableColumn id="5" name="Less Active" dataDxfId="369" dataCellStyle="Percent"/>
    <tableColumn id="14" name="Less Active - Numbers" dataCellStyle="Numbers"/>
    <tableColumn id="6" name="Active 60 minutes every day" dataDxfId="368" dataCellStyle="Percent"/>
    <tableColumn id="7" name="Active 30 minutes+ at and outside school" dataDxfId="367" dataCellStyle="Percent"/>
    <tableColumn id="8" name="Active 30+ minutes outside school" dataDxfId="366" dataCellStyle="Percent"/>
    <tableColumn id="9" name="Active 30+ minutes at school" dataDxfId="365" dataCellStyle="Percent"/>
    <tableColumn id="10" name="Volunteered twice in the last 12 months" dataDxfId="364" dataCellStyle="Percent"/>
    <tableColumn id="11" name="Moving" dataDxfId="363" dataCellStyle="Percent">
      <calculatedColumnFormula>OldhamCYP[[#This Row],[Active]]+OldhamCYP[[#This Row],[Fairly Active]]</calculatedColumnFormula>
    </tableColumn>
    <tableColumn id="15" name="Moving - Numbers" dataCellStyle="Numbers">
      <calculatedColumnFormula>OldhamCYP[[#This Row],[Active - Numbers]]+OldhamCYP[[#This Row],[Fairly Active - Numbers]]</calculatedColumnFormula>
    </tableColumn>
    <tableColumn id="16" name="Boy - Active" dataDxfId="362" dataCellStyle="Percent"/>
    <tableColumn id="17" name="Girl - Active" dataDxfId="361" dataCellStyle="Percent"/>
    <tableColumn id="18" name="Low Affluence - Active" dataDxfId="360" dataCellStyle="Percent"/>
    <tableColumn id="19" name="Medium Affluence - Active" dataDxfId="359" dataCellStyle="Percent"/>
    <tableColumn id="20" name="High Affluence - Active" dataDxfId="358" dataCellStyle="Percent"/>
    <tableColumn id="21" name="White British - Active" dataDxfId="357" dataCellStyle="Percent"/>
    <tableColumn id="22" name="White Other - Active" dataDxfId="356" dataCellStyle="Percent"/>
    <tableColumn id="23" name="Asian - Active" dataDxfId="355" dataCellStyle="Percent"/>
    <tableColumn id="24" name="Black - Active" dataDxfId="354" dataCellStyle="Percent"/>
    <tableColumn id="25" name="Mixed - Active" dataDxfId="353" dataCellStyle="Percent"/>
    <tableColumn id="26" name="Other - Active" dataDxfId="352" dataCellStyle="Percent"/>
    <tableColumn id="27" name="Boy - Fairly Active" dataDxfId="351" dataCellStyle="Percent"/>
    <tableColumn id="28" name="Girl - Fairly Active" dataDxfId="350" dataCellStyle="Percent"/>
    <tableColumn id="29" name="Low Affluence - Fairly Active" dataDxfId="349" dataCellStyle="Percent"/>
    <tableColumn id="30" name="Medium Affluence - Fairly Active" dataDxfId="348" dataCellStyle="Percent"/>
    <tableColumn id="31" name="High Affluence - Fairly Active" dataDxfId="347" dataCellStyle="Percent"/>
    <tableColumn id="32" name="White British - Fairly Active" dataDxfId="346" dataCellStyle="Percent"/>
    <tableColumn id="33" name="White Other - Fairly Active" dataDxfId="345" dataCellStyle="Percent"/>
    <tableColumn id="34" name="Asian - Fairly Active" dataDxfId="344" dataCellStyle="Percent"/>
    <tableColumn id="35" name="Black - Fairly Active" dataDxfId="343" dataCellStyle="Percent"/>
    <tableColumn id="36" name="Mixed - Fairly Active" dataDxfId="342" dataCellStyle="Percent"/>
    <tableColumn id="37" name="Other - Fairly Active" dataDxfId="341" dataCellStyle="Percent"/>
    <tableColumn id="38" name="Boy - Less Active" dataDxfId="340" dataCellStyle="Percent"/>
    <tableColumn id="39" name="Girl - Less Active" dataDxfId="339" dataCellStyle="Percent"/>
    <tableColumn id="40" name="Low Affluence - Less Active" dataDxfId="338" dataCellStyle="Percent"/>
    <tableColumn id="41" name="Medium Affluence - Less Active" dataDxfId="337" dataCellStyle="Percent"/>
    <tableColumn id="42" name="High Affluence - Less Active" dataDxfId="336" dataCellStyle="Percent"/>
    <tableColumn id="43" name="White British - Less Active" dataDxfId="335" dataCellStyle="Percent"/>
    <tableColumn id="44" name="White Other - Less Active" dataDxfId="334" dataCellStyle="Percent"/>
    <tableColumn id="45" name="Asian - Less Active" dataDxfId="333" dataCellStyle="Percent"/>
    <tableColumn id="46" name="Black - Less Active" dataDxfId="332" dataCellStyle="Percent"/>
    <tableColumn id="47" name="Mixed - Less Active" dataDxfId="331" dataCellStyle="Percent"/>
    <tableColumn id="48" name="Other - Less Active" dataDxfId="330" dataCellStyle="Percent"/>
  </tableColumns>
  <tableStyleInfo name="TableStyleMedium2" showFirstColumn="0" showLastColumn="0" showRowStripes="1" showColumnStripes="0"/>
</table>
</file>

<file path=xl/tables/table25.xml><?xml version="1.0" encoding="utf-8"?>
<table xmlns="http://schemas.openxmlformats.org/spreadsheetml/2006/main" id="31" name="SalfordCYP" displayName="SalfordCYP" ref="A2:AV4" totalsRowShown="0" headerRowDxfId="291" dataDxfId="290" dataCellStyle="Percent">
  <autoFilter ref="A2:AV4"/>
  <tableColumns count="48">
    <tableColumn id="1" name="Area" dataDxfId="289" dataCellStyle="Percent"/>
    <tableColumn id="2" name="Release" dataDxfId="288" dataCellStyle="Percent"/>
    <tableColumn id="3" name="Active" dataDxfId="287" dataCellStyle="Percent"/>
    <tableColumn id="12" name="Active - Numbers" dataCellStyle="Numbers"/>
    <tableColumn id="4" name="Fairly Active" dataDxfId="286" dataCellStyle="Percent"/>
    <tableColumn id="13" name="Fairly Active - Numbers" dataCellStyle="Numbers"/>
    <tableColumn id="5" name="Less Active" dataDxfId="285" dataCellStyle="Percent"/>
    <tableColumn id="14" name="Less Active - Numbers" dataCellStyle="Numbers"/>
    <tableColumn id="6" name="Active 60 minutes every day" dataDxfId="284" dataCellStyle="Percent"/>
    <tableColumn id="7" name="Active 30 minutes+ at and outside school" dataDxfId="283" dataCellStyle="Percent"/>
    <tableColumn id="8" name="Active 30+ minutes outside school" dataDxfId="282" dataCellStyle="Percent"/>
    <tableColumn id="9" name="Active 30+ minutes at school" dataDxfId="281" dataCellStyle="Percent"/>
    <tableColumn id="10" name="Volunteered twice in the last 12 months" dataCellStyle="Percent"/>
    <tableColumn id="11" name="Moving" dataDxfId="280" dataCellStyle="Percent">
      <calculatedColumnFormula>RochdaleCYP[[#This Row],[Active]]+RochdaleCYP[[#This Row],[Fairly Active]]</calculatedColumnFormula>
    </tableColumn>
    <tableColumn id="15" name="Moving - Numbers" dataCellStyle="Numbers">
      <calculatedColumnFormula>RochdaleCYP[[#This Row],[Active - Numbers]]+RochdaleCYP[[#This Row],[Fairly Active - Numbers]]</calculatedColumnFormula>
    </tableColumn>
    <tableColumn id="16" name="Boy - Active" dataDxfId="279" dataCellStyle="Percent"/>
    <tableColumn id="17" name="Girl - Active" dataDxfId="278" dataCellStyle="Percent"/>
    <tableColumn id="18" name="Low Affluence - Active" dataDxfId="277" dataCellStyle="Percent"/>
    <tableColumn id="19" name="Medium Affluence - Active" dataDxfId="276" dataCellStyle="Percent"/>
    <tableColumn id="20" name="High Affluence - Active" dataDxfId="275" dataCellStyle="Percent"/>
    <tableColumn id="21" name="White British - Active" dataDxfId="274" dataCellStyle="Percent"/>
    <tableColumn id="22" name="White Other - Active" dataDxfId="273" dataCellStyle="Percent"/>
    <tableColumn id="23" name="Asian - Active" dataDxfId="272" dataCellStyle="Percent"/>
    <tableColumn id="24" name="Black - Active" dataDxfId="271" dataCellStyle="Percent"/>
    <tableColumn id="25" name="Mixed - Active" dataDxfId="270" dataCellStyle="Percent"/>
    <tableColumn id="26" name="Other - Active" dataDxfId="269" dataCellStyle="Percent"/>
    <tableColumn id="27" name="Boy - Fairly Active" dataDxfId="268" dataCellStyle="Percent"/>
    <tableColumn id="28" name="Girl - Fairly Active" dataDxfId="267" dataCellStyle="Percent"/>
    <tableColumn id="29" name="Low Affluence - Fairly Active" dataDxfId="266" dataCellStyle="Percent"/>
    <tableColumn id="30" name="Medium Affluence - Fairly Active" dataDxfId="265" dataCellStyle="Percent"/>
    <tableColumn id="31" name="High Affluence - Fairly Active" dataDxfId="264" dataCellStyle="Percent"/>
    <tableColumn id="32" name="White British - Fairly Active" dataDxfId="263" dataCellStyle="Percent"/>
    <tableColumn id="33" name="White Other - Fairly Active" dataDxfId="262" dataCellStyle="Percent"/>
    <tableColumn id="34" name="Asian - Fairly Active" dataDxfId="261" dataCellStyle="Percent"/>
    <tableColumn id="35" name="Black - Fairly Active" dataDxfId="260" dataCellStyle="Percent"/>
    <tableColumn id="36" name="Mixed - Fairly Active" dataDxfId="259" dataCellStyle="Percent"/>
    <tableColumn id="37" name="Other - Fairly Active" dataDxfId="258" dataCellStyle="Percent"/>
    <tableColumn id="38" name="Boy - Less Active" dataDxfId="257" dataCellStyle="Percent"/>
    <tableColumn id="39" name="Girl - Less Active" dataDxfId="256" dataCellStyle="Percent"/>
    <tableColumn id="40" name="Low Affluence - Less Active" dataDxfId="255" dataCellStyle="Percent"/>
    <tableColumn id="41" name="Medium Affluence - Less Active" dataDxfId="254" dataCellStyle="Percent"/>
    <tableColumn id="42" name="High Affluence - Less Active" dataDxfId="253" dataCellStyle="Percent"/>
    <tableColumn id="43" name="White British - Less Active" dataDxfId="252" dataCellStyle="Percent"/>
    <tableColumn id="44" name="White Other - Less Active" dataDxfId="251" dataCellStyle="Percent"/>
    <tableColumn id="45" name="Asian - Less Active" dataDxfId="250" dataCellStyle="Percent"/>
    <tableColumn id="46" name="Black - Less Active" dataDxfId="249" dataCellStyle="Percent"/>
    <tableColumn id="47" name="Mixed - Less Active" dataDxfId="248" dataCellStyle="Percent"/>
    <tableColumn id="48" name="Other - Less Active" dataDxfId="247" dataCellStyle="Percent"/>
  </tableColumns>
  <tableStyleInfo name="TableStyleMedium2" showFirstColumn="0" showLastColumn="0" showRowStripes="1" showColumnStripes="0"/>
</table>
</file>

<file path=xl/tables/table26.xml><?xml version="1.0" encoding="utf-8"?>
<table xmlns="http://schemas.openxmlformats.org/spreadsheetml/2006/main" id="33" name="StockportCYP" displayName="StockportCYP" ref="A2:AV4" totalsRowShown="0" headerRowDxfId="208" dataDxfId="207" dataCellStyle="Percent">
  <autoFilter ref="A2:AV4"/>
  <tableColumns count="48">
    <tableColumn id="1" name="Area" dataDxfId="206" dataCellStyle="Percent"/>
    <tableColumn id="2" name="Release" dataDxfId="205" dataCellStyle="Percent"/>
    <tableColumn id="3" name="Active" dataDxfId="204" dataCellStyle="Percent"/>
    <tableColumn id="12" name="Active - Numbers" dataCellStyle="Numbers"/>
    <tableColumn id="4" name="Fairly Active" dataDxfId="203" dataCellStyle="Percent"/>
    <tableColumn id="13" name="Fairly Active - Numbers" dataCellStyle="Numbers"/>
    <tableColumn id="5" name="Less Active" dataDxfId="202" dataCellStyle="Percent"/>
    <tableColumn id="14" name="Less Active - Numbers" dataCellStyle="Numbers"/>
    <tableColumn id="6" name="Active 60 minutes every day" dataDxfId="201" dataCellStyle="Percent"/>
    <tableColumn id="7" name="Active 30 minutes+ at and outside school" dataDxfId="200" dataCellStyle="Percent"/>
    <tableColumn id="8" name="Active 30+ minutes outside school" dataDxfId="199" dataCellStyle="Percent"/>
    <tableColumn id="9" name="Active 30+ minutes at school" dataDxfId="198" dataCellStyle="Percent"/>
    <tableColumn id="10" name="Volunteered twice in the last 12 months" dataCellStyle="Percent"/>
    <tableColumn id="11" name="Moving" dataDxfId="197" dataCellStyle="Percent">
      <calculatedColumnFormula>SalfordCYP[[#This Row],[Active]]+SalfordCYP[[#This Row],[Fairly Active]]</calculatedColumnFormula>
    </tableColumn>
    <tableColumn id="15" name="Moving - Numbers" dataCellStyle="Numbers">
      <calculatedColumnFormula>SalfordCYP[[#This Row],[Active - Numbers]]+SalfordCYP[[#This Row],[Fairly Active - Numbers]]</calculatedColumnFormula>
    </tableColumn>
    <tableColumn id="16" name="Boy - Active" dataCellStyle="Percent"/>
    <tableColumn id="17" name="Girl - Active" dataCellStyle="Percent"/>
    <tableColumn id="18" name="Low Affluence - Active" dataCellStyle="Percent"/>
    <tableColumn id="19" name="Medium Affluence - Active" dataCellStyle="Percent"/>
    <tableColumn id="20" name="High Affluence - Active" dataCellStyle="Percent"/>
    <tableColumn id="21" name="White British - Active" dataCellStyle="Percent"/>
    <tableColumn id="22" name="White Other - Active" dataCellStyle="Percent"/>
    <tableColumn id="23" name="Asian - Active" dataCellStyle="Percent"/>
    <tableColumn id="24" name="Black - Active" dataCellStyle="Percent"/>
    <tableColumn id="25" name="Mixed - Active" dataCellStyle="Percent"/>
    <tableColumn id="26" name="Other - Active" dataCellStyle="Percent"/>
    <tableColumn id="27" name="Boy - Fairly Active" dataCellStyle="Percent"/>
    <tableColumn id="28" name="Girl - Fairly Active" dataCellStyle="Percent"/>
    <tableColumn id="29" name="Low Affluence - Fairly Active" dataCellStyle="Percent"/>
    <tableColumn id="30" name="Medium Affluence - Fairly Active" dataCellStyle="Percent"/>
    <tableColumn id="31" name="High Affluence - Fairly Active" dataCellStyle="Percent"/>
    <tableColumn id="32" name="White British - Fairly Active" dataCellStyle="Percent"/>
    <tableColumn id="33" name="White Other - Fairly Active" dataCellStyle="Percent"/>
    <tableColumn id="34" name="Asian - Fairly Active" dataCellStyle="Percent"/>
    <tableColumn id="35" name="Black - Fairly Active" dataCellStyle="Percent"/>
    <tableColumn id="36" name="Mixed - Fairly Active" dataCellStyle="Percent"/>
    <tableColumn id="37" name="Other - Fairly Active" dataCellStyle="Percent"/>
    <tableColumn id="38" name="Boy - Less Active" dataCellStyle="Percent"/>
    <tableColumn id="39" name="Girl - Less Active" dataCellStyle="Percent"/>
    <tableColumn id="40" name="Low Affluence - Less Active" dataCellStyle="Percent"/>
    <tableColumn id="41" name="Medium Affluence - Less Active" dataCellStyle="Percent"/>
    <tableColumn id="42" name="High Affluence - Less Active" dataCellStyle="Percent"/>
    <tableColumn id="43" name="White British - Less Active" dataDxfId="196" dataCellStyle="Percent"/>
    <tableColumn id="44" name="White Other - Less Active" dataDxfId="195" dataCellStyle="Percent"/>
    <tableColumn id="45" name="Asian - Less Active" dataDxfId="194" dataCellStyle="Percent"/>
    <tableColumn id="46" name="Black - Less Active" dataDxfId="193" dataCellStyle="Percent"/>
    <tableColumn id="47" name="Mixed - Less Active" dataDxfId="192" dataCellStyle="Percent"/>
    <tableColumn id="48" name="Other - Less Active" dataDxfId="191" dataCellStyle="Percent"/>
  </tableColumns>
  <tableStyleInfo name="TableStyleMedium2" showFirstColumn="0" showLastColumn="0" showRowStripes="1" showColumnStripes="0"/>
</table>
</file>

<file path=xl/tables/table27.xml><?xml version="1.0" encoding="utf-8"?>
<table xmlns="http://schemas.openxmlformats.org/spreadsheetml/2006/main" id="35" name="TamesideCYP" displayName="TamesideCYP" ref="A2:AV4" totalsRowShown="0" headerRowDxfId="154" dataDxfId="153" dataCellStyle="Percent">
  <autoFilter ref="A2:AV4"/>
  <tableColumns count="48">
    <tableColumn id="1" name="Area" dataDxfId="152" dataCellStyle="Percent"/>
    <tableColumn id="2" name="Release" dataDxfId="151" dataCellStyle="Percent"/>
    <tableColumn id="3" name="Active" dataDxfId="150" dataCellStyle="Percent"/>
    <tableColumn id="12" name="Active - Numbers" dataCellStyle="Numbers"/>
    <tableColumn id="4" name="Fairly Active" dataDxfId="149" dataCellStyle="Percent"/>
    <tableColumn id="13" name="Fairly Active - Numbers" dataCellStyle="Numbers"/>
    <tableColumn id="5" name="Less Active" dataDxfId="148" dataCellStyle="Percent"/>
    <tableColumn id="14" name="Less Active - Numbers" dataCellStyle="Numbers"/>
    <tableColumn id="6" name="Active 60 minutes every day" dataDxfId="147" dataCellStyle="Percent"/>
    <tableColumn id="7" name="Active 30 minutes+ at and outside school" dataDxfId="146" dataCellStyle="Percent"/>
    <tableColumn id="8" name="Active 30+ minutes outside school" dataDxfId="145" dataCellStyle="Percent"/>
    <tableColumn id="9" name="Active 30+ minutes at school" dataDxfId="144" dataCellStyle="Percent"/>
    <tableColumn id="10" name="Volunteered twice in the last 12 months" dataDxfId="143" dataCellStyle="Percent"/>
    <tableColumn id="11" name="Moving" dataDxfId="142" dataCellStyle="Percent">
      <calculatedColumnFormula>StockportCYP[[#This Row],[Active]]+StockportCYP[[#This Row],[Fairly Active]]</calculatedColumnFormula>
    </tableColumn>
    <tableColumn id="15" name="Moving - Numbers" dataCellStyle="Numbers">
      <calculatedColumnFormula>StockportCYP[[#This Row],[Active - Numbers]]+StockportCYP[[#This Row],[Fairly Active - Numbers]]</calculatedColumnFormula>
    </tableColumn>
    <tableColumn id="16" name="Boy - Active" dataCellStyle="Percent"/>
    <tableColumn id="17" name="Girl - Active" dataCellStyle="Percent"/>
    <tableColumn id="18" name="Low Affluence - Active" dataCellStyle="Percent"/>
    <tableColumn id="19" name="Medium Affluence - Active" dataCellStyle="Percent"/>
    <tableColumn id="20" name="High Affluence - Active" dataCellStyle="Percent"/>
    <tableColumn id="21" name="White British - Active" dataCellStyle="Percent"/>
    <tableColumn id="22" name="White Other - Active" dataCellStyle="Percent"/>
    <tableColumn id="23" name="Asian - Active" dataCellStyle="Percent"/>
    <tableColumn id="24" name="Black - Active" dataCellStyle="Percent"/>
    <tableColumn id="25" name="Mixed - Active" dataCellStyle="Percent"/>
    <tableColumn id="26" name="Other - Active" dataCellStyle="Percent"/>
    <tableColumn id="27" name="Boy - Fairly Active" dataCellStyle="Percent"/>
    <tableColumn id="28" name="Girl - Fairly Active" dataCellStyle="Percent"/>
    <tableColumn id="29" name="Low Affluence - Fairly Active" dataCellStyle="Percent"/>
    <tableColumn id="30" name="Medium Affluence - Fairly Active" dataCellStyle="Percent"/>
    <tableColumn id="31" name="High Affluence - Fairly Active" dataCellStyle="Percent"/>
    <tableColumn id="32" name="White British - Fairly Active" dataCellStyle="Percent"/>
    <tableColumn id="33" name="White Other - Fairly Active" dataCellStyle="Percent"/>
    <tableColumn id="34" name="Asian - Fairly Active" dataCellStyle="Percent"/>
    <tableColumn id="35" name="Black - Fairly Active" dataCellStyle="Percent"/>
    <tableColumn id="36" name="Mixed - Fairly Active" dataCellStyle="Percent"/>
    <tableColumn id="37" name="Other - Fairly Active" dataCellStyle="Percent"/>
    <tableColumn id="38" name="Boy - Less Active" dataCellStyle="Percent"/>
    <tableColumn id="39" name="Girl - Less Active" dataCellStyle="Percent"/>
    <tableColumn id="40" name="Low Affluence - Less Active" dataCellStyle="Percent"/>
    <tableColumn id="41" name="Medium Affluence - Less Active" dataCellStyle="Percent"/>
    <tableColumn id="42" name="High Affluence - Less Active" dataCellStyle="Percent"/>
    <tableColumn id="43" name="White British - Less Active" dataDxfId="141" dataCellStyle="Percent"/>
    <tableColumn id="44" name="White Other - Less Active" dataDxfId="140" dataCellStyle="Percent"/>
    <tableColumn id="45" name="Asian - Less Active" dataDxfId="139" dataCellStyle="Percent"/>
    <tableColumn id="46" name="Black - Less Active" dataDxfId="138" dataCellStyle="Percent"/>
    <tableColumn id="47" name="Mixed - Less Active" dataDxfId="137" dataCellStyle="Percent"/>
    <tableColumn id="48" name="Other - Less Active" dataDxfId="136" dataCellStyle="Percent"/>
  </tableColumns>
  <tableStyleInfo name="TableStyleMedium2" showFirstColumn="0" showLastColumn="0" showRowStripes="1" showColumnStripes="0"/>
</table>
</file>

<file path=xl/tables/table28.xml><?xml version="1.0" encoding="utf-8"?>
<table xmlns="http://schemas.openxmlformats.org/spreadsheetml/2006/main" id="37" name="TraffordCYP" displayName="TraffordCYP" ref="A2:AV4" totalsRowShown="0" headerRowDxfId="97" dataCellStyle="Normal">
  <autoFilter ref="A2:AV4"/>
  <sortState ref="A3:AV4">
    <sortCondition ref="M2:M4"/>
  </sortState>
  <tableColumns count="48">
    <tableColumn id="1" name="Area" dataCellStyle="Normal"/>
    <tableColumn id="2" name="Release" dataCellStyle="Normal"/>
    <tableColumn id="3" name="Active" dataDxfId="96" dataCellStyle="Percent"/>
    <tableColumn id="12" name="Active - Numbers" dataCellStyle="Numbers"/>
    <tableColumn id="4" name="Fairly Active" dataDxfId="95" dataCellStyle="Percent"/>
    <tableColumn id="13" name="Fairly Active - Numbers" dataCellStyle="Numbers"/>
    <tableColumn id="5" name="Less Active" dataDxfId="94" dataCellStyle="Percent"/>
    <tableColumn id="14" name="Less Active - Numbers" dataCellStyle="Numbers"/>
    <tableColumn id="6" name="Active 60 minutes every day" dataDxfId="93" dataCellStyle="Percent"/>
    <tableColumn id="7" name="Active 30 minutes+ at and outside school" dataDxfId="92" dataCellStyle="Percent"/>
    <tableColumn id="8" name="Active 30+ minutes outside school" dataDxfId="91" dataCellStyle="Percent"/>
    <tableColumn id="9" name="Active 30+ minutes at school" dataDxfId="90" dataCellStyle="Percent"/>
    <tableColumn id="10" name="Volunteered twice in the last 12 months" dataCellStyle="Percent"/>
    <tableColumn id="11" name="Moving" dataDxfId="89" dataCellStyle="Percent">
      <calculatedColumnFormula>TamesideCYP[[#This Row],[Active]]+TamesideCYP[[#This Row],[Fairly Active]]</calculatedColumnFormula>
    </tableColumn>
    <tableColumn id="15" name="Moving - Numbers" dataCellStyle="Numbers">
      <calculatedColumnFormula>TamesideCYP[[#This Row],[Active - Numbers]]+TamesideCYP[[#This Row],[Fairly Active - Numbers]]</calculatedColumnFormula>
    </tableColumn>
    <tableColumn id="16" name="Boy - Active" dataCellStyle="Percent"/>
    <tableColumn id="17" name="Girl - Active" dataCellStyle="Percent"/>
    <tableColumn id="18" name="Low Affluence - Active" dataCellStyle="Percent"/>
    <tableColumn id="19" name="Medium Affluence - Active" dataCellStyle="Percent"/>
    <tableColumn id="20" name="High Affluence - Active" dataCellStyle="Percent"/>
    <tableColumn id="21" name="White British - Active" dataCellStyle="Percent"/>
    <tableColumn id="22" name="White Other - Active" dataCellStyle="Percent"/>
    <tableColumn id="23" name="Asian - Active" dataCellStyle="Percent"/>
    <tableColumn id="24" name="Black - Active" dataCellStyle="Percent"/>
    <tableColumn id="25" name="Mixed - Active" dataCellStyle="Percent"/>
    <tableColumn id="26" name="Other - Active" dataCellStyle="Percent"/>
    <tableColumn id="27" name="Boy - Fairly Active" dataCellStyle="Percent"/>
    <tableColumn id="28" name="Girl - Fairly Active" dataCellStyle="Percent"/>
    <tableColumn id="29" name="Low Affluence - Fairly Active" dataCellStyle="Percent"/>
    <tableColumn id="30" name="Medium Affluence - Fairly Active" dataCellStyle="Percent"/>
    <tableColumn id="31" name="High Affluence - Fairly Active" dataCellStyle="Percent"/>
    <tableColumn id="32" name="White British - Fairly Active" dataCellStyle="Percent"/>
    <tableColumn id="33" name="White Other - Fairly Active" dataCellStyle="Percent"/>
    <tableColumn id="34" name="Asian - Fairly Active" dataCellStyle="Percent"/>
    <tableColumn id="35" name="Black - Fairly Active" dataCellStyle="Percent"/>
    <tableColumn id="36" name="Mixed - Fairly Active" dataCellStyle="Percent"/>
    <tableColumn id="37" name="Other - Fairly Active" dataCellStyle="Percent"/>
    <tableColumn id="38" name="Boy - Less Active" dataCellStyle="Percent"/>
    <tableColumn id="39" name="Girl - Less Active" dataCellStyle="Percent"/>
    <tableColumn id="40" name="Low Affluence - Less Active" dataCellStyle="Percent"/>
    <tableColumn id="41" name="Medium Affluence - Less Active" dataCellStyle="Percent"/>
    <tableColumn id="42" name="High Affluence - Less Active" dataCellStyle="Percent"/>
    <tableColumn id="43" name="White British - Less Active" dataCellStyle="Percent"/>
    <tableColumn id="44" name="White Other - Less Active" dataCellStyle="Percent"/>
    <tableColumn id="45" name="Asian - Less Active" dataCellStyle="Percent"/>
    <tableColumn id="46" name="Black - Less Active" dataCellStyle="Percent"/>
    <tableColumn id="47" name="Mixed - Less Active" dataCellStyle="Percent"/>
    <tableColumn id="48" name="Other - Less Active" dataCellStyle="Percent"/>
  </tableColumns>
  <tableStyleInfo name="TableStyleMedium2" showFirstColumn="0" showLastColumn="0" showRowStripes="1" showColumnStripes="0"/>
</table>
</file>

<file path=xl/tables/table29.xml><?xml version="1.0" encoding="utf-8"?>
<table xmlns="http://schemas.openxmlformats.org/spreadsheetml/2006/main" id="39" name="WiganCYP" displayName="WiganCYP" ref="A2:AV4" totalsRowShown="0" headerRowDxfId="50" dataDxfId="49" dataCellStyle="Percent">
  <autoFilter ref="A2:AV4"/>
  <tableColumns count="48">
    <tableColumn id="1" name="Area" dataDxfId="48" dataCellStyle="Percent"/>
    <tableColumn id="2" name="Release" dataDxfId="47" dataCellStyle="Percent"/>
    <tableColumn id="3" name="Active" dataDxfId="46" dataCellStyle="Percent"/>
    <tableColumn id="12" name="Active - Numbers" dataCellStyle="Numbers"/>
    <tableColumn id="4" name="Fairly Active" dataDxfId="45" dataCellStyle="Percent"/>
    <tableColumn id="13" name="Fairly Active - Numbers" dataCellStyle="Numbers"/>
    <tableColumn id="5" name="Less Active" dataDxfId="44" dataCellStyle="Percent"/>
    <tableColumn id="14" name="Less Active - Numbers" dataCellStyle="Numbers"/>
    <tableColumn id="6" name="Active 60 minutes every day" dataDxfId="43" dataCellStyle="Percent"/>
    <tableColumn id="7" name="Active 30 minutes+ at and outside school" dataDxfId="42" dataCellStyle="Percent"/>
    <tableColumn id="8" name="Active 30+ minutes outside school" dataDxfId="41" dataCellStyle="Percent"/>
    <tableColumn id="9" name="Active 30+ minutes at school" dataDxfId="40" dataCellStyle="Percent"/>
    <tableColumn id="10" name="Volunteered twice in the last 12 months" dataCellStyle="Percent"/>
    <tableColumn id="11" name="Moving" dataDxfId="39" dataCellStyle="Percent">
      <calculatedColumnFormula>TraffordCYP[[#This Row],[Active]]+TraffordCYP[[#This Row],[Fairly Active]]</calculatedColumnFormula>
    </tableColumn>
    <tableColumn id="15" name="Moving - Numbers" dataCellStyle="Numbers">
      <calculatedColumnFormula>TraffordCYP[[#This Row],[Active - Numbers]]+TraffordCYP[[#This Row],[Fairly Active - Numbers]]</calculatedColumnFormula>
    </tableColumn>
    <tableColumn id="16" name="Boy - Active" dataDxfId="38" dataCellStyle="Percent"/>
    <tableColumn id="17" name="Girl - Active" dataDxfId="37" dataCellStyle="Percent"/>
    <tableColumn id="18" name="Low Affluence - Active" dataDxfId="36" dataCellStyle="Percent"/>
    <tableColumn id="19" name="Medium Affluence - Active" dataDxfId="35" dataCellStyle="Percent"/>
    <tableColumn id="20" name="High Affluence - Active" dataDxfId="34" dataCellStyle="Percent"/>
    <tableColumn id="21" name="White British - Active" dataDxfId="33" dataCellStyle="Percent"/>
    <tableColumn id="22" name="White Other - Active" dataDxfId="32" dataCellStyle="Percent"/>
    <tableColumn id="23" name="Asian - Active" dataDxfId="31" dataCellStyle="Percent"/>
    <tableColumn id="24" name="Black - Active" dataDxfId="30" dataCellStyle="Percent"/>
    <tableColumn id="25" name="Mixed - Active" dataDxfId="29" dataCellStyle="Percent"/>
    <tableColumn id="26" name="Other - Active" dataCellStyle="Percent"/>
    <tableColumn id="27" name="Boy - Fairly Active" dataCellStyle="Percent"/>
    <tableColumn id="28" name="Girl - Fairly Active" dataCellStyle="Percent"/>
    <tableColumn id="29" name="Low Affluence - Fairly Active" dataCellStyle="Percent"/>
    <tableColumn id="30" name="Medium Affluence - Fairly Active" dataCellStyle="Percent"/>
    <tableColumn id="31" name="High Affluence - Fairly Active" dataCellStyle="Percent"/>
    <tableColumn id="32" name="White British - Fairly Active" dataCellStyle="Percent"/>
    <tableColumn id="33" name="White Other - Fairly Active" dataCellStyle="Percent"/>
    <tableColumn id="34" name="Asian - Fairly Active" dataCellStyle="Percent"/>
    <tableColumn id="35" name="Black - Fairly Active" dataCellStyle="Percent"/>
    <tableColumn id="36" name="Mixed - Fairly Active" dataCellStyle="Percent"/>
    <tableColumn id="37" name="Other - Fairly Active" dataCellStyle="Percent"/>
    <tableColumn id="38" name="Boy - Less Active" dataCellStyle="Percent"/>
    <tableColumn id="39" name="Girl - Less Active" dataCellStyle="Percent"/>
    <tableColumn id="40" name="Low Affluence - Less Active" dataCellStyle="Percent"/>
    <tableColumn id="41" name="Medium Affluence - Less Active" dataCellStyle="Percent"/>
    <tableColumn id="42" name="High Affluence - Less Active" dataCellStyle="Percent"/>
    <tableColumn id="43" name="White British - Less Active" dataDxfId="28" dataCellStyle="Percent"/>
    <tableColumn id="44" name="White Other - Less Active" dataDxfId="27" dataCellStyle="Percent"/>
    <tableColumn id="45" name="Asian - Less Active" dataDxfId="26" dataCellStyle="Percent"/>
    <tableColumn id="46" name="Black - Less Active" dataDxfId="25" dataCellStyle="Percent"/>
    <tableColumn id="47" name="Mixed - Less Active" dataDxfId="24" dataCellStyle="Percent"/>
    <tableColumn id="48" name="Other - Less Active" dataDxfId="23" dataCellStyle="Percent"/>
  </tableColumns>
  <tableStyleInfo name="TableStyleMedium2" showFirstColumn="0" showLastColumn="0" showRowStripes="1" showColumnStripes="0"/>
</table>
</file>

<file path=xl/tables/table30.xml><?xml version="1.0" encoding="utf-8"?>
<table xmlns="http://schemas.openxmlformats.org/spreadsheetml/2006/main" id="38" name="Table1339" displayName="Table1339" ref="A2:AE9" totalsRowShown="0" headerRowDxfId="22">
  <autoFilter ref="A2:AE9"/>
  <tableColumns count="31">
    <tableColumn id="1" name="Mid Year Estimate"/>
    <tableColumn id="2" name="Total Population" dataDxfId="21">
      <calculatedColumnFormula>SUM('Bury Demographics'!B3,'Bolton Demographics'!B3,'Manchester Demographics'!B3, 'Oldham Demographics'!B3, 'Rochdale Demographics'!B3, 'Salford Demographics'!B3, 'Stockport Demographics'!B3, 'Tameside Demographics'!B3, 'Trafford Demographics'!B3, 'Wigan Demographics'!B3)</calculatedColumnFormula>
    </tableColumn>
    <tableColumn id="3" name="5-16"/>
    <tableColumn id="4" name="16-34"/>
    <tableColumn id="5" name="35-54"/>
    <tableColumn id="6" name="55-74"/>
    <tableColumn id="7" name="75+"/>
    <tableColumn id="8" name="16-54"/>
    <tableColumn id="9" name="55+"/>
    <tableColumn id="31" name="Male" dataCellStyle="Numbers"/>
    <tableColumn id="30" name="Female" dataCellStyle="Numbers"/>
    <tableColumn id="10" name="White British"/>
    <tableColumn id="11" name="White Other"/>
    <tableColumn id="12" name="South Asian"/>
    <tableColumn id="13" name="Black"/>
    <tableColumn id="14" name="Chinese"/>
    <tableColumn id="15" name="Mixed"/>
    <tableColumn id="16" name="Other Ethnic Group"/>
    <tableColumn id="17" name="LT limiting disability"/>
    <tableColumn id="18" name="No LT limiting disability"/>
    <tableColumn id="19" name="NS SEC 1-2: Higher social groups"/>
    <tableColumn id="20" name="NS SEC 3-5: Middle social groups"/>
    <tableColumn id="21" name="NS SEC 6-8: Lower social groups"/>
    <tableColumn id="22" name="NS SEC 9: Students and other"/>
    <tableColumn id="23" name="Working full or part time"/>
    <tableColumn id="24" name="Unemployed"/>
    <tableColumn id="25" name="Not working - retired"/>
    <tableColumn id="26" name="Not working - looking after house/children"/>
    <tableColumn id="27" name="Not working - long term sick or disabled"/>
    <tableColumn id="28" name="Student full or part time"/>
    <tableColumn id="29" name="Other working status"/>
  </tableColumns>
  <tableStyleInfo name="TableStyleMedium2" showFirstColumn="0" showLastColumn="0" showRowStripes="1" showColumnStripes="0"/>
</table>
</file>

<file path=xl/tables/table31.xml><?xml version="1.0" encoding="utf-8"?>
<table xmlns="http://schemas.openxmlformats.org/spreadsheetml/2006/main" id="13" name="Table13" displayName="Table13" ref="A2:AE9" totalsRowShown="0" headerRowDxfId="20">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DxfId="19">
      <calculatedColumnFormula>SUM('Bury Demographics'!B3,'Bolton Demographics'!B3,'Manchester Demographics'!B3, 'Oldham Demographics'!B3, 'Rochdale Demographics'!B3, 'Salford Demographics'!B3, 'Stockport Demographics'!B3, 'Tameside Demographics'!B3, 'Trafford Demographics'!B3, 'Wigan Demographics'!B3)</calculatedColumnFormula>
    </tableColumn>
    <tableColumn id="3" name="5-16"/>
    <tableColumn id="4" name="16-34"/>
    <tableColumn id="5" name="35-54"/>
    <tableColumn id="6" name="55-74"/>
    <tableColumn id="7" name="75+"/>
    <tableColumn id="8" name="16-54"/>
    <tableColumn id="9" name="55+"/>
    <tableColumn id="31" name="Male" dataDxfId="18">
      <calculatedColumnFormula>SUM('Bury Demographics'!I3,'Bolton Demographics'!I3,'Manchester Demographics'!I3, 'Oldham Demographics'!I3, 'Rochdale Demographics'!I3, 'Salford Demographics'!I3, 'Stockport Demographics'!I3, 'Tameside Demographics'!I3, 'Trafford Demographics'!I3, 'Wigan Demographics'!I3)</calculatedColumnFormula>
    </tableColumn>
    <tableColumn id="30" name="Female" dataDxfId="17">
      <calculatedColumnFormula>SUM('Bury Demographics'!K3,'Bolton Demographics'!K3,'Manchester Demographics'!K3, 'Oldham Demographics'!K3, 'Rochdale Demographics'!K3, 'Salford Demographics'!K3, 'Stockport Demographics'!K3, 'Tameside Demographics'!K3, 'Trafford Demographics'!K3, 'Wigan Demographics'!K3)</calculatedColumnFormula>
    </tableColumn>
    <tableColumn id="10" name="White British"/>
    <tableColumn id="11" name="White Other"/>
    <tableColumn id="12" name="South Asian"/>
    <tableColumn id="13" name="Black"/>
    <tableColumn id="14" name="Chinese"/>
    <tableColumn id="15" name="Mixed"/>
    <tableColumn id="16" name="Other Ethnic Group"/>
    <tableColumn id="17" name="LT limiting disability"/>
    <tableColumn id="18" name="No LT limiting disability"/>
    <tableColumn id="19" name="NS SEC 1-2: Higher social groups"/>
    <tableColumn id="20" name="NS SEC 3-5: Middle social groups"/>
    <tableColumn id="21" name="NS SEC 6-8: Lower social groups"/>
    <tableColumn id="22" name="NS SEC 9: Students and other"/>
    <tableColumn id="23" name="Working full or part time"/>
    <tableColumn id="24" name="Unemployed"/>
    <tableColumn id="25" name="Not working - retired"/>
    <tableColumn id="26" name="Not working - looking after house/children"/>
    <tableColumn id="27" name="Not working - long term sick or disabled"/>
    <tableColumn id="28" name="Student full or part time"/>
    <tableColumn id="29" name="Other working status"/>
  </tableColumns>
  <tableStyleInfo name="TableStyleMedium2" showFirstColumn="0" showLastColumn="0" showRowStripes="1" showColumnStripes="0"/>
</table>
</file>

<file path=xl/tables/table32.xml><?xml version="1.0" encoding="utf-8"?>
<table xmlns="http://schemas.openxmlformats.org/spreadsheetml/2006/main" id="14" name="Table1315" displayName="Table1315" ref="A2:AE9" totalsRowShown="0" headerRowDxfId="16">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tableColumn id="3" name="5-16" dataDxfId="15"/>
    <tableColumn id="4" name="16-34" dataDxfId="14"/>
    <tableColumn id="5" name="35-54" dataDxfId="13"/>
    <tableColumn id="6" name="55-74" dataDxfId="12"/>
    <tableColumn id="7" name="75+" dataDxfId="11"/>
    <tableColumn id="8" name="16-54" dataDxfId="10"/>
    <tableColumn id="9" name="55+" dataDxfId="9"/>
    <tableColumn id="31" name="Male"/>
    <tableColumn id="30" name="Female"/>
    <tableColumn id="10" name="White British"/>
    <tableColumn id="11" name="White Other"/>
    <tableColumn id="12" name="South Asian"/>
    <tableColumn id="13" name="Black"/>
    <tableColumn id="14" name="Chinese"/>
    <tableColumn id="15" name="Mixed"/>
    <tableColumn id="16" name="Other Ethnic Group"/>
    <tableColumn id="17" name="LT limiting disability"/>
    <tableColumn id="18" name="No LT limiting disability"/>
    <tableColumn id="19" name="NS SEC 1-2: Higher social groups"/>
    <tableColumn id="20" name="NS SEC 3-5: Middle social groups"/>
    <tableColumn id="21" name="NS SEC 6-8: Lower social groups"/>
    <tableColumn id="22" name="NS SEC 9: Students and other"/>
    <tableColumn id="23" name="Working full or part time"/>
    <tableColumn id="24" name="Unemployed"/>
    <tableColumn id="25" name="Not working - retired"/>
    <tableColumn id="26" name="Not working - looking after house/children"/>
    <tableColumn id="27" name="Not working - long term sick or disabled"/>
    <tableColumn id="28" name="Student full or part time"/>
    <tableColumn id="29" name="Other working status"/>
  </tableColumns>
  <tableStyleInfo name="TableStyleMedium2" showFirstColumn="0" showLastColumn="0" showRowStripes="1" showColumnStripes="0"/>
</table>
</file>

<file path=xl/tables/table33.xml><?xml version="1.0" encoding="utf-8"?>
<table xmlns="http://schemas.openxmlformats.org/spreadsheetml/2006/main" id="20" name="Table131521" displayName="Table131521" ref="A2:AE9" totalsRowShown="0" headerRowDxfId="8">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tableColumn id="11" name="White Other"/>
    <tableColumn id="12" name="South Asian"/>
    <tableColumn id="13" name="Black"/>
    <tableColumn id="14" name="Chinese"/>
    <tableColumn id="15" name="Mixed"/>
    <tableColumn id="16" name="Other Ethnic Group"/>
    <tableColumn id="17" name="LT limiting disability"/>
    <tableColumn id="18" name="No LT limiting disability"/>
    <tableColumn id="19" name="NS SEC 1-2: Higher social groups"/>
    <tableColumn id="20" name="NS SEC 3-5: Middle social groups"/>
    <tableColumn id="21" name="NS SEC 6-8: Lower social groups"/>
    <tableColumn id="22" name="NS SEC 9: Students and other"/>
    <tableColumn id="23" name="Working full or part time"/>
    <tableColumn id="24" name="Unemployed"/>
    <tableColumn id="25" name="Not working - retired"/>
    <tableColumn id="26" name="Not working - looking after house/children"/>
    <tableColumn id="27" name="Not working - long term sick or disabled"/>
    <tableColumn id="28" name="Student full or part time"/>
    <tableColumn id="29" name="Other working status"/>
  </tableColumns>
  <tableStyleInfo name="TableStyleMedium2" showFirstColumn="0" showLastColumn="0" showRowStripes="1" showColumnStripes="0"/>
</table>
</file>

<file path=xl/tables/table34.xml><?xml version="1.0" encoding="utf-8"?>
<table xmlns="http://schemas.openxmlformats.org/spreadsheetml/2006/main" id="22" name="Table13152123" displayName="Table13152123" ref="A2:AE9" totalsRowShown="0" headerRowDxfId="7">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5.xml><?xml version="1.0" encoding="utf-8"?>
<table xmlns="http://schemas.openxmlformats.org/spreadsheetml/2006/main" id="24" name="Table1315212325" displayName="Table1315212325" ref="A2:AE9" totalsRowShown="0" headerRowDxfId="6">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6.xml><?xml version="1.0" encoding="utf-8"?>
<table xmlns="http://schemas.openxmlformats.org/spreadsheetml/2006/main" id="26" name="Table131521232527" displayName="Table131521232527" ref="A2:AE9" totalsRowShown="0" headerRowDxfId="5">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7.xml><?xml version="1.0" encoding="utf-8"?>
<table xmlns="http://schemas.openxmlformats.org/spreadsheetml/2006/main" id="28" name="Table13152123252729" displayName="Table13152123252729" ref="A2:AE9" totalsRowShown="0" headerRowDxfId="4">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8.xml><?xml version="1.0" encoding="utf-8"?>
<table xmlns="http://schemas.openxmlformats.org/spreadsheetml/2006/main" id="30" name="Table1315212325272931" displayName="Table1315212325272931" ref="A2:AE9" totalsRowShown="0" headerRowDxfId="3">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9.xml><?xml version="1.0" encoding="utf-8"?>
<table xmlns="http://schemas.openxmlformats.org/spreadsheetml/2006/main" id="32" name="Table131521232527293133" displayName="Table131521232527293133" ref="A2:AE9" totalsRowShown="0" headerRowDxfId="2">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40.xml><?xml version="1.0" encoding="utf-8"?>
<table xmlns="http://schemas.openxmlformats.org/spreadsheetml/2006/main" id="34" name="Table13152123252729313335" displayName="Table13152123252729313335" ref="A2:AE9" totalsRowShown="0" headerRowDxfId="1">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41.xml><?xml version="1.0" encoding="utf-8"?>
<table xmlns="http://schemas.openxmlformats.org/spreadsheetml/2006/main" id="36" name="Table1315212325272931333537" displayName="Table1315212325272931333537" ref="A2:AE10" totalsRowShown="0" headerRowDxfId="0">
  <autoFilter ref="A2:AE1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heme/theme1.xml><?xml version="1.0" encoding="utf-8"?>
<a:theme xmlns:a="http://schemas.openxmlformats.org/drawingml/2006/main" name="GS Theme">
  <a:themeElements>
    <a:clrScheme name="Greater Sport">
      <a:dk1>
        <a:sysClr val="windowText" lastClr="000000"/>
      </a:dk1>
      <a:lt1>
        <a:sysClr val="window" lastClr="FFFFFF"/>
      </a:lt1>
      <a:dk2>
        <a:srgbClr val="3C3C3B"/>
      </a:dk2>
      <a:lt2>
        <a:srgbClr val="FFFFFF"/>
      </a:lt2>
      <a:accent1>
        <a:srgbClr val="5B2D86"/>
      </a:accent1>
      <a:accent2>
        <a:srgbClr val="D21C60"/>
      </a:accent2>
      <a:accent3>
        <a:srgbClr val="8A6EAD"/>
      </a:accent3>
      <a:accent4>
        <a:srgbClr val="D7697A"/>
      </a:accent4>
      <a:accent5>
        <a:srgbClr val="5197D1"/>
      </a:accent5>
      <a:accent6>
        <a:srgbClr val="FCCA58"/>
      </a:accent6>
      <a:hlink>
        <a:srgbClr val="FCCA58"/>
      </a:hlink>
      <a:folHlink>
        <a:srgbClr val="D7697A"/>
      </a:folHlink>
    </a:clrScheme>
    <a:fontScheme name="Greater Sport">
      <a:majorFont>
        <a:latin typeface="Impact"/>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lnSpc>
            <a:spcPct val="90000"/>
          </a:lnSpc>
          <a:spcAft>
            <a:spcPts val="600"/>
          </a:spcAft>
          <a:defRPr sz="1200" dirty="0" smtClean="0"/>
        </a:defPPr>
      </a:lstStyle>
      <a:style>
        <a:lnRef idx="2">
          <a:schemeClr val="accent1">
            <a:shade val="50000"/>
          </a:schemeClr>
        </a:lnRef>
        <a:fillRef idx="1">
          <a:schemeClr val="accent1"/>
        </a:fillRef>
        <a:effectRef idx="0">
          <a:schemeClr val="accent1"/>
        </a:effectRef>
        <a:fontRef idx="minor">
          <a:schemeClr val="lt1"/>
        </a:fontRef>
      </a:style>
    </a:spDef>
    <a:lnDef>
      <a:spPr>
        <a:ln w="9525"/>
      </a:spPr>
      <a:bodyPr/>
      <a:lstStyle/>
      <a:style>
        <a:lnRef idx="1">
          <a:schemeClr val="accent1"/>
        </a:lnRef>
        <a:fillRef idx="0">
          <a:schemeClr val="accent1"/>
        </a:fillRef>
        <a:effectRef idx="0">
          <a:schemeClr val="accent1"/>
        </a:effectRef>
        <a:fontRef idx="minor">
          <a:schemeClr val="tx1"/>
        </a:fontRef>
      </a:style>
    </a:lnDef>
    <a:txDef>
      <a:spPr>
        <a:noFill/>
      </a:spPr>
      <a:bodyPr wrap="none" rtlCol="0">
        <a:noAutofit/>
      </a:bodyPr>
      <a:lstStyle>
        <a:defPPr algn="l">
          <a:lnSpc>
            <a:spcPct val="90000"/>
          </a:lnSpc>
          <a:spcAft>
            <a:spcPts val="600"/>
          </a:spcAft>
          <a:defRPr sz="1200" dirty="0" smtClean="0">
            <a:solidFill>
              <a:schemeClr val="tx2"/>
            </a:solidFill>
          </a:defRPr>
        </a:defPPr>
      </a:lstStyle>
    </a:txDef>
  </a:objectDefaults>
  <a:extraClrSchemeLst/>
  <a:extLst>
    <a:ext uri="{05A4C25C-085E-4340-85A3-A5531E510DB2}">
      <thm15:themeFamily xmlns:thm15="http://schemas.microsoft.com/office/thememl/2012/main" name="GS Theme" id="{1DF31274-9A19-470D-838A-E07E9ADF2057}" vid="{9EAD5521-C1DF-472F-BD86-BFE5CC756EC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1.vml"/><Relationship Id="rId1" Type="http://schemas.openxmlformats.org/officeDocument/2006/relationships/printerSettings" Target="../printerSettings/printerSettings23.bin"/><Relationship Id="rId4" Type="http://schemas.openxmlformats.org/officeDocument/2006/relationships/comments" Target="../comments1.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0.xml"/><Relationship Id="rId1" Type="http://schemas.openxmlformats.org/officeDocument/2006/relationships/vmlDrawing" Target="../drawings/vmlDrawing2.vml"/></Relationships>
</file>

<file path=xl/worksheets/_rels/sheet2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1.xml"/><Relationship Id="rId1" Type="http://schemas.openxmlformats.org/officeDocument/2006/relationships/vmlDrawing" Target="../drawings/vmlDrawing3.v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16.xml"/><Relationship Id="rId1" Type="http://schemas.openxmlformats.org/officeDocument/2006/relationships/vmlDrawing" Target="../drawings/vmlDrawing4.v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7.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39.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5.bin"/></Relationships>
</file>

<file path=xl/worksheets/_rels/sheet40.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6.bin"/></Relationships>
</file>

<file path=xl/worksheets/_rels/sheet41.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2"/>
  </sheetPr>
  <dimension ref="B2:V43"/>
  <sheetViews>
    <sheetView topLeftCell="A10" zoomScale="70" zoomScaleNormal="70" workbookViewId="0">
      <selection activeCell="M24" sqref="M24:W24"/>
    </sheetView>
  </sheetViews>
  <sheetFormatPr defaultColWidth="8.69921875" defaultRowHeight="14.25" x14ac:dyDescent="0.2"/>
  <cols>
    <col min="1" max="16384" width="8.69921875" style="75"/>
  </cols>
  <sheetData>
    <row r="2" spans="2:22" ht="15" thickBot="1" x14ac:dyDescent="0.25"/>
    <row r="3" spans="2:22" ht="15" thickTop="1" x14ac:dyDescent="0.2">
      <c r="B3" s="77"/>
      <c r="C3" s="78"/>
      <c r="D3" s="78"/>
      <c r="E3" s="78"/>
      <c r="F3" s="78"/>
      <c r="G3" s="78"/>
      <c r="H3" s="78"/>
      <c r="I3" s="78"/>
      <c r="J3" s="78"/>
      <c r="K3" s="79"/>
      <c r="M3" s="77"/>
      <c r="N3" s="78"/>
      <c r="O3" s="78"/>
      <c r="P3" s="78"/>
      <c r="Q3" s="78"/>
      <c r="R3" s="78"/>
      <c r="S3" s="78"/>
      <c r="T3" s="78"/>
      <c r="U3" s="78"/>
      <c r="V3" s="79"/>
    </row>
    <row r="4" spans="2:22" x14ac:dyDescent="0.2">
      <c r="B4" s="80"/>
      <c r="C4" s="111"/>
      <c r="D4" s="111"/>
      <c r="E4" s="111"/>
      <c r="F4" s="111"/>
      <c r="G4" s="111"/>
      <c r="H4" s="111"/>
      <c r="I4" s="111"/>
      <c r="J4" s="111"/>
      <c r="K4" s="81"/>
      <c r="M4" s="80"/>
      <c r="N4" s="111"/>
      <c r="O4" s="111"/>
      <c r="P4" s="111"/>
      <c r="Q4" s="111"/>
      <c r="R4" s="111"/>
      <c r="S4" s="111"/>
      <c r="T4" s="111"/>
      <c r="U4" s="111"/>
      <c r="V4" s="81"/>
    </row>
    <row r="5" spans="2:22" ht="21" thickBot="1" x14ac:dyDescent="0.35">
      <c r="B5" s="80"/>
      <c r="C5" s="193" t="s">
        <v>123</v>
      </c>
      <c r="D5" s="193"/>
      <c r="E5" s="193"/>
      <c r="F5" s="193"/>
      <c r="G5" s="111"/>
      <c r="H5" s="111"/>
      <c r="I5" s="111"/>
      <c r="J5" s="111"/>
      <c r="K5" s="81"/>
      <c r="M5" s="80"/>
      <c r="N5" s="193" t="s">
        <v>171</v>
      </c>
      <c r="O5" s="193"/>
      <c r="P5" s="193"/>
      <c r="Q5" s="193"/>
      <c r="R5" s="193"/>
      <c r="S5" s="193"/>
      <c r="T5" s="193"/>
      <c r="U5" s="111"/>
      <c r="V5" s="81"/>
    </row>
    <row r="6" spans="2:22" ht="15" thickTop="1" x14ac:dyDescent="0.2">
      <c r="B6" s="80"/>
      <c r="C6" s="111"/>
      <c r="D6" s="111"/>
      <c r="E6" s="111"/>
      <c r="F6" s="111"/>
      <c r="G6" s="111"/>
      <c r="H6" s="111"/>
      <c r="I6" s="111"/>
      <c r="J6" s="111"/>
      <c r="K6" s="81"/>
      <c r="M6" s="80"/>
      <c r="N6" s="111"/>
      <c r="O6" s="111"/>
      <c r="P6" s="111"/>
      <c r="Q6" s="111"/>
      <c r="R6" s="111"/>
      <c r="S6" s="111"/>
      <c r="T6" s="111"/>
      <c r="U6" s="111"/>
      <c r="V6" s="81"/>
    </row>
    <row r="7" spans="2:22" ht="16.5" thickBot="1" x14ac:dyDescent="0.25">
      <c r="B7" s="80"/>
      <c r="C7" s="189" t="s">
        <v>124</v>
      </c>
      <c r="D7" s="189"/>
      <c r="E7" s="111"/>
      <c r="F7" s="111"/>
      <c r="G7" s="111"/>
      <c r="H7" s="111"/>
      <c r="I7" s="111"/>
      <c r="J7" s="111"/>
      <c r="K7" s="81"/>
      <c r="M7" s="80"/>
      <c r="N7" s="189" t="s">
        <v>124</v>
      </c>
      <c r="O7" s="189"/>
      <c r="P7" s="111"/>
      <c r="Q7" s="111"/>
      <c r="R7" s="111"/>
      <c r="S7" s="111"/>
      <c r="T7" s="111"/>
      <c r="U7" s="111"/>
      <c r="V7" s="81"/>
    </row>
    <row r="8" spans="2:22" ht="15" thickTop="1" x14ac:dyDescent="0.2">
      <c r="B8" s="80"/>
      <c r="C8" s="111"/>
      <c r="D8" s="111"/>
      <c r="E8" s="111"/>
      <c r="F8" s="111"/>
      <c r="G8" s="111"/>
      <c r="H8" s="111"/>
      <c r="I8" s="111"/>
      <c r="J8" s="111"/>
      <c r="K8" s="81"/>
      <c r="M8" s="80"/>
      <c r="N8" s="111"/>
      <c r="O8" s="111"/>
      <c r="P8" s="111"/>
      <c r="Q8" s="111"/>
      <c r="R8" s="111"/>
      <c r="S8" s="111"/>
      <c r="T8" s="111"/>
      <c r="U8" s="111"/>
      <c r="V8" s="81"/>
    </row>
    <row r="9" spans="2:22" ht="40.9" customHeight="1" x14ac:dyDescent="0.2">
      <c r="B9" s="80"/>
      <c r="C9" s="186" t="s">
        <v>174</v>
      </c>
      <c r="D9" s="186"/>
      <c r="E9" s="186"/>
      <c r="F9" s="186"/>
      <c r="G9" s="186"/>
      <c r="H9" s="186"/>
      <c r="I9" s="186"/>
      <c r="J9" s="186"/>
      <c r="K9" s="112"/>
      <c r="L9" s="76"/>
      <c r="M9" s="115"/>
      <c r="N9" s="186" t="s">
        <v>176</v>
      </c>
      <c r="O9" s="190"/>
      <c r="P9" s="190"/>
      <c r="Q9" s="190"/>
      <c r="R9" s="190"/>
      <c r="S9" s="190"/>
      <c r="T9" s="190"/>
      <c r="U9" s="190"/>
      <c r="V9" s="81"/>
    </row>
    <row r="10" spans="2:22" ht="31.15" customHeight="1" x14ac:dyDescent="0.2">
      <c r="B10" s="80"/>
      <c r="C10" s="194" t="s">
        <v>172</v>
      </c>
      <c r="D10" s="194"/>
      <c r="E10" s="194"/>
      <c r="F10" s="194"/>
      <c r="G10" s="194"/>
      <c r="H10" s="194"/>
      <c r="I10" s="194"/>
      <c r="J10" s="194"/>
      <c r="K10" s="81"/>
      <c r="M10" s="80"/>
      <c r="N10" s="186" t="s">
        <v>175</v>
      </c>
      <c r="O10" s="186"/>
      <c r="P10" s="186"/>
      <c r="Q10" s="186"/>
      <c r="R10" s="186"/>
      <c r="S10" s="186"/>
      <c r="T10" s="186"/>
      <c r="U10" s="186"/>
      <c r="V10" s="81"/>
    </row>
    <row r="11" spans="2:22" ht="26.45" customHeight="1" x14ac:dyDescent="0.2">
      <c r="B11" s="80"/>
      <c r="C11" s="186" t="s">
        <v>173</v>
      </c>
      <c r="D11" s="186"/>
      <c r="E11" s="186"/>
      <c r="F11" s="186"/>
      <c r="G11" s="186"/>
      <c r="H11" s="186"/>
      <c r="I11" s="186"/>
      <c r="J11" s="186"/>
      <c r="K11" s="81"/>
      <c r="M11" s="80"/>
      <c r="N11" s="186" t="s">
        <v>177</v>
      </c>
      <c r="O11" s="186"/>
      <c r="P11" s="186"/>
      <c r="Q11" s="186"/>
      <c r="R11" s="186"/>
      <c r="S11" s="186"/>
      <c r="T11" s="186"/>
      <c r="U11" s="186"/>
      <c r="V11" s="81"/>
    </row>
    <row r="12" spans="2:22" x14ac:dyDescent="0.2">
      <c r="B12" s="80"/>
      <c r="C12" s="111"/>
      <c r="D12" s="111"/>
      <c r="E12" s="111"/>
      <c r="F12" s="111"/>
      <c r="G12" s="111"/>
      <c r="H12" s="111"/>
      <c r="I12" s="111"/>
      <c r="J12" s="111"/>
      <c r="K12" s="81"/>
      <c r="M12" s="80"/>
      <c r="N12" s="111"/>
      <c r="O12" s="111"/>
      <c r="P12" s="111"/>
      <c r="Q12" s="111"/>
      <c r="R12" s="111"/>
      <c r="S12" s="111"/>
      <c r="T12" s="111"/>
      <c r="U12" s="111"/>
      <c r="V12" s="81"/>
    </row>
    <row r="13" spans="2:22" ht="16.5" thickBot="1" x14ac:dyDescent="0.25">
      <c r="B13" s="80"/>
      <c r="C13" s="189" t="s">
        <v>125</v>
      </c>
      <c r="D13" s="189"/>
      <c r="E13" s="189"/>
      <c r="F13" s="189"/>
      <c r="G13" s="189"/>
      <c r="H13" s="189"/>
      <c r="I13" s="111"/>
      <c r="J13" s="111"/>
      <c r="K13" s="81"/>
      <c r="M13" s="80"/>
      <c r="N13" s="189" t="s">
        <v>125</v>
      </c>
      <c r="O13" s="189"/>
      <c r="P13" s="189"/>
      <c r="Q13" s="189"/>
      <c r="R13" s="189"/>
      <c r="S13" s="189"/>
      <c r="T13" s="111"/>
      <c r="U13" s="111"/>
      <c r="V13" s="81"/>
    </row>
    <row r="14" spans="2:22" ht="15" thickTop="1" x14ac:dyDescent="0.2">
      <c r="B14" s="80"/>
      <c r="C14" s="111"/>
      <c r="D14" s="111"/>
      <c r="E14" s="111"/>
      <c r="F14" s="111"/>
      <c r="G14" s="111"/>
      <c r="H14" s="111"/>
      <c r="I14" s="111"/>
      <c r="J14" s="111"/>
      <c r="K14" s="81"/>
      <c r="M14" s="80"/>
      <c r="N14" s="111"/>
      <c r="O14" s="111"/>
      <c r="P14" s="111"/>
      <c r="Q14" s="111"/>
      <c r="R14" s="111"/>
      <c r="S14" s="111"/>
      <c r="T14" s="111"/>
      <c r="U14" s="111"/>
      <c r="V14" s="81"/>
    </row>
    <row r="15" spans="2:22" ht="70.900000000000006" customHeight="1" x14ac:dyDescent="0.2">
      <c r="B15" s="80"/>
      <c r="C15" s="186" t="s">
        <v>178</v>
      </c>
      <c r="D15" s="186"/>
      <c r="E15" s="186"/>
      <c r="F15" s="186"/>
      <c r="G15" s="186"/>
      <c r="H15" s="186"/>
      <c r="I15" s="186"/>
      <c r="J15" s="186"/>
      <c r="K15" s="81"/>
      <c r="M15" s="80"/>
      <c r="N15" s="186" t="s">
        <v>184</v>
      </c>
      <c r="O15" s="190"/>
      <c r="P15" s="190"/>
      <c r="Q15" s="190"/>
      <c r="R15" s="190"/>
      <c r="S15" s="190"/>
      <c r="T15" s="190"/>
      <c r="U15" s="190"/>
      <c r="V15" s="81"/>
    </row>
    <row r="16" spans="2:22" ht="57" customHeight="1" x14ac:dyDescent="0.2">
      <c r="B16" s="80"/>
      <c r="C16" s="186" t="s">
        <v>195</v>
      </c>
      <c r="D16" s="186"/>
      <c r="E16" s="186"/>
      <c r="F16" s="186"/>
      <c r="G16" s="186"/>
      <c r="H16" s="186"/>
      <c r="I16" s="186"/>
      <c r="J16" s="186"/>
      <c r="K16" s="81"/>
      <c r="M16" s="80"/>
      <c r="N16" s="186" t="s">
        <v>180</v>
      </c>
      <c r="O16" s="186"/>
      <c r="P16" s="186"/>
      <c r="Q16" s="186"/>
      <c r="R16" s="186"/>
      <c r="S16" s="186"/>
      <c r="T16" s="186"/>
      <c r="U16" s="186"/>
      <c r="V16" s="81"/>
    </row>
    <row r="17" spans="2:22" ht="42" customHeight="1" thickBot="1" x14ac:dyDescent="0.25">
      <c r="B17" s="113"/>
      <c r="C17" s="191" t="s">
        <v>179</v>
      </c>
      <c r="D17" s="191"/>
      <c r="E17" s="191"/>
      <c r="F17" s="191"/>
      <c r="G17" s="191"/>
      <c r="H17" s="191"/>
      <c r="I17" s="191"/>
      <c r="J17" s="191"/>
      <c r="K17" s="114"/>
      <c r="M17" s="80"/>
      <c r="N17" s="186" t="s">
        <v>183</v>
      </c>
      <c r="O17" s="186"/>
      <c r="P17" s="186"/>
      <c r="Q17" s="186"/>
      <c r="R17" s="186"/>
      <c r="S17" s="186"/>
      <c r="T17" s="186"/>
      <c r="U17" s="186"/>
      <c r="V17" s="81"/>
    </row>
    <row r="18" spans="2:22" ht="30.6" customHeight="1" thickTop="1" thickBot="1" x14ac:dyDescent="0.25">
      <c r="M18" s="80"/>
      <c r="N18" s="186" t="s">
        <v>182</v>
      </c>
      <c r="O18" s="186"/>
      <c r="P18" s="186"/>
      <c r="Q18" s="186"/>
      <c r="R18" s="186"/>
      <c r="S18" s="186"/>
      <c r="T18" s="186"/>
      <c r="U18" s="186"/>
      <c r="V18" s="81"/>
    </row>
    <row r="19" spans="2:22" ht="30" customHeight="1" thickTop="1" x14ac:dyDescent="0.2">
      <c r="B19" s="77"/>
      <c r="C19" s="78"/>
      <c r="D19" s="78"/>
      <c r="E19" s="78"/>
      <c r="F19" s="78"/>
      <c r="G19" s="78"/>
      <c r="H19" s="78"/>
      <c r="I19" s="78"/>
      <c r="J19" s="78"/>
      <c r="K19" s="79"/>
      <c r="M19" s="80"/>
      <c r="N19" s="186" t="s">
        <v>185</v>
      </c>
      <c r="O19" s="186"/>
      <c r="P19" s="186"/>
      <c r="Q19" s="186"/>
      <c r="R19" s="186"/>
      <c r="S19" s="186"/>
      <c r="T19" s="186"/>
      <c r="U19" s="186"/>
      <c r="V19" s="81"/>
    </row>
    <row r="20" spans="2:22" ht="28.15" customHeight="1" thickBot="1" x14ac:dyDescent="0.25">
      <c r="B20" s="80"/>
      <c r="C20" s="118" t="s">
        <v>137</v>
      </c>
      <c r="D20" s="111"/>
      <c r="E20" s="111"/>
      <c r="F20" s="111"/>
      <c r="G20" s="111"/>
      <c r="H20" s="111"/>
      <c r="I20" s="111"/>
      <c r="J20" s="111"/>
      <c r="K20" s="81"/>
      <c r="M20" s="80"/>
      <c r="N20" s="186" t="s">
        <v>181</v>
      </c>
      <c r="O20" s="186"/>
      <c r="P20" s="186"/>
      <c r="Q20" s="186"/>
      <c r="R20" s="186"/>
      <c r="S20" s="186"/>
      <c r="T20" s="186"/>
      <c r="U20" s="186"/>
      <c r="V20" s="81"/>
    </row>
    <row r="21" spans="2:22" ht="14.45" customHeight="1" thickTop="1" x14ac:dyDescent="0.2">
      <c r="B21" s="80"/>
      <c r="C21" s="148"/>
      <c r="D21" s="111"/>
      <c r="E21" s="111"/>
      <c r="F21" s="111"/>
      <c r="G21" s="111"/>
      <c r="H21" s="111"/>
      <c r="I21" s="111"/>
      <c r="J21" s="111"/>
      <c r="K21" s="81"/>
      <c r="M21" s="80"/>
      <c r="N21" s="186"/>
      <c r="O21" s="186"/>
      <c r="P21" s="186"/>
      <c r="Q21" s="186"/>
      <c r="R21" s="186"/>
      <c r="S21" s="186"/>
      <c r="T21" s="186"/>
      <c r="U21" s="186"/>
      <c r="V21" s="81"/>
    </row>
    <row r="22" spans="2:22" ht="15" thickBot="1" x14ac:dyDescent="0.25">
      <c r="B22" s="80"/>
      <c r="C22" s="181" t="s">
        <v>231</v>
      </c>
      <c r="D22" s="135"/>
      <c r="E22" s="135"/>
      <c r="F22" s="135"/>
      <c r="G22" s="135"/>
      <c r="H22" s="135"/>
      <c r="I22" s="135"/>
      <c r="J22" s="135"/>
      <c r="K22" s="81"/>
      <c r="M22" s="113"/>
      <c r="N22" s="116"/>
      <c r="O22" s="117"/>
      <c r="P22" s="117"/>
      <c r="Q22" s="117"/>
      <c r="R22" s="117"/>
      <c r="S22" s="117"/>
      <c r="T22" s="117"/>
      <c r="U22" s="117"/>
      <c r="V22" s="114"/>
    </row>
    <row r="23" spans="2:22" ht="112.5" customHeight="1" thickTop="1" x14ac:dyDescent="0.2">
      <c r="B23" s="80"/>
      <c r="C23" s="111"/>
      <c r="D23" s="187" t="s">
        <v>322</v>
      </c>
      <c r="E23" s="187"/>
      <c r="F23" s="187"/>
      <c r="G23" s="187"/>
      <c r="H23" s="187"/>
      <c r="I23" s="187"/>
      <c r="J23" s="187"/>
      <c r="K23" s="81"/>
      <c r="M23" s="87"/>
      <c r="N23" s="88"/>
      <c r="O23" s="89"/>
      <c r="P23" s="89"/>
      <c r="Q23" s="89"/>
      <c r="R23" s="89"/>
      <c r="S23" s="89"/>
      <c r="T23" s="89"/>
      <c r="U23" s="89"/>
      <c r="V23" s="87"/>
    </row>
    <row r="24" spans="2:22" x14ac:dyDescent="0.2">
      <c r="B24" s="80"/>
      <c r="C24" s="181" t="s">
        <v>138</v>
      </c>
      <c r="D24" s="135"/>
      <c r="E24" s="135"/>
      <c r="F24" s="135"/>
      <c r="G24" s="135"/>
      <c r="H24" s="135"/>
      <c r="I24" s="135"/>
      <c r="J24" s="135"/>
      <c r="K24" s="81"/>
      <c r="M24" s="87"/>
      <c r="N24" s="88"/>
      <c r="O24" s="89"/>
      <c r="P24" s="89"/>
      <c r="Q24" s="89"/>
      <c r="R24" s="89"/>
      <c r="S24" s="89"/>
      <c r="T24" s="89"/>
      <c r="U24" s="89"/>
      <c r="V24" s="87"/>
    </row>
    <row r="25" spans="2:22" ht="57.6" customHeight="1" x14ac:dyDescent="0.2">
      <c r="B25" s="80"/>
      <c r="C25" s="111"/>
      <c r="D25" s="186" t="s">
        <v>194</v>
      </c>
      <c r="E25" s="186"/>
      <c r="F25" s="186"/>
      <c r="G25" s="186"/>
      <c r="H25" s="186"/>
      <c r="I25" s="186"/>
      <c r="J25" s="186"/>
      <c r="K25" s="81"/>
    </row>
    <row r="26" spans="2:22" x14ac:dyDescent="0.2">
      <c r="B26" s="80"/>
      <c r="C26" s="181" t="s">
        <v>236</v>
      </c>
      <c r="D26" s="135"/>
      <c r="E26" s="135"/>
      <c r="F26" s="135"/>
      <c r="G26" s="135"/>
      <c r="H26" s="135"/>
      <c r="I26" s="135"/>
      <c r="J26" s="135"/>
      <c r="K26" s="81"/>
    </row>
    <row r="27" spans="2:22" ht="28.9" customHeight="1" x14ac:dyDescent="0.2">
      <c r="B27" s="80"/>
      <c r="C27" s="135"/>
      <c r="D27" s="186" t="s">
        <v>196</v>
      </c>
      <c r="E27" s="186"/>
      <c r="F27" s="186"/>
      <c r="G27" s="186"/>
      <c r="H27" s="186"/>
      <c r="I27" s="186"/>
      <c r="J27" s="186"/>
      <c r="K27" s="81"/>
    </row>
    <row r="28" spans="2:22" x14ac:dyDescent="0.2">
      <c r="B28" s="80"/>
      <c r="C28" s="181" t="s">
        <v>197</v>
      </c>
      <c r="D28" s="135"/>
      <c r="E28" s="135"/>
      <c r="F28" s="135"/>
      <c r="G28" s="135"/>
      <c r="H28" s="135"/>
      <c r="I28" s="135"/>
      <c r="J28" s="135"/>
      <c r="K28" s="81"/>
    </row>
    <row r="29" spans="2:22" ht="28.5" customHeight="1" x14ac:dyDescent="0.2">
      <c r="B29" s="80"/>
      <c r="C29" s="135"/>
      <c r="D29" s="186" t="s">
        <v>198</v>
      </c>
      <c r="E29" s="186"/>
      <c r="F29" s="186"/>
      <c r="G29" s="186"/>
      <c r="H29" s="186"/>
      <c r="I29" s="186"/>
      <c r="J29" s="186"/>
      <c r="K29" s="81"/>
    </row>
    <row r="30" spans="2:22" x14ac:dyDescent="0.2">
      <c r="B30" s="80"/>
      <c r="C30" s="188" t="s">
        <v>232</v>
      </c>
      <c r="D30" s="188"/>
      <c r="E30" s="188"/>
      <c r="F30" s="188"/>
      <c r="G30" s="188"/>
      <c r="H30" s="188"/>
      <c r="I30" s="188"/>
      <c r="J30" s="188"/>
      <c r="K30" s="81"/>
    </row>
    <row r="31" spans="2:22" x14ac:dyDescent="0.2">
      <c r="B31" s="80"/>
      <c r="C31" s="188"/>
      <c r="D31" s="188"/>
      <c r="E31" s="188"/>
      <c r="F31" s="188"/>
      <c r="G31" s="188"/>
      <c r="H31" s="188"/>
      <c r="I31" s="188"/>
      <c r="J31" s="188"/>
      <c r="K31" s="81"/>
    </row>
    <row r="32" spans="2:22" ht="241.5" customHeight="1" x14ac:dyDescent="0.2">
      <c r="B32" s="80"/>
      <c r="C32" s="135"/>
      <c r="D32" s="186" t="s">
        <v>199</v>
      </c>
      <c r="E32" s="186"/>
      <c r="F32" s="186"/>
      <c r="G32" s="186"/>
      <c r="H32" s="186"/>
      <c r="I32" s="186"/>
      <c r="J32" s="186"/>
      <c r="K32" s="81"/>
    </row>
    <row r="33" spans="2:11" x14ac:dyDescent="0.2">
      <c r="B33" s="80"/>
      <c r="C33" s="181" t="s">
        <v>233</v>
      </c>
      <c r="D33" s="135"/>
      <c r="E33" s="135"/>
      <c r="F33" s="135"/>
      <c r="G33" s="135"/>
      <c r="H33" s="135"/>
      <c r="I33" s="135"/>
      <c r="J33" s="135"/>
      <c r="K33" s="81"/>
    </row>
    <row r="34" spans="2:11" ht="30.6" customHeight="1" x14ac:dyDescent="0.2">
      <c r="B34" s="80"/>
      <c r="C34" s="135"/>
      <c r="D34" s="186" t="s">
        <v>234</v>
      </c>
      <c r="E34" s="186"/>
      <c r="F34" s="186"/>
      <c r="G34" s="186"/>
      <c r="H34" s="186"/>
      <c r="I34" s="186"/>
      <c r="J34" s="186"/>
      <c r="K34" s="81"/>
    </row>
    <row r="35" spans="2:11" x14ac:dyDescent="0.2">
      <c r="B35" s="80"/>
      <c r="C35" s="181" t="s">
        <v>293</v>
      </c>
      <c r="D35" s="135"/>
      <c r="E35" s="135"/>
      <c r="F35" s="135"/>
      <c r="G35" s="135"/>
      <c r="H35" s="135"/>
      <c r="I35" s="135"/>
      <c r="J35" s="135"/>
      <c r="K35" s="81"/>
    </row>
    <row r="36" spans="2:11" ht="44.45" customHeight="1" x14ac:dyDescent="0.2">
      <c r="B36" s="80"/>
      <c r="C36" s="147"/>
      <c r="D36" s="192" t="s">
        <v>294</v>
      </c>
      <c r="E36" s="192"/>
      <c r="F36" s="192"/>
      <c r="G36" s="192"/>
      <c r="H36" s="192"/>
      <c r="I36" s="192"/>
      <c r="J36" s="192"/>
      <c r="K36" s="81"/>
    </row>
    <row r="37" spans="2:11" x14ac:dyDescent="0.2">
      <c r="B37" s="80"/>
      <c r="C37" s="182" t="s">
        <v>306</v>
      </c>
      <c r="D37" s="149"/>
      <c r="E37" s="149"/>
      <c r="F37" s="149"/>
      <c r="G37" s="149"/>
      <c r="H37" s="149"/>
      <c r="I37" s="149"/>
      <c r="J37" s="149"/>
      <c r="K37" s="81"/>
    </row>
    <row r="38" spans="2:11" x14ac:dyDescent="0.2">
      <c r="B38" s="80"/>
      <c r="C38" s="149"/>
      <c r="D38" s="185" t="s">
        <v>307</v>
      </c>
      <c r="E38" s="185"/>
      <c r="F38" s="185"/>
      <c r="G38" s="185"/>
      <c r="H38" s="185"/>
      <c r="I38" s="185"/>
      <c r="J38" s="185"/>
      <c r="K38" s="81"/>
    </row>
    <row r="39" spans="2:11" ht="13.5" customHeight="1" x14ac:dyDescent="0.2">
      <c r="B39" s="80"/>
      <c r="C39" s="149"/>
      <c r="D39" s="185"/>
      <c r="E39" s="185"/>
      <c r="F39" s="185"/>
      <c r="G39" s="185"/>
      <c r="H39" s="185"/>
      <c r="I39" s="185"/>
      <c r="J39" s="185"/>
      <c r="K39" s="81"/>
    </row>
    <row r="40" spans="2:11" ht="13.5" customHeight="1" x14ac:dyDescent="0.2">
      <c r="B40" s="80"/>
      <c r="C40" s="183" t="s">
        <v>320</v>
      </c>
      <c r="D40" s="183"/>
      <c r="E40" s="183"/>
      <c r="F40" s="183"/>
      <c r="G40" s="183"/>
      <c r="H40" s="183"/>
      <c r="I40" s="183"/>
      <c r="J40" s="183"/>
      <c r="K40" s="81"/>
    </row>
    <row r="41" spans="2:11" ht="30" customHeight="1" x14ac:dyDescent="0.2">
      <c r="B41" s="80"/>
      <c r="C41" s="149"/>
      <c r="D41" s="184" t="s">
        <v>321</v>
      </c>
      <c r="E41" s="184"/>
      <c r="F41" s="184"/>
      <c r="G41" s="184"/>
      <c r="H41" s="184"/>
      <c r="I41" s="184"/>
      <c r="J41" s="184"/>
      <c r="K41" s="81"/>
    </row>
    <row r="42" spans="2:11" ht="15" thickBot="1" x14ac:dyDescent="0.25">
      <c r="B42" s="113"/>
      <c r="C42" s="119"/>
      <c r="D42" s="119"/>
      <c r="E42" s="119"/>
      <c r="F42" s="119"/>
      <c r="G42" s="119"/>
      <c r="H42" s="119"/>
      <c r="I42" s="119"/>
      <c r="J42" s="119"/>
      <c r="K42" s="114"/>
    </row>
    <row r="43" spans="2:11" ht="15" thickTop="1" x14ac:dyDescent="0.2"/>
  </sheetData>
  <sheetProtection selectLockedCells="1"/>
  <mergeCells count="32">
    <mergeCell ref="N20:U21"/>
    <mergeCell ref="D36:J36"/>
    <mergeCell ref="N5:T5"/>
    <mergeCell ref="N7:O7"/>
    <mergeCell ref="N9:U9"/>
    <mergeCell ref="C10:J10"/>
    <mergeCell ref="C11:J11"/>
    <mergeCell ref="N10:U10"/>
    <mergeCell ref="N11:U11"/>
    <mergeCell ref="C5:F5"/>
    <mergeCell ref="C7:D7"/>
    <mergeCell ref="C9:J9"/>
    <mergeCell ref="N18:U18"/>
    <mergeCell ref="N17:U17"/>
    <mergeCell ref="N19:U19"/>
    <mergeCell ref="C15:J15"/>
    <mergeCell ref="C13:H13"/>
    <mergeCell ref="N13:S13"/>
    <mergeCell ref="N15:U15"/>
    <mergeCell ref="C16:J16"/>
    <mergeCell ref="C17:J17"/>
    <mergeCell ref="N16:U16"/>
    <mergeCell ref="C40:J40"/>
    <mergeCell ref="D41:J41"/>
    <mergeCell ref="D38:J39"/>
    <mergeCell ref="D34:J34"/>
    <mergeCell ref="D23:J23"/>
    <mergeCell ref="D25:J25"/>
    <mergeCell ref="D27:J27"/>
    <mergeCell ref="D32:J32"/>
    <mergeCell ref="D29:J29"/>
    <mergeCell ref="C30:J3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sheetPr>
  <dimension ref="B1:J71"/>
  <sheetViews>
    <sheetView workbookViewId="0">
      <selection activeCell="D18" sqref="D18"/>
    </sheetView>
  </sheetViews>
  <sheetFormatPr defaultColWidth="8.69921875" defaultRowHeight="14.25" x14ac:dyDescent="0.2"/>
  <cols>
    <col min="1" max="2" width="8.69921875" style="7"/>
    <col min="3" max="3" width="10.796875" style="7" customWidth="1"/>
    <col min="4" max="4" width="13.69921875" style="7" bestFit="1" customWidth="1"/>
    <col min="5" max="5" width="13.69921875" style="7" customWidth="1"/>
    <col min="6" max="6" width="8.69921875" style="7"/>
    <col min="7" max="7" width="10.3984375" style="7" customWidth="1"/>
    <col min="8" max="8" width="14" style="7" customWidth="1"/>
    <col min="9" max="16384" width="8.69921875" style="7"/>
  </cols>
  <sheetData>
    <row r="1" spans="2:10" ht="15" thickBot="1" x14ac:dyDescent="0.25"/>
    <row r="2" spans="2:10" ht="15" thickTop="1" x14ac:dyDescent="0.2">
      <c r="B2" s="96"/>
      <c r="C2" s="97"/>
      <c r="D2" s="97"/>
      <c r="E2" s="97"/>
      <c r="F2" s="97"/>
      <c r="G2" s="97"/>
      <c r="H2" s="97"/>
      <c r="I2" s="97"/>
      <c r="J2" s="98"/>
    </row>
    <row r="3" spans="2:10" x14ac:dyDescent="0.2">
      <c r="B3" s="99"/>
      <c r="C3" s="32"/>
      <c r="D3" s="32"/>
      <c r="E3" s="32"/>
      <c r="F3" s="32"/>
      <c r="G3" s="32"/>
      <c r="H3" s="32"/>
      <c r="I3" s="32"/>
      <c r="J3" s="100"/>
    </row>
    <row r="4" spans="2:10" x14ac:dyDescent="0.2">
      <c r="B4" s="99"/>
      <c r="C4" s="32"/>
      <c r="D4" s="32"/>
      <c r="E4" s="32"/>
      <c r="F4" s="32"/>
      <c r="G4" s="32"/>
      <c r="H4" s="32"/>
      <c r="I4" s="32"/>
      <c r="J4" s="100"/>
    </row>
    <row r="5" spans="2:10" ht="16.5" thickBot="1" x14ac:dyDescent="0.25">
      <c r="B5" s="99"/>
      <c r="C5" s="120" t="s">
        <v>134</v>
      </c>
      <c r="D5" s="32"/>
      <c r="E5" s="32"/>
      <c r="F5" s="32"/>
      <c r="G5" s="120" t="s">
        <v>135</v>
      </c>
      <c r="H5" s="32"/>
      <c r="I5" s="32"/>
      <c r="J5" s="100"/>
    </row>
    <row r="6" spans="2:10" ht="15.75" thickTop="1" thickBot="1" x14ac:dyDescent="0.25">
      <c r="B6" s="99"/>
      <c r="C6" s="50"/>
      <c r="D6" s="32"/>
      <c r="E6" s="32"/>
      <c r="F6" s="32"/>
      <c r="G6" s="32"/>
      <c r="H6" s="32"/>
      <c r="I6" s="32"/>
      <c r="J6" s="100"/>
    </row>
    <row r="7" spans="2:10" ht="15.75" thickTop="1" thickBot="1" x14ac:dyDescent="0.25">
      <c r="B7" s="99"/>
      <c r="C7" s="50" t="s">
        <v>106</v>
      </c>
      <c r="D7" s="129" t="s">
        <v>108</v>
      </c>
      <c r="E7" s="82"/>
      <c r="F7" s="32"/>
      <c r="G7" s="32" t="s">
        <v>106</v>
      </c>
      <c r="H7" s="129" t="s">
        <v>108</v>
      </c>
      <c r="I7" s="50"/>
      <c r="J7" s="100"/>
    </row>
    <row r="8" spans="2:10" ht="13.9" customHeight="1" thickTop="1" x14ac:dyDescent="0.2">
      <c r="B8" s="99"/>
      <c r="C8" s="200" t="s">
        <v>169</v>
      </c>
      <c r="D8" s="200"/>
      <c r="E8" s="52"/>
      <c r="F8" s="121"/>
      <c r="G8" s="200" t="s">
        <v>169</v>
      </c>
      <c r="H8" s="200"/>
      <c r="I8" s="50"/>
      <c r="J8" s="100"/>
    </row>
    <row r="9" spans="2:10" x14ac:dyDescent="0.2">
      <c r="B9" s="99"/>
      <c r="C9" s="200"/>
      <c r="D9" s="200"/>
      <c r="E9" s="52"/>
      <c r="F9" s="121"/>
      <c r="G9" s="200"/>
      <c r="H9" s="200"/>
      <c r="I9" s="50"/>
      <c r="J9" s="100"/>
    </row>
    <row r="10" spans="2:10" ht="20.45" customHeight="1" x14ac:dyDescent="0.2">
      <c r="B10" s="99"/>
      <c r="C10" s="200"/>
      <c r="D10" s="200"/>
      <c r="E10" s="52"/>
      <c r="F10" s="122"/>
      <c r="G10" s="200"/>
      <c r="H10" s="200"/>
      <c r="I10" s="50"/>
      <c r="J10" s="100"/>
    </row>
    <row r="11" spans="2:10" ht="15" thickBot="1" x14ac:dyDescent="0.25">
      <c r="B11" s="99"/>
      <c r="C11" s="32"/>
      <c r="D11" s="32"/>
      <c r="E11" s="32"/>
      <c r="F11" s="32"/>
      <c r="G11" s="32"/>
      <c r="H11" s="32"/>
      <c r="I11" s="50"/>
      <c r="J11" s="100"/>
    </row>
    <row r="12" spans="2:10" ht="15.75" thickTop="1" thickBot="1" x14ac:dyDescent="0.25">
      <c r="B12" s="99"/>
      <c r="C12" s="202" t="s">
        <v>148</v>
      </c>
      <c r="D12" s="129" t="s">
        <v>107</v>
      </c>
      <c r="E12" s="82"/>
      <c r="F12" s="32"/>
      <c r="G12" s="202" t="s">
        <v>148</v>
      </c>
      <c r="H12" s="129" t="s">
        <v>107</v>
      </c>
      <c r="I12" s="50"/>
      <c r="J12" s="100"/>
    </row>
    <row r="13" spans="2:10" ht="15" thickTop="1" x14ac:dyDescent="0.2">
      <c r="B13" s="99"/>
      <c r="C13" s="202"/>
      <c r="D13" s="51"/>
      <c r="E13" s="51"/>
      <c r="F13" s="32"/>
      <c r="G13" s="202"/>
      <c r="H13" s="32"/>
      <c r="I13" s="50"/>
      <c r="J13" s="100"/>
    </row>
    <row r="14" spans="2:10" ht="13.9" customHeight="1" x14ac:dyDescent="0.2">
      <c r="B14" s="99"/>
      <c r="C14" s="201" t="s">
        <v>170</v>
      </c>
      <c r="D14" s="201"/>
      <c r="E14" s="53"/>
      <c r="F14" s="32"/>
      <c r="G14" s="201" t="s">
        <v>170</v>
      </c>
      <c r="H14" s="201"/>
      <c r="I14" s="50"/>
      <c r="J14" s="100"/>
    </row>
    <row r="15" spans="2:10" x14ac:dyDescent="0.2">
      <c r="B15" s="99"/>
      <c r="C15" s="201"/>
      <c r="D15" s="201"/>
      <c r="E15" s="53"/>
      <c r="F15" s="32"/>
      <c r="G15" s="201"/>
      <c r="H15" s="201"/>
      <c r="I15" s="50"/>
      <c r="J15" s="100"/>
    </row>
    <row r="16" spans="2:10" x14ac:dyDescent="0.2">
      <c r="B16" s="99"/>
      <c r="C16" s="201"/>
      <c r="D16" s="201"/>
      <c r="E16" s="53"/>
      <c r="F16" s="32"/>
      <c r="G16" s="201"/>
      <c r="H16" s="201"/>
      <c r="I16" s="50"/>
      <c r="J16" s="100"/>
    </row>
    <row r="17" spans="2:10" ht="15" thickBot="1" x14ac:dyDescent="0.25">
      <c r="B17" s="99"/>
      <c r="C17" s="54"/>
      <c r="D17" s="54"/>
      <c r="E17" s="54"/>
      <c r="F17" s="32"/>
      <c r="G17" s="123"/>
      <c r="H17" s="123"/>
      <c r="I17" s="50"/>
      <c r="J17" s="100"/>
    </row>
    <row r="18" spans="2:10" ht="15.75" thickTop="1" thickBot="1" x14ac:dyDescent="0.25">
      <c r="B18" s="99"/>
      <c r="C18" s="32" t="s">
        <v>139</v>
      </c>
      <c r="D18" s="129" t="s">
        <v>257</v>
      </c>
      <c r="E18" s="82"/>
      <c r="F18" s="32"/>
      <c r="G18" s="32" t="s">
        <v>139</v>
      </c>
      <c r="H18" s="129" t="s">
        <v>140</v>
      </c>
      <c r="I18" s="50"/>
      <c r="J18" s="100"/>
    </row>
    <row r="19" spans="2:10" ht="16.899999999999999" customHeight="1" thickTop="1" x14ac:dyDescent="0.2">
      <c r="B19" s="99"/>
      <c r="C19" s="203" t="s">
        <v>308</v>
      </c>
      <c r="D19" s="203"/>
      <c r="E19" s="124"/>
      <c r="F19" s="32"/>
      <c r="G19" s="203" t="s">
        <v>291</v>
      </c>
      <c r="H19" s="203"/>
      <c r="I19" s="32"/>
      <c r="J19" s="100"/>
    </row>
    <row r="20" spans="2:10" x14ac:dyDescent="0.2">
      <c r="B20" s="99"/>
      <c r="C20" s="203"/>
      <c r="D20" s="203"/>
      <c r="E20" s="124"/>
      <c r="F20" s="32"/>
      <c r="G20" s="203"/>
      <c r="H20" s="203"/>
      <c r="I20" s="32"/>
      <c r="J20" s="100"/>
    </row>
    <row r="21" spans="2:10" x14ac:dyDescent="0.2">
      <c r="B21" s="99"/>
      <c r="C21" s="203"/>
      <c r="D21" s="203"/>
      <c r="E21" s="124"/>
      <c r="F21" s="32"/>
      <c r="G21" s="203"/>
      <c r="H21" s="203"/>
      <c r="I21" s="32"/>
      <c r="J21" s="100"/>
    </row>
    <row r="22" spans="2:10" x14ac:dyDescent="0.2">
      <c r="B22" s="99"/>
      <c r="C22" s="203"/>
      <c r="D22" s="203"/>
      <c r="E22" s="131"/>
      <c r="F22" s="32"/>
      <c r="G22" s="203"/>
      <c r="H22" s="203"/>
      <c r="I22" s="32"/>
      <c r="J22" s="100"/>
    </row>
    <row r="23" spans="2:10" x14ac:dyDescent="0.2">
      <c r="B23" s="99"/>
      <c r="C23" s="203"/>
      <c r="D23" s="203"/>
      <c r="E23" s="131"/>
      <c r="F23" s="32"/>
      <c r="G23" s="203"/>
      <c r="H23" s="203"/>
      <c r="I23" s="32"/>
      <c r="J23" s="100"/>
    </row>
    <row r="24" spans="2:10" x14ac:dyDescent="0.2">
      <c r="B24" s="99"/>
      <c r="C24" s="132"/>
      <c r="D24" s="132"/>
      <c r="E24" s="131"/>
      <c r="F24" s="32"/>
      <c r="G24" s="203"/>
      <c r="H24" s="203"/>
      <c r="I24" s="32"/>
      <c r="J24" s="100"/>
    </row>
    <row r="25" spans="2:10" x14ac:dyDescent="0.2">
      <c r="B25" s="99"/>
      <c r="C25" s="50"/>
      <c r="D25" s="50"/>
      <c r="E25" s="50"/>
      <c r="F25" s="32"/>
      <c r="G25" s="32"/>
      <c r="H25" s="32"/>
      <c r="I25" s="32"/>
      <c r="J25" s="100"/>
    </row>
    <row r="26" spans="2:10" x14ac:dyDescent="0.2">
      <c r="B26" s="99"/>
      <c r="C26" s="168" t="s">
        <v>247</v>
      </c>
      <c r="D26" s="168"/>
      <c r="E26" s="199" t="s">
        <v>248</v>
      </c>
      <c r="F26" s="199"/>
      <c r="G26" s="199"/>
      <c r="H26" s="199"/>
      <c r="I26" s="199"/>
      <c r="J26" s="100"/>
    </row>
    <row r="27" spans="2:10" x14ac:dyDescent="0.2">
      <c r="B27" s="99"/>
      <c r="C27" s="168"/>
      <c r="D27" s="168"/>
      <c r="E27" s="199"/>
      <c r="F27" s="199"/>
      <c r="G27" s="199"/>
      <c r="H27" s="199"/>
      <c r="I27" s="199"/>
      <c r="J27" s="100"/>
    </row>
    <row r="28" spans="2:10" x14ac:dyDescent="0.2">
      <c r="B28" s="99"/>
      <c r="C28" s="168"/>
      <c r="D28" s="168"/>
      <c r="E28" s="166"/>
      <c r="F28" s="166"/>
      <c r="G28" s="166"/>
      <c r="H28" s="166"/>
      <c r="I28" s="166"/>
      <c r="J28" s="100"/>
    </row>
    <row r="29" spans="2:10" x14ac:dyDescent="0.2">
      <c r="B29" s="99"/>
      <c r="C29" s="197" t="s">
        <v>200</v>
      </c>
      <c r="D29" s="197"/>
      <c r="E29" s="199" t="s">
        <v>205</v>
      </c>
      <c r="F29" s="199"/>
      <c r="G29" s="199"/>
      <c r="H29" s="199"/>
      <c r="I29" s="199"/>
      <c r="J29" s="100"/>
    </row>
    <row r="30" spans="2:10" x14ac:dyDescent="0.2">
      <c r="B30" s="99"/>
      <c r="C30" s="167"/>
      <c r="D30" s="167"/>
      <c r="E30" s="199"/>
      <c r="F30" s="199"/>
      <c r="G30" s="199"/>
      <c r="H30" s="199"/>
      <c r="I30" s="199"/>
      <c r="J30" s="100"/>
    </row>
    <row r="31" spans="2:10" x14ac:dyDescent="0.2">
      <c r="B31" s="99"/>
      <c r="C31" s="167"/>
      <c r="D31" s="167"/>
      <c r="E31" s="166"/>
      <c r="F31" s="166"/>
      <c r="G31" s="166"/>
      <c r="H31" s="166"/>
      <c r="I31" s="166"/>
      <c r="J31" s="100"/>
    </row>
    <row r="32" spans="2:10" x14ac:dyDescent="0.2">
      <c r="B32" s="99"/>
      <c r="C32" s="197" t="s">
        <v>201</v>
      </c>
      <c r="D32" s="197"/>
      <c r="E32" s="199" t="s">
        <v>296</v>
      </c>
      <c r="F32" s="199"/>
      <c r="G32" s="199"/>
      <c r="H32" s="199"/>
      <c r="I32" s="199"/>
      <c r="J32" s="100"/>
    </row>
    <row r="33" spans="2:10" x14ac:dyDescent="0.2">
      <c r="B33" s="99"/>
      <c r="C33" s="167"/>
      <c r="D33" s="167"/>
      <c r="E33" s="199"/>
      <c r="F33" s="199"/>
      <c r="G33" s="199"/>
      <c r="H33" s="199"/>
      <c r="I33" s="199"/>
      <c r="J33" s="100"/>
    </row>
    <row r="34" spans="2:10" x14ac:dyDescent="0.2">
      <c r="B34" s="99"/>
      <c r="C34" s="167"/>
      <c r="D34" s="167"/>
      <c r="E34" s="166"/>
      <c r="F34" s="166"/>
      <c r="G34" s="166"/>
      <c r="H34" s="166"/>
      <c r="I34" s="166"/>
      <c r="J34" s="100"/>
    </row>
    <row r="35" spans="2:10" ht="13.9" customHeight="1" x14ac:dyDescent="0.2">
      <c r="B35" s="99"/>
      <c r="C35" s="198" t="s">
        <v>202</v>
      </c>
      <c r="D35" s="198"/>
      <c r="E35" s="199" t="s">
        <v>206</v>
      </c>
      <c r="F35" s="199"/>
      <c r="G35" s="199"/>
      <c r="H35" s="199"/>
      <c r="I35" s="199"/>
      <c r="J35" s="100"/>
    </row>
    <row r="36" spans="2:10" x14ac:dyDescent="0.2">
      <c r="B36" s="99"/>
      <c r="C36" s="168"/>
      <c r="D36" s="168"/>
      <c r="E36" s="166"/>
      <c r="F36" s="166"/>
      <c r="G36" s="166"/>
      <c r="H36" s="166"/>
      <c r="I36" s="166"/>
      <c r="J36" s="100"/>
    </row>
    <row r="37" spans="2:10" x14ac:dyDescent="0.2">
      <c r="B37" s="99"/>
      <c r="C37" s="198" t="s">
        <v>323</v>
      </c>
      <c r="D37" s="198"/>
      <c r="E37" s="199" t="s">
        <v>324</v>
      </c>
      <c r="F37" s="199"/>
      <c r="G37" s="199"/>
      <c r="H37" s="199"/>
      <c r="I37" s="199"/>
      <c r="J37" s="100"/>
    </row>
    <row r="38" spans="2:10" x14ac:dyDescent="0.2">
      <c r="B38" s="99"/>
      <c r="C38" s="168"/>
      <c r="D38" s="168"/>
      <c r="E38" s="199"/>
      <c r="F38" s="199"/>
      <c r="G38" s="199"/>
      <c r="H38" s="199"/>
      <c r="I38" s="199"/>
      <c r="J38" s="100"/>
    </row>
    <row r="39" spans="2:10" x14ac:dyDescent="0.2">
      <c r="B39" s="99"/>
      <c r="C39" s="168"/>
      <c r="D39" s="168"/>
      <c r="E39" s="166"/>
      <c r="F39" s="166"/>
      <c r="G39" s="166"/>
      <c r="H39" s="166"/>
      <c r="I39" s="166"/>
      <c r="J39" s="100"/>
    </row>
    <row r="40" spans="2:10" ht="13.9" customHeight="1" x14ac:dyDescent="0.2">
      <c r="B40" s="99"/>
      <c r="C40" s="198" t="s">
        <v>139</v>
      </c>
      <c r="D40" s="198"/>
      <c r="E40" s="199" t="s">
        <v>244</v>
      </c>
      <c r="F40" s="199"/>
      <c r="G40" s="199"/>
      <c r="H40" s="199"/>
      <c r="I40" s="199"/>
      <c r="J40" s="100"/>
    </row>
    <row r="41" spans="2:10" x14ac:dyDescent="0.2">
      <c r="B41" s="99"/>
      <c r="C41" s="168"/>
      <c r="D41" s="168"/>
      <c r="E41" s="199"/>
      <c r="F41" s="199"/>
      <c r="G41" s="199"/>
      <c r="H41" s="199"/>
      <c r="I41" s="199"/>
      <c r="J41" s="100"/>
    </row>
    <row r="42" spans="2:10" x14ac:dyDescent="0.2">
      <c r="B42" s="99"/>
      <c r="C42" s="168"/>
      <c r="D42" s="168"/>
      <c r="E42" s="199"/>
      <c r="F42" s="199"/>
      <c r="G42" s="199"/>
      <c r="H42" s="199"/>
      <c r="I42" s="199"/>
      <c r="J42" s="100"/>
    </row>
    <row r="43" spans="2:10" x14ac:dyDescent="0.2">
      <c r="B43" s="99"/>
      <c r="C43" s="198" t="s">
        <v>203</v>
      </c>
      <c r="D43" s="198"/>
      <c r="E43" s="199" t="s">
        <v>245</v>
      </c>
      <c r="F43" s="199"/>
      <c r="G43" s="199"/>
      <c r="H43" s="199"/>
      <c r="I43" s="199"/>
      <c r="J43" s="100"/>
    </row>
    <row r="44" spans="2:10" x14ac:dyDescent="0.2">
      <c r="B44" s="99"/>
      <c r="C44" s="168"/>
      <c r="D44" s="168"/>
      <c r="E44" s="199"/>
      <c r="F44" s="199"/>
      <c r="G44" s="199"/>
      <c r="H44" s="199"/>
      <c r="I44" s="199"/>
      <c r="J44" s="100"/>
    </row>
    <row r="45" spans="2:10" x14ac:dyDescent="0.2">
      <c r="B45" s="99"/>
      <c r="C45" s="168"/>
      <c r="D45" s="168"/>
      <c r="E45" s="166"/>
      <c r="F45" s="166"/>
      <c r="G45" s="166"/>
      <c r="H45" s="166"/>
      <c r="I45" s="166"/>
      <c r="J45" s="100"/>
    </row>
    <row r="46" spans="2:10" x14ac:dyDescent="0.2">
      <c r="B46" s="99"/>
      <c r="C46" s="198" t="s">
        <v>204</v>
      </c>
      <c r="D46" s="198"/>
      <c r="E46" s="199" t="s">
        <v>246</v>
      </c>
      <c r="F46" s="199"/>
      <c r="G46" s="199"/>
      <c r="H46" s="199"/>
      <c r="I46" s="199"/>
      <c r="J46" s="100"/>
    </row>
    <row r="47" spans="2:10" x14ac:dyDescent="0.2">
      <c r="B47" s="99"/>
      <c r="C47" s="168"/>
      <c r="D47" s="168"/>
      <c r="E47" s="199"/>
      <c r="F47" s="199"/>
      <c r="G47" s="199"/>
      <c r="H47" s="199"/>
      <c r="I47" s="199"/>
      <c r="J47" s="100"/>
    </row>
    <row r="48" spans="2:10" x14ac:dyDescent="0.2">
      <c r="B48" s="99"/>
      <c r="C48" s="168"/>
      <c r="D48" s="168"/>
      <c r="E48" s="166"/>
      <c r="F48" s="166"/>
      <c r="G48" s="166"/>
      <c r="H48" s="166"/>
      <c r="I48" s="166"/>
      <c r="J48" s="100"/>
    </row>
    <row r="49" spans="2:10" x14ac:dyDescent="0.2">
      <c r="B49" s="99"/>
      <c r="C49" s="180" t="s">
        <v>341</v>
      </c>
      <c r="D49" s="174"/>
      <c r="E49" s="199" t="s">
        <v>342</v>
      </c>
      <c r="F49" s="199"/>
      <c r="G49" s="199"/>
      <c r="H49" s="199"/>
      <c r="I49" s="199"/>
      <c r="J49" s="100"/>
    </row>
    <row r="50" spans="2:10" ht="15" customHeight="1" x14ac:dyDescent="0.2">
      <c r="B50" s="99"/>
      <c r="C50" s="180"/>
      <c r="D50" s="174"/>
      <c r="E50" s="199"/>
      <c r="F50" s="199"/>
      <c r="G50" s="199"/>
      <c r="H50" s="199"/>
      <c r="I50" s="199"/>
      <c r="J50" s="100"/>
    </row>
    <row r="51" spans="2:10" x14ac:dyDescent="0.2">
      <c r="B51" s="99"/>
      <c r="C51" s="174"/>
      <c r="D51" s="174"/>
      <c r="E51" s="175"/>
      <c r="F51" s="175"/>
      <c r="G51" s="175"/>
      <c r="H51" s="175"/>
      <c r="I51" s="175"/>
      <c r="J51" s="100"/>
    </row>
    <row r="52" spans="2:10" x14ac:dyDescent="0.2">
      <c r="B52" s="99"/>
      <c r="C52" s="168" t="s">
        <v>303</v>
      </c>
      <c r="D52" s="168"/>
      <c r="E52" s="199" t="s">
        <v>304</v>
      </c>
      <c r="F52" s="199"/>
      <c r="G52" s="199"/>
      <c r="H52" s="199"/>
      <c r="I52" s="199"/>
      <c r="J52" s="100"/>
    </row>
    <row r="53" spans="2:10" x14ac:dyDescent="0.2">
      <c r="B53" s="99"/>
      <c r="C53" s="168"/>
      <c r="D53" s="168"/>
      <c r="E53" s="166"/>
      <c r="F53" s="166"/>
      <c r="G53" s="166"/>
      <c r="H53" s="166"/>
      <c r="I53" s="166"/>
      <c r="J53" s="100"/>
    </row>
    <row r="54" spans="2:10" x14ac:dyDescent="0.2">
      <c r="B54" s="99"/>
      <c r="C54" s="168" t="s">
        <v>301</v>
      </c>
      <c r="D54" s="168"/>
      <c r="E54" s="199" t="s">
        <v>305</v>
      </c>
      <c r="F54" s="199"/>
      <c r="G54" s="199"/>
      <c r="H54" s="199"/>
      <c r="I54" s="199"/>
      <c r="J54" s="100"/>
    </row>
    <row r="55" spans="2:10" x14ac:dyDescent="0.2">
      <c r="B55" s="99"/>
      <c r="C55" s="168"/>
      <c r="D55" s="168"/>
      <c r="E55" s="166"/>
      <c r="F55" s="166"/>
      <c r="G55" s="166"/>
      <c r="H55" s="166"/>
      <c r="I55" s="166"/>
      <c r="J55" s="100"/>
    </row>
    <row r="56" spans="2:10" x14ac:dyDescent="0.2">
      <c r="B56" s="99"/>
      <c r="C56" s="198" t="s">
        <v>310</v>
      </c>
      <c r="D56" s="198"/>
      <c r="E56" s="199" t="s">
        <v>325</v>
      </c>
      <c r="F56" s="199"/>
      <c r="G56" s="199"/>
      <c r="H56" s="199"/>
      <c r="I56" s="199"/>
      <c r="J56" s="100"/>
    </row>
    <row r="57" spans="2:10" x14ac:dyDescent="0.2">
      <c r="B57" s="99"/>
      <c r="C57" s="168"/>
      <c r="D57" s="168"/>
      <c r="E57" s="199"/>
      <c r="F57" s="199"/>
      <c r="G57" s="199"/>
      <c r="H57" s="199"/>
      <c r="I57" s="199"/>
      <c r="J57" s="100"/>
    </row>
    <row r="58" spans="2:10" x14ac:dyDescent="0.2">
      <c r="B58" s="99"/>
      <c r="C58" s="168"/>
      <c r="D58" s="168"/>
      <c r="E58" s="166"/>
      <c r="F58" s="166"/>
      <c r="G58" s="166"/>
      <c r="H58" s="166"/>
      <c r="I58" s="166"/>
      <c r="J58" s="100"/>
    </row>
    <row r="59" spans="2:10" ht="14.25" customHeight="1" x14ac:dyDescent="0.2">
      <c r="B59" s="99"/>
      <c r="C59" s="197" t="s">
        <v>297</v>
      </c>
      <c r="D59" s="197"/>
      <c r="E59" s="199" t="s">
        <v>295</v>
      </c>
      <c r="F59" s="199"/>
      <c r="G59" s="199"/>
      <c r="H59" s="199"/>
      <c r="I59" s="199"/>
      <c r="J59" s="100"/>
    </row>
    <row r="60" spans="2:10" x14ac:dyDescent="0.2">
      <c r="B60" s="99"/>
      <c r="C60" s="167"/>
      <c r="D60" s="167"/>
      <c r="E60" s="199"/>
      <c r="F60" s="199"/>
      <c r="G60" s="199"/>
      <c r="H60" s="199"/>
      <c r="I60" s="199"/>
      <c r="J60" s="100"/>
    </row>
    <row r="61" spans="2:10" x14ac:dyDescent="0.2">
      <c r="B61" s="99"/>
      <c r="C61" s="167"/>
      <c r="D61" s="167"/>
      <c r="E61" s="166"/>
      <c r="F61" s="166"/>
      <c r="G61" s="166"/>
      <c r="H61" s="166"/>
      <c r="I61" s="166"/>
      <c r="J61" s="100"/>
    </row>
    <row r="62" spans="2:10" x14ac:dyDescent="0.2">
      <c r="B62" s="99"/>
      <c r="C62" s="198" t="s">
        <v>298</v>
      </c>
      <c r="D62" s="198"/>
      <c r="E62" s="199" t="s">
        <v>206</v>
      </c>
      <c r="F62" s="199"/>
      <c r="G62" s="199"/>
      <c r="H62" s="199"/>
      <c r="I62" s="199"/>
      <c r="J62" s="100"/>
    </row>
    <row r="63" spans="2:10" x14ac:dyDescent="0.2">
      <c r="B63" s="99"/>
      <c r="C63" s="168"/>
      <c r="D63" s="168"/>
      <c r="E63" s="199"/>
      <c r="F63" s="199"/>
      <c r="G63" s="199"/>
      <c r="H63" s="199"/>
      <c r="I63" s="199"/>
      <c r="J63" s="100"/>
    </row>
    <row r="64" spans="2:10" x14ac:dyDescent="0.2">
      <c r="B64" s="99"/>
      <c r="C64" s="198" t="s">
        <v>299</v>
      </c>
      <c r="D64" s="198"/>
      <c r="E64" s="199" t="s">
        <v>300</v>
      </c>
      <c r="F64" s="199"/>
      <c r="G64" s="199"/>
      <c r="H64" s="199"/>
      <c r="I64" s="199"/>
      <c r="J64" s="100"/>
    </row>
    <row r="65" spans="2:10" x14ac:dyDescent="0.2">
      <c r="B65" s="99"/>
      <c r="C65" s="136"/>
      <c r="D65" s="136"/>
      <c r="E65" s="199"/>
      <c r="F65" s="199"/>
      <c r="G65" s="199"/>
      <c r="H65" s="199"/>
      <c r="I65" s="199"/>
      <c r="J65" s="100"/>
    </row>
    <row r="66" spans="2:10" x14ac:dyDescent="0.2">
      <c r="B66" s="99"/>
      <c r="C66" s="136"/>
      <c r="D66" s="136"/>
      <c r="E66" s="199"/>
      <c r="F66" s="199"/>
      <c r="G66" s="199"/>
      <c r="H66" s="199"/>
      <c r="I66" s="199"/>
      <c r="J66" s="100"/>
    </row>
    <row r="67" spans="2:10" x14ac:dyDescent="0.2">
      <c r="B67" s="99"/>
      <c r="C67" s="196" t="s">
        <v>149</v>
      </c>
      <c r="D67" s="196"/>
      <c r="E67" s="196"/>
      <c r="F67" s="196"/>
      <c r="G67" s="196"/>
      <c r="H67" s="196"/>
      <c r="I67" s="196"/>
      <c r="J67" s="100"/>
    </row>
    <row r="68" spans="2:10" x14ac:dyDescent="0.2">
      <c r="B68" s="99"/>
      <c r="C68" s="196"/>
      <c r="D68" s="196"/>
      <c r="E68" s="196"/>
      <c r="F68" s="196"/>
      <c r="G68" s="196"/>
      <c r="H68" s="196"/>
      <c r="I68" s="196"/>
      <c r="J68" s="100"/>
    </row>
    <row r="69" spans="2:10" ht="15" thickBot="1" x14ac:dyDescent="0.25">
      <c r="B69" s="101"/>
      <c r="C69" s="23"/>
      <c r="D69" s="23"/>
      <c r="E69" s="23"/>
      <c r="F69" s="23"/>
      <c r="G69" s="23"/>
      <c r="H69" s="23"/>
      <c r="I69" s="23"/>
      <c r="J69" s="102"/>
    </row>
    <row r="70" spans="2:10" ht="15" thickTop="1" x14ac:dyDescent="0.2"/>
    <row r="71" spans="2:10" x14ac:dyDescent="0.2">
      <c r="B71" s="195" t="s">
        <v>150</v>
      </c>
      <c r="C71" s="195"/>
    </row>
  </sheetData>
  <sheetProtection selectLockedCells="1"/>
  <mergeCells count="36">
    <mergeCell ref="E59:I60"/>
    <mergeCell ref="E35:I35"/>
    <mergeCell ref="C37:D37"/>
    <mergeCell ref="E37:I38"/>
    <mergeCell ref="C56:D56"/>
    <mergeCell ref="E56:I57"/>
    <mergeCell ref="E52:I52"/>
    <mergeCell ref="E49:I50"/>
    <mergeCell ref="E26:I27"/>
    <mergeCell ref="E40:I42"/>
    <mergeCell ref="E43:I44"/>
    <mergeCell ref="E46:I47"/>
    <mergeCell ref="C8:D10"/>
    <mergeCell ref="C14:D16"/>
    <mergeCell ref="C12:C13"/>
    <mergeCell ref="G12:G13"/>
    <mergeCell ref="C19:D23"/>
    <mergeCell ref="G8:H10"/>
    <mergeCell ref="G14:H16"/>
    <mergeCell ref="G19:H24"/>
    <mergeCell ref="B71:C71"/>
    <mergeCell ref="C67:I68"/>
    <mergeCell ref="C29:D29"/>
    <mergeCell ref="C32:D32"/>
    <mergeCell ref="C35:D35"/>
    <mergeCell ref="C40:D40"/>
    <mergeCell ref="C59:D59"/>
    <mergeCell ref="C62:D62"/>
    <mergeCell ref="E62:I63"/>
    <mergeCell ref="C64:D64"/>
    <mergeCell ref="E64:I66"/>
    <mergeCell ref="C43:D43"/>
    <mergeCell ref="C46:D46"/>
    <mergeCell ref="E54:I54"/>
    <mergeCell ref="E29:I30"/>
    <mergeCell ref="E32:I33"/>
  </mergeCells>
  <hyperlinks>
    <hyperlink ref="B71:C71" location="Description!C5" display="Back to description"/>
    <hyperlink ref="C29:D29" location="'Area Overview'!A1" display="Area Overview"/>
    <hyperlink ref="C32:D32" location="'Bar Graphs Adults'!A1" display="Bar Graphs"/>
    <hyperlink ref="C35:D35" location="'Line Graphs Adults'!A1" display="Line Graphs"/>
    <hyperlink ref="C40:D40" location="Inequalities!A1" display="Inequalities"/>
    <hyperlink ref="C43:D43" location="'Inequalities - Time'!A1" display="Inequalities Over Time"/>
    <hyperlink ref="C46:D46" location="'Inequalities Gap'!A1" display="Inequalities Gap"/>
    <hyperlink ref="C26" location="Targets!A1" display="Targets"/>
    <hyperlink ref="C59:D59" location="'Bar Graphs CYP'!A1" display="Bar Graphs CYP"/>
    <hyperlink ref="C62:D62" location="'Line Graphs CYP'!A1" display="Line Graphs CYP"/>
    <hyperlink ref="C64:D64" location="'Inequalities CYP'!A1" display="Inequalities CYP"/>
    <hyperlink ref="C52" location="Walking!A1" display="Walking"/>
    <hyperlink ref="C54" location="Volunteering!A1" display="Volunteering"/>
    <hyperlink ref="C37:D37" location="'Moving Comparision'!A1" display="Moving Comparision"/>
    <hyperlink ref="C56:D56" location="'Volunteering Comparision'!A1" display="Volunteering Comparision"/>
    <hyperlink ref="C49" location="Demographics!A1" display="Demographics"/>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Lists!$A$3:$A$14</xm:f>
          </x14:formula1>
          <xm:sqref>D12 H12 H7 D7</xm:sqref>
        </x14:dataValidation>
        <x14:dataValidation type="list" allowBlank="1" showInputMessage="1" showErrorMessage="1">
          <x14:formula1>
            <xm:f>Lists!$E$3:$E$5</xm:f>
          </x14:formula1>
          <xm:sqref>H18</xm:sqref>
        </x14:dataValidation>
        <x14:dataValidation type="list" allowBlank="1" showInputMessage="1" showErrorMessage="1">
          <x14:formula1>
            <xm:f>Lists!$C$3:$C$8</xm:f>
          </x14:formula1>
          <xm:sqref>D18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0"/>
  <sheetViews>
    <sheetView topLeftCell="A40" zoomScale="80" zoomScaleNormal="80" workbookViewId="0">
      <selection activeCell="V54" sqref="M29:V54"/>
    </sheetView>
  </sheetViews>
  <sheetFormatPr defaultColWidth="8.69921875" defaultRowHeight="14.25" x14ac:dyDescent="0.2"/>
  <cols>
    <col min="1" max="2" width="8.69921875" style="7"/>
    <col min="3" max="3" width="10.796875" style="7" customWidth="1"/>
    <col min="4" max="4" width="10.19921875" style="7" customWidth="1"/>
    <col min="5" max="5" width="8.69921875" style="7"/>
    <col min="6" max="6" width="10.3984375" style="7" customWidth="1"/>
    <col min="7" max="7" width="13.69921875" style="7" customWidth="1"/>
    <col min="8" max="9" width="8.69921875" style="7"/>
    <col min="10" max="10" width="9.09765625" style="7" bestFit="1" customWidth="1"/>
    <col min="11" max="11" width="8.69921875" style="7"/>
    <col min="12" max="12" width="9.09765625" style="7" customWidth="1"/>
    <col min="13" max="16384" width="8.69921875" style="7"/>
  </cols>
  <sheetData>
    <row r="1" spans="2:22" ht="15" thickBot="1" x14ac:dyDescent="0.25"/>
    <row r="2" spans="2:22" ht="15" thickTop="1" x14ac:dyDescent="0.2">
      <c r="B2" s="96"/>
      <c r="C2" s="97"/>
      <c r="D2" s="97"/>
      <c r="E2" s="97"/>
      <c r="F2" s="97"/>
      <c r="G2" s="97"/>
      <c r="H2" s="97"/>
      <c r="I2" s="97"/>
      <c r="J2" s="97"/>
      <c r="K2" s="98"/>
      <c r="M2" s="96"/>
      <c r="N2" s="97"/>
      <c r="O2" s="97"/>
      <c r="P2" s="97"/>
      <c r="Q2" s="97"/>
      <c r="R2" s="97"/>
      <c r="S2" s="97"/>
      <c r="T2" s="97"/>
      <c r="U2" s="97"/>
      <c r="V2" s="98"/>
    </row>
    <row r="3" spans="2:22" x14ac:dyDescent="0.2">
      <c r="B3" s="99"/>
      <c r="C3" s="32"/>
      <c r="D3" s="32"/>
      <c r="E3" s="32"/>
      <c r="F3" s="32"/>
      <c r="G3" s="32"/>
      <c r="H3" s="32"/>
      <c r="I3" s="32"/>
      <c r="J3" s="32"/>
      <c r="K3" s="100"/>
      <c r="M3" s="99"/>
      <c r="N3" s="32"/>
      <c r="O3" s="32"/>
      <c r="P3" s="32"/>
      <c r="Q3" s="32"/>
      <c r="R3" s="32"/>
      <c r="S3" s="32"/>
      <c r="T3" s="32"/>
      <c r="U3" s="32"/>
      <c r="V3" s="100"/>
    </row>
    <row r="4" spans="2:22" x14ac:dyDescent="0.2">
      <c r="B4" s="99"/>
      <c r="C4" s="205" t="s">
        <v>168</v>
      </c>
      <c r="D4" s="205"/>
      <c r="E4" s="205"/>
      <c r="F4" s="205"/>
      <c r="G4" s="205"/>
      <c r="H4" s="205"/>
      <c r="I4" s="205"/>
      <c r="J4" s="205"/>
      <c r="K4" s="100"/>
      <c r="M4" s="99"/>
      <c r="N4" s="205" t="s">
        <v>167</v>
      </c>
      <c r="O4" s="205"/>
      <c r="P4" s="205"/>
      <c r="Q4" s="205"/>
      <c r="R4" s="205"/>
      <c r="S4" s="205"/>
      <c r="T4" s="205"/>
      <c r="U4" s="205"/>
      <c r="V4" s="100"/>
    </row>
    <row r="5" spans="2:22" x14ac:dyDescent="0.2">
      <c r="B5" s="99"/>
      <c r="C5" s="32"/>
      <c r="D5" s="32"/>
      <c r="E5" s="32"/>
      <c r="F5" s="32"/>
      <c r="G5" s="32"/>
      <c r="H5" s="32"/>
      <c r="I5" s="32"/>
      <c r="J5" s="32"/>
      <c r="K5" s="100"/>
      <c r="M5" s="99"/>
      <c r="N5" s="32"/>
      <c r="O5" s="32"/>
      <c r="P5" s="32"/>
      <c r="Q5" s="32"/>
      <c r="R5" s="32"/>
      <c r="S5" s="32"/>
      <c r="T5" s="32"/>
      <c r="U5" s="32"/>
      <c r="V5" s="100"/>
    </row>
    <row r="6" spans="2:22" x14ac:dyDescent="0.2">
      <c r="B6" s="99"/>
      <c r="C6" s="32"/>
      <c r="D6" s="32"/>
      <c r="E6" s="32"/>
      <c r="F6" s="32"/>
      <c r="G6" s="32"/>
      <c r="H6" s="32"/>
      <c r="I6" s="32"/>
      <c r="J6" s="32"/>
      <c r="K6" s="100"/>
      <c r="M6" s="99"/>
      <c r="N6" s="32"/>
      <c r="O6" s="32"/>
      <c r="P6" s="32"/>
      <c r="Q6" s="32"/>
      <c r="R6" s="32"/>
      <c r="S6" s="32"/>
      <c r="T6" s="32"/>
      <c r="U6" s="32"/>
      <c r="V6" s="100"/>
    </row>
    <row r="7" spans="2:22" x14ac:dyDescent="0.2">
      <c r="B7" s="99"/>
      <c r="C7" s="32"/>
      <c r="D7" s="32"/>
      <c r="E7" s="32"/>
      <c r="F7" s="32"/>
      <c r="G7" s="32"/>
      <c r="H7" s="32"/>
      <c r="I7" s="32"/>
      <c r="J7" s="32"/>
      <c r="K7" s="100"/>
      <c r="M7" s="99"/>
      <c r="N7" s="32"/>
      <c r="O7" s="32"/>
      <c r="P7" s="32"/>
      <c r="Q7" s="32"/>
      <c r="R7" s="32"/>
      <c r="S7" s="32"/>
      <c r="T7" s="32"/>
      <c r="U7" s="32"/>
      <c r="V7" s="100"/>
    </row>
    <row r="8" spans="2:22" x14ac:dyDescent="0.2">
      <c r="B8" s="99"/>
      <c r="C8" s="32"/>
      <c r="D8" s="32"/>
      <c r="E8" s="32"/>
      <c r="F8" s="32"/>
      <c r="G8" s="32"/>
      <c r="H8" s="32"/>
      <c r="I8" s="32"/>
      <c r="J8" s="32"/>
      <c r="K8" s="100"/>
      <c r="M8" s="99"/>
      <c r="N8" s="32"/>
      <c r="O8" s="32"/>
      <c r="P8" s="32"/>
      <c r="Q8" s="32"/>
      <c r="R8" s="32"/>
      <c r="S8" s="32"/>
      <c r="T8" s="32"/>
      <c r="U8" s="32"/>
      <c r="V8" s="100"/>
    </row>
    <row r="9" spans="2:22" x14ac:dyDescent="0.2">
      <c r="B9" s="99"/>
      <c r="C9" s="32"/>
      <c r="D9" s="32"/>
      <c r="E9" s="32"/>
      <c r="F9" s="32"/>
      <c r="G9" s="32"/>
      <c r="H9" s="32"/>
      <c r="I9" s="32"/>
      <c r="J9" s="32"/>
      <c r="K9" s="100"/>
      <c r="M9" s="99"/>
      <c r="N9" s="32"/>
      <c r="O9" s="32"/>
      <c r="P9" s="32"/>
      <c r="Q9" s="32"/>
      <c r="R9" s="32"/>
      <c r="S9" s="32"/>
      <c r="T9" s="32"/>
      <c r="U9" s="32"/>
      <c r="V9" s="100"/>
    </row>
    <row r="10" spans="2:22" x14ac:dyDescent="0.2">
      <c r="B10" s="99"/>
      <c r="C10" s="32"/>
      <c r="D10" s="32"/>
      <c r="E10" s="32"/>
      <c r="F10" s="32"/>
      <c r="G10" s="32"/>
      <c r="H10" s="32"/>
      <c r="I10" s="32"/>
      <c r="J10" s="32"/>
      <c r="K10" s="100"/>
      <c r="M10" s="99"/>
      <c r="N10" s="32"/>
      <c r="O10" s="32"/>
      <c r="P10" s="32"/>
      <c r="Q10" s="32"/>
      <c r="R10" s="32"/>
      <c r="S10" s="32"/>
      <c r="T10" s="32"/>
      <c r="U10" s="32"/>
      <c r="V10" s="100"/>
    </row>
    <row r="11" spans="2:22" x14ac:dyDescent="0.2">
      <c r="B11" s="99"/>
      <c r="C11" s="32"/>
      <c r="D11" s="32"/>
      <c r="E11" s="32"/>
      <c r="F11" s="32"/>
      <c r="G11" s="32"/>
      <c r="H11" s="32"/>
      <c r="I11" s="32"/>
      <c r="J11" s="32"/>
      <c r="K11" s="100"/>
      <c r="M11" s="99"/>
      <c r="N11" s="32"/>
      <c r="O11" s="32"/>
      <c r="P11" s="32"/>
      <c r="Q11" s="32"/>
      <c r="R11" s="32"/>
      <c r="S11" s="32"/>
      <c r="T11" s="32"/>
      <c r="U11" s="32"/>
      <c r="V11" s="100"/>
    </row>
    <row r="12" spans="2:22" x14ac:dyDescent="0.2">
      <c r="B12" s="99"/>
      <c r="C12" s="32"/>
      <c r="D12" s="32"/>
      <c r="E12" s="32"/>
      <c r="F12" s="32"/>
      <c r="G12" s="32"/>
      <c r="H12" s="32"/>
      <c r="I12" s="32"/>
      <c r="J12" s="32"/>
      <c r="K12" s="100"/>
      <c r="M12" s="99"/>
      <c r="N12" s="32"/>
      <c r="O12" s="32"/>
      <c r="P12" s="32"/>
      <c r="Q12" s="32"/>
      <c r="R12" s="32"/>
      <c r="S12" s="32"/>
      <c r="T12" s="32"/>
      <c r="U12" s="32"/>
      <c r="V12" s="100"/>
    </row>
    <row r="13" spans="2:22" x14ac:dyDescent="0.2">
      <c r="B13" s="99"/>
      <c r="C13" s="32"/>
      <c r="D13" s="32"/>
      <c r="E13" s="32"/>
      <c r="F13" s="32"/>
      <c r="G13" s="32"/>
      <c r="H13" s="32"/>
      <c r="I13" s="32"/>
      <c r="J13" s="32"/>
      <c r="K13" s="100"/>
      <c r="M13" s="99"/>
      <c r="N13" s="32"/>
      <c r="O13" s="32"/>
      <c r="P13" s="32"/>
      <c r="Q13" s="32"/>
      <c r="R13" s="32"/>
      <c r="S13" s="32"/>
      <c r="T13" s="32"/>
      <c r="U13" s="32"/>
      <c r="V13" s="100"/>
    </row>
    <row r="14" spans="2:22" x14ac:dyDescent="0.2">
      <c r="B14" s="99"/>
      <c r="C14" s="32"/>
      <c r="D14" s="32"/>
      <c r="E14" s="32"/>
      <c r="F14" s="32"/>
      <c r="G14" s="32"/>
      <c r="H14" s="32"/>
      <c r="I14" s="32"/>
      <c r="J14" s="32"/>
      <c r="K14" s="100"/>
      <c r="M14" s="99"/>
      <c r="N14" s="32"/>
      <c r="O14" s="32"/>
      <c r="P14" s="32"/>
      <c r="Q14" s="32"/>
      <c r="R14" s="32"/>
      <c r="S14" s="32"/>
      <c r="T14" s="32"/>
      <c r="U14" s="32"/>
      <c r="V14" s="100"/>
    </row>
    <row r="15" spans="2:22" x14ac:dyDescent="0.2">
      <c r="B15" s="99"/>
      <c r="C15" s="32"/>
      <c r="D15" s="32"/>
      <c r="E15" s="32"/>
      <c r="F15" s="32"/>
      <c r="G15" s="32"/>
      <c r="H15" s="32"/>
      <c r="I15" s="32"/>
      <c r="J15" s="32"/>
      <c r="K15" s="100"/>
      <c r="M15" s="99"/>
      <c r="N15" s="32"/>
      <c r="O15" s="32"/>
      <c r="P15" s="32"/>
      <c r="Q15" s="32"/>
      <c r="R15" s="32"/>
      <c r="S15" s="32"/>
      <c r="T15" s="32"/>
      <c r="U15" s="32"/>
      <c r="V15" s="100"/>
    </row>
    <row r="16" spans="2:22" x14ac:dyDescent="0.2">
      <c r="B16" s="99"/>
      <c r="C16" s="32"/>
      <c r="D16" s="32"/>
      <c r="E16" s="32"/>
      <c r="F16" s="32"/>
      <c r="G16" s="32"/>
      <c r="H16" s="32"/>
      <c r="I16" s="32"/>
      <c r="J16" s="32"/>
      <c r="K16" s="100"/>
      <c r="M16" s="99"/>
      <c r="N16" s="32"/>
      <c r="O16" s="32"/>
      <c r="P16" s="32"/>
      <c r="Q16" s="32"/>
      <c r="R16" s="32"/>
      <c r="S16" s="32"/>
      <c r="T16" s="32"/>
      <c r="U16" s="32"/>
      <c r="V16" s="100"/>
    </row>
    <row r="17" spans="1:22" x14ac:dyDescent="0.2">
      <c r="B17" s="99"/>
      <c r="C17" s="32"/>
      <c r="D17" s="32"/>
      <c r="E17" s="32"/>
      <c r="F17" s="32"/>
      <c r="G17" s="32"/>
      <c r="H17" s="32"/>
      <c r="I17" s="32"/>
      <c r="J17" s="32"/>
      <c r="K17" s="100"/>
      <c r="M17" s="99"/>
      <c r="N17" s="32"/>
      <c r="O17" s="32"/>
      <c r="P17" s="32"/>
      <c r="Q17" s="32"/>
      <c r="R17" s="32"/>
      <c r="S17" s="32"/>
      <c r="T17" s="32"/>
      <c r="U17" s="32"/>
      <c r="V17" s="100"/>
    </row>
    <row r="18" spans="1:22" x14ac:dyDescent="0.2">
      <c r="B18" s="99"/>
      <c r="C18" s="32"/>
      <c r="D18" s="32"/>
      <c r="E18" s="32"/>
      <c r="F18" s="32"/>
      <c r="G18" s="32"/>
      <c r="H18" s="32"/>
      <c r="I18" s="32"/>
      <c r="J18" s="32"/>
      <c r="K18" s="100"/>
      <c r="M18" s="99"/>
      <c r="N18" s="32"/>
      <c r="O18" s="32"/>
      <c r="P18" s="32"/>
      <c r="Q18" s="32"/>
      <c r="R18" s="32"/>
      <c r="S18" s="32"/>
      <c r="T18" s="32"/>
      <c r="U18" s="32"/>
      <c r="V18" s="100"/>
    </row>
    <row r="19" spans="1:22" x14ac:dyDescent="0.2">
      <c r="B19" s="99"/>
      <c r="C19" s="32"/>
      <c r="D19" s="32"/>
      <c r="E19" s="32"/>
      <c r="F19" s="32"/>
      <c r="G19" s="32"/>
      <c r="H19" s="32"/>
      <c r="I19" s="32"/>
      <c r="J19" s="32"/>
      <c r="K19" s="100"/>
      <c r="M19" s="99"/>
      <c r="N19" s="32"/>
      <c r="O19" s="32"/>
      <c r="P19" s="32"/>
      <c r="Q19" s="32"/>
      <c r="R19" s="32"/>
      <c r="S19" s="32"/>
      <c r="T19" s="32"/>
      <c r="U19" s="32"/>
      <c r="V19" s="100"/>
    </row>
    <row r="20" spans="1:22" x14ac:dyDescent="0.2">
      <c r="B20" s="99"/>
      <c r="C20" s="32"/>
      <c r="D20" s="32"/>
      <c r="E20" s="32"/>
      <c r="F20" s="32"/>
      <c r="G20" s="32"/>
      <c r="H20" s="32"/>
      <c r="I20" s="32"/>
      <c r="J20" s="32"/>
      <c r="K20" s="100"/>
      <c r="M20" s="99"/>
      <c r="N20" s="32"/>
      <c r="O20" s="32"/>
      <c r="P20" s="32"/>
      <c r="Q20" s="32"/>
      <c r="R20" s="32"/>
      <c r="S20" s="32"/>
      <c r="T20" s="32"/>
      <c r="U20" s="32"/>
      <c r="V20" s="100"/>
    </row>
    <row r="21" spans="1:22" x14ac:dyDescent="0.2">
      <c r="B21" s="99"/>
      <c r="C21" s="32"/>
      <c r="D21" s="32"/>
      <c r="E21" s="32"/>
      <c r="F21" s="32"/>
      <c r="G21" s="32"/>
      <c r="H21" s="32"/>
      <c r="I21" s="32"/>
      <c r="J21" s="32"/>
      <c r="K21" s="100"/>
      <c r="M21" s="99"/>
      <c r="N21" s="32"/>
      <c r="O21" s="32"/>
      <c r="P21" s="32"/>
      <c r="Q21" s="32"/>
      <c r="R21" s="32"/>
      <c r="S21" s="32"/>
      <c r="T21" s="32"/>
      <c r="U21" s="32"/>
      <c r="V21" s="100"/>
    </row>
    <row r="22" spans="1:22" x14ac:dyDescent="0.2">
      <c r="B22" s="99"/>
      <c r="C22" s="32"/>
      <c r="D22" s="32"/>
      <c r="E22" s="32"/>
      <c r="F22" s="32"/>
      <c r="G22" s="32"/>
      <c r="H22" s="32"/>
      <c r="I22" s="32"/>
      <c r="J22" s="32"/>
      <c r="K22" s="100"/>
      <c r="M22" s="99"/>
      <c r="N22" s="32"/>
      <c r="O22" s="32"/>
      <c r="P22" s="32"/>
      <c r="Q22" s="32"/>
      <c r="R22" s="32"/>
      <c r="S22" s="32"/>
      <c r="T22" s="32"/>
      <c r="U22" s="32"/>
      <c r="V22" s="100"/>
    </row>
    <row r="23" spans="1:22" ht="14.25" customHeight="1" x14ac:dyDescent="0.2">
      <c r="B23" s="99"/>
      <c r="C23" s="204" t="s">
        <v>312</v>
      </c>
      <c r="D23" s="204"/>
      <c r="E23" s="204"/>
      <c r="F23" s="204"/>
      <c r="G23" s="204"/>
      <c r="H23" s="204"/>
      <c r="I23" s="204"/>
      <c r="J23" s="204"/>
      <c r="K23" s="100"/>
      <c r="M23" s="99"/>
      <c r="N23" s="204" t="s">
        <v>319</v>
      </c>
      <c r="O23" s="204"/>
      <c r="P23" s="204"/>
      <c r="Q23" s="204"/>
      <c r="R23" s="204"/>
      <c r="S23" s="204"/>
      <c r="T23" s="204"/>
      <c r="U23" s="204"/>
      <c r="V23" s="100"/>
    </row>
    <row r="24" spans="1:22" x14ac:dyDescent="0.2">
      <c r="B24" s="99"/>
      <c r="C24" s="204"/>
      <c r="D24" s="204"/>
      <c r="E24" s="204"/>
      <c r="F24" s="204"/>
      <c r="G24" s="204"/>
      <c r="H24" s="204"/>
      <c r="I24" s="204"/>
      <c r="J24" s="204"/>
      <c r="K24" s="100"/>
      <c r="M24" s="99"/>
      <c r="N24" s="204"/>
      <c r="O24" s="204"/>
      <c r="P24" s="204"/>
      <c r="Q24" s="204"/>
      <c r="R24" s="204"/>
      <c r="S24" s="204"/>
      <c r="T24" s="204"/>
      <c r="U24" s="204"/>
      <c r="V24" s="100"/>
    </row>
    <row r="25" spans="1:22" x14ac:dyDescent="0.2">
      <c r="B25" s="99"/>
      <c r="C25" s="204"/>
      <c r="D25" s="204"/>
      <c r="E25" s="204"/>
      <c r="F25" s="204"/>
      <c r="G25" s="204"/>
      <c r="H25" s="204"/>
      <c r="I25" s="204"/>
      <c r="J25" s="204"/>
      <c r="K25" s="100"/>
      <c r="M25" s="99"/>
      <c r="N25" s="204"/>
      <c r="O25" s="204"/>
      <c r="P25" s="204"/>
      <c r="Q25" s="204"/>
      <c r="R25" s="204"/>
      <c r="S25" s="204"/>
      <c r="T25" s="204"/>
      <c r="U25" s="204"/>
      <c r="V25" s="100"/>
    </row>
    <row r="26" spans="1:22" ht="15" thickBot="1" x14ac:dyDescent="0.25">
      <c r="B26" s="101"/>
      <c r="C26" s="23"/>
      <c r="D26" s="23"/>
      <c r="E26" s="23"/>
      <c r="F26" s="23"/>
      <c r="G26" s="23"/>
      <c r="H26" s="23"/>
      <c r="I26" s="23"/>
      <c r="J26" s="23"/>
      <c r="K26" s="102"/>
      <c r="M26" s="101"/>
      <c r="N26" s="23"/>
      <c r="O26" s="23"/>
      <c r="P26" s="23"/>
      <c r="Q26" s="23"/>
      <c r="R26" s="23"/>
      <c r="S26" s="23"/>
      <c r="T26" s="23"/>
      <c r="U26" s="23"/>
      <c r="V26" s="102"/>
    </row>
    <row r="27" spans="1:22" ht="13.9" customHeight="1" thickTop="1" x14ac:dyDescent="0.2"/>
    <row r="28" spans="1:22" ht="15" thickBot="1" x14ac:dyDescent="0.25"/>
    <row r="29" spans="1:22" ht="15" thickTop="1" x14ac:dyDescent="0.2">
      <c r="A29" s="22"/>
      <c r="B29" s="96"/>
      <c r="C29" s="97"/>
      <c r="D29" s="97"/>
      <c r="E29" s="97"/>
      <c r="F29" s="97"/>
      <c r="G29" s="97"/>
      <c r="H29" s="97"/>
      <c r="I29" s="97"/>
      <c r="J29" s="97"/>
      <c r="K29" s="98"/>
      <c r="L29" s="22"/>
      <c r="M29" s="96"/>
      <c r="N29" s="97"/>
      <c r="O29" s="97"/>
      <c r="P29" s="97"/>
      <c r="Q29" s="97"/>
      <c r="R29" s="97"/>
      <c r="S29" s="97"/>
      <c r="T29" s="97"/>
      <c r="U29" s="97"/>
      <c r="V29" s="98"/>
    </row>
    <row r="30" spans="1:22" x14ac:dyDescent="0.2">
      <c r="A30" s="22"/>
      <c r="B30" s="99"/>
      <c r="C30" s="32"/>
      <c r="D30" s="32"/>
      <c r="E30" s="32"/>
      <c r="F30" s="32"/>
      <c r="G30" s="32"/>
      <c r="H30" s="32"/>
      <c r="I30" s="32"/>
      <c r="J30" s="32"/>
      <c r="K30" s="100"/>
      <c r="L30" s="22"/>
      <c r="M30" s="99"/>
      <c r="N30" s="32"/>
      <c r="O30" s="32"/>
      <c r="P30" s="32"/>
      <c r="Q30" s="32"/>
      <c r="R30" s="32"/>
      <c r="S30" s="32"/>
      <c r="T30" s="32"/>
      <c r="U30" s="32"/>
      <c r="V30" s="100"/>
    </row>
    <row r="31" spans="1:22" x14ac:dyDescent="0.2">
      <c r="A31" s="22"/>
      <c r="B31" s="99"/>
      <c r="C31" s="205" t="s">
        <v>167</v>
      </c>
      <c r="D31" s="205"/>
      <c r="E31" s="205"/>
      <c r="F31" s="205"/>
      <c r="G31" s="205"/>
      <c r="H31" s="205"/>
      <c r="I31" s="205"/>
      <c r="J31" s="205"/>
      <c r="K31" s="100"/>
      <c r="L31" s="22"/>
      <c r="M31" s="99"/>
      <c r="N31" s="205" t="s">
        <v>254</v>
      </c>
      <c r="O31" s="205"/>
      <c r="P31" s="205"/>
      <c r="Q31" s="205"/>
      <c r="R31" s="205"/>
      <c r="S31" s="205"/>
      <c r="T31" s="205"/>
      <c r="U31" s="205"/>
      <c r="V31" s="100"/>
    </row>
    <row r="32" spans="1:22" x14ac:dyDescent="0.2">
      <c r="A32" s="22"/>
      <c r="B32" s="99"/>
      <c r="C32" s="50"/>
      <c r="D32" s="50"/>
      <c r="E32" s="50"/>
      <c r="F32" s="50"/>
      <c r="G32" s="50"/>
      <c r="H32" s="50"/>
      <c r="I32" s="50"/>
      <c r="J32" s="50"/>
      <c r="K32" s="100"/>
      <c r="L32" s="22"/>
      <c r="M32" s="99"/>
      <c r="N32" s="50"/>
      <c r="O32" s="50"/>
      <c r="P32" s="50"/>
      <c r="Q32" s="50"/>
      <c r="R32" s="50"/>
      <c r="S32" s="50"/>
      <c r="T32" s="50"/>
      <c r="U32" s="50"/>
      <c r="V32" s="100"/>
    </row>
    <row r="33" spans="1:22" x14ac:dyDescent="0.2">
      <c r="A33" s="22"/>
      <c r="B33" s="99"/>
      <c r="C33" s="32"/>
      <c r="D33" s="32"/>
      <c r="E33" s="32"/>
      <c r="F33" s="32"/>
      <c r="G33" s="32"/>
      <c r="H33" s="32"/>
      <c r="I33" s="32"/>
      <c r="J33" s="32"/>
      <c r="K33" s="100"/>
      <c r="L33" s="22"/>
      <c r="M33" s="99"/>
      <c r="N33" s="32"/>
      <c r="O33" s="32"/>
      <c r="P33" s="32"/>
      <c r="Q33" s="32"/>
      <c r="R33" s="32"/>
      <c r="S33" s="32"/>
      <c r="T33" s="32"/>
      <c r="U33" s="32"/>
      <c r="V33" s="100"/>
    </row>
    <row r="34" spans="1:22" x14ac:dyDescent="0.2">
      <c r="A34" s="22"/>
      <c r="B34" s="99"/>
      <c r="C34" s="32"/>
      <c r="D34" s="32"/>
      <c r="E34" s="32"/>
      <c r="F34" s="32"/>
      <c r="G34" s="32"/>
      <c r="H34" s="32"/>
      <c r="I34" s="32"/>
      <c r="J34" s="32"/>
      <c r="K34" s="100"/>
      <c r="L34" s="22"/>
      <c r="M34" s="99"/>
      <c r="N34" s="32"/>
      <c r="O34" s="32"/>
      <c r="P34" s="32"/>
      <c r="Q34" s="32"/>
      <c r="R34" s="32"/>
      <c r="S34" s="32"/>
      <c r="T34" s="32"/>
      <c r="U34" s="32"/>
      <c r="V34" s="100"/>
    </row>
    <row r="35" spans="1:22" x14ac:dyDescent="0.2">
      <c r="A35" s="22"/>
      <c r="B35" s="99"/>
      <c r="C35" s="32"/>
      <c r="D35" s="32"/>
      <c r="E35" s="32"/>
      <c r="F35" s="32"/>
      <c r="G35" s="32"/>
      <c r="H35" s="32"/>
      <c r="I35" s="32"/>
      <c r="J35" s="32"/>
      <c r="K35" s="100"/>
      <c r="L35" s="22"/>
      <c r="M35" s="99"/>
      <c r="N35" s="32"/>
      <c r="O35" s="32"/>
      <c r="P35" s="32"/>
      <c r="Q35" s="32"/>
      <c r="R35" s="32"/>
      <c r="S35" s="32"/>
      <c r="T35" s="32"/>
      <c r="U35" s="32"/>
      <c r="V35" s="100"/>
    </row>
    <row r="36" spans="1:22" x14ac:dyDescent="0.2">
      <c r="B36" s="99"/>
      <c r="C36" s="32"/>
      <c r="D36" s="32"/>
      <c r="E36" s="32"/>
      <c r="F36" s="32"/>
      <c r="G36" s="32"/>
      <c r="H36" s="32"/>
      <c r="I36" s="32"/>
      <c r="J36" s="32"/>
      <c r="K36" s="100"/>
      <c r="M36" s="99"/>
      <c r="N36" s="32"/>
      <c r="O36" s="32"/>
      <c r="P36" s="32"/>
      <c r="Q36" s="32"/>
      <c r="R36" s="32"/>
      <c r="S36" s="32"/>
      <c r="T36" s="32"/>
      <c r="U36" s="32"/>
      <c r="V36" s="100"/>
    </row>
    <row r="37" spans="1:22" x14ac:dyDescent="0.2">
      <c r="B37" s="99"/>
      <c r="C37" s="32"/>
      <c r="D37" s="32"/>
      <c r="E37" s="32"/>
      <c r="F37" s="32"/>
      <c r="G37" s="32"/>
      <c r="H37" s="32"/>
      <c r="I37" s="32"/>
      <c r="J37" s="32"/>
      <c r="K37" s="100"/>
      <c r="M37" s="99"/>
      <c r="N37" s="32"/>
      <c r="O37" s="32"/>
      <c r="P37" s="32"/>
      <c r="Q37" s="32"/>
      <c r="R37" s="32"/>
      <c r="S37" s="32"/>
      <c r="T37" s="32"/>
      <c r="U37" s="32"/>
      <c r="V37" s="100"/>
    </row>
    <row r="38" spans="1:22" x14ac:dyDescent="0.2">
      <c r="B38" s="99"/>
      <c r="C38" s="32"/>
      <c r="D38" s="32"/>
      <c r="E38" s="32"/>
      <c r="F38" s="32"/>
      <c r="G38" s="32"/>
      <c r="H38" s="32"/>
      <c r="I38" s="32"/>
      <c r="J38" s="32"/>
      <c r="K38" s="100"/>
      <c r="M38" s="99"/>
      <c r="N38" s="32"/>
      <c r="O38" s="32"/>
      <c r="P38" s="32"/>
      <c r="Q38" s="32"/>
      <c r="R38" s="32"/>
      <c r="S38" s="32"/>
      <c r="T38" s="32"/>
      <c r="U38" s="32"/>
      <c r="V38" s="100"/>
    </row>
    <row r="39" spans="1:22" x14ac:dyDescent="0.2">
      <c r="B39" s="99"/>
      <c r="C39" s="32"/>
      <c r="D39" s="32"/>
      <c r="E39" s="32"/>
      <c r="F39" s="32"/>
      <c r="G39" s="32"/>
      <c r="H39" s="32"/>
      <c r="I39" s="32"/>
      <c r="J39" s="32"/>
      <c r="K39" s="100"/>
      <c r="M39" s="99"/>
      <c r="N39" s="32"/>
      <c r="O39" s="32"/>
      <c r="P39" s="32"/>
      <c r="Q39" s="32"/>
      <c r="R39" s="32"/>
      <c r="S39" s="32"/>
      <c r="T39" s="32"/>
      <c r="U39" s="32"/>
      <c r="V39" s="100"/>
    </row>
    <row r="40" spans="1:22" x14ac:dyDescent="0.2">
      <c r="B40" s="99"/>
      <c r="C40" s="32"/>
      <c r="D40" s="32"/>
      <c r="E40" s="32"/>
      <c r="F40" s="32"/>
      <c r="G40" s="32"/>
      <c r="H40" s="32"/>
      <c r="I40" s="32"/>
      <c r="J40" s="32"/>
      <c r="K40" s="100"/>
      <c r="L40" s="34"/>
      <c r="M40" s="99"/>
      <c r="N40" s="32"/>
      <c r="O40" s="32"/>
      <c r="P40" s="32"/>
      <c r="Q40" s="32"/>
      <c r="R40" s="32"/>
      <c r="S40" s="32"/>
      <c r="T40" s="32"/>
      <c r="U40" s="32"/>
      <c r="V40" s="100"/>
    </row>
    <row r="41" spans="1:22" x14ac:dyDescent="0.2">
      <c r="B41" s="99"/>
      <c r="C41" s="32"/>
      <c r="D41" s="32"/>
      <c r="E41" s="32"/>
      <c r="F41" s="32"/>
      <c r="G41" s="32"/>
      <c r="H41" s="32"/>
      <c r="I41" s="32"/>
      <c r="J41" s="32"/>
      <c r="K41" s="100"/>
      <c r="L41" s="34"/>
      <c r="M41" s="99"/>
      <c r="N41" s="32"/>
      <c r="O41" s="32"/>
      <c r="P41" s="32"/>
      <c r="Q41" s="32"/>
      <c r="R41" s="32"/>
      <c r="S41" s="32"/>
      <c r="T41" s="32"/>
      <c r="U41" s="32"/>
      <c r="V41" s="100"/>
    </row>
    <row r="42" spans="1:22" x14ac:dyDescent="0.2">
      <c r="B42" s="99"/>
      <c r="C42" s="32"/>
      <c r="D42" s="32"/>
      <c r="E42" s="32"/>
      <c r="F42" s="32"/>
      <c r="G42" s="32"/>
      <c r="H42" s="32"/>
      <c r="I42" s="32"/>
      <c r="J42" s="32"/>
      <c r="K42" s="100"/>
      <c r="L42" s="34"/>
      <c r="M42" s="99"/>
      <c r="N42" s="32"/>
      <c r="O42" s="32"/>
      <c r="P42" s="32"/>
      <c r="Q42" s="32"/>
      <c r="R42" s="32"/>
      <c r="S42" s="32"/>
      <c r="T42" s="32"/>
      <c r="U42" s="32"/>
      <c r="V42" s="100"/>
    </row>
    <row r="43" spans="1:22" x14ac:dyDescent="0.2">
      <c r="B43" s="99"/>
      <c r="C43" s="32"/>
      <c r="D43" s="32"/>
      <c r="E43" s="32"/>
      <c r="F43" s="32"/>
      <c r="G43" s="32"/>
      <c r="H43" s="32"/>
      <c r="I43" s="32"/>
      <c r="J43" s="32"/>
      <c r="K43" s="100"/>
      <c r="L43" s="34"/>
      <c r="M43" s="99"/>
      <c r="N43" s="32"/>
      <c r="O43" s="32"/>
      <c r="P43" s="32"/>
      <c r="Q43" s="32"/>
      <c r="R43" s="32"/>
      <c r="S43" s="32"/>
      <c r="T43" s="32"/>
      <c r="U43" s="32"/>
      <c r="V43" s="100"/>
    </row>
    <row r="44" spans="1:22" x14ac:dyDescent="0.2">
      <c r="B44" s="99"/>
      <c r="C44" s="32"/>
      <c r="D44" s="32"/>
      <c r="E44" s="32"/>
      <c r="F44" s="32"/>
      <c r="G44" s="32"/>
      <c r="H44" s="32"/>
      <c r="I44" s="32"/>
      <c r="J44" s="32"/>
      <c r="K44" s="100"/>
      <c r="L44" s="34"/>
      <c r="M44" s="99"/>
      <c r="N44" s="32"/>
      <c r="O44" s="32"/>
      <c r="P44" s="32"/>
      <c r="Q44" s="32"/>
      <c r="R44" s="32"/>
      <c r="S44" s="32"/>
      <c r="T44" s="32"/>
      <c r="U44" s="32"/>
      <c r="V44" s="100"/>
    </row>
    <row r="45" spans="1:22" x14ac:dyDescent="0.2">
      <c r="B45" s="99"/>
      <c r="C45" s="32"/>
      <c r="D45" s="32"/>
      <c r="E45" s="32"/>
      <c r="F45" s="32"/>
      <c r="G45" s="32"/>
      <c r="H45" s="32"/>
      <c r="I45" s="32"/>
      <c r="J45" s="32"/>
      <c r="K45" s="100"/>
      <c r="L45" s="34"/>
      <c r="M45" s="99"/>
      <c r="N45" s="32"/>
      <c r="O45" s="32"/>
      <c r="P45" s="32"/>
      <c r="Q45" s="32"/>
      <c r="R45" s="32"/>
      <c r="S45" s="32"/>
      <c r="T45" s="32"/>
      <c r="U45" s="32"/>
      <c r="V45" s="100"/>
    </row>
    <row r="46" spans="1:22" x14ac:dyDescent="0.2">
      <c r="B46" s="99"/>
      <c r="C46" s="32"/>
      <c r="D46" s="32"/>
      <c r="E46" s="32"/>
      <c r="F46" s="32"/>
      <c r="G46" s="32"/>
      <c r="H46" s="32"/>
      <c r="I46" s="32"/>
      <c r="J46" s="32"/>
      <c r="K46" s="100"/>
      <c r="L46" s="34"/>
      <c r="M46" s="99"/>
      <c r="N46" s="32"/>
      <c r="O46" s="32"/>
      <c r="P46" s="32"/>
      <c r="Q46" s="32"/>
      <c r="R46" s="32"/>
      <c r="S46" s="32"/>
      <c r="T46" s="32"/>
      <c r="U46" s="32"/>
      <c r="V46" s="100"/>
    </row>
    <row r="47" spans="1:22" x14ac:dyDescent="0.2">
      <c r="B47" s="99"/>
      <c r="C47" s="32"/>
      <c r="D47" s="32"/>
      <c r="E47" s="32"/>
      <c r="F47" s="32"/>
      <c r="G47" s="32"/>
      <c r="H47" s="32"/>
      <c r="I47" s="32"/>
      <c r="J47" s="32"/>
      <c r="K47" s="100"/>
      <c r="L47" s="34"/>
      <c r="M47" s="99"/>
      <c r="N47" s="32"/>
      <c r="O47" s="32"/>
      <c r="P47" s="32"/>
      <c r="Q47" s="32"/>
      <c r="R47" s="32"/>
      <c r="S47" s="32"/>
      <c r="T47" s="32"/>
      <c r="U47" s="32"/>
      <c r="V47" s="100"/>
    </row>
    <row r="48" spans="1:22" x14ac:dyDescent="0.2">
      <c r="B48" s="99"/>
      <c r="C48" s="32"/>
      <c r="D48" s="32"/>
      <c r="E48" s="32"/>
      <c r="F48" s="32"/>
      <c r="G48" s="32"/>
      <c r="H48" s="32"/>
      <c r="I48" s="32"/>
      <c r="J48" s="32"/>
      <c r="K48" s="100"/>
      <c r="L48" s="34"/>
      <c r="M48" s="99"/>
      <c r="N48" s="32"/>
      <c r="O48" s="32"/>
      <c r="P48" s="32"/>
      <c r="Q48" s="32"/>
      <c r="R48" s="32"/>
      <c r="S48" s="32"/>
      <c r="T48" s="32"/>
      <c r="U48" s="32"/>
      <c r="V48" s="100"/>
    </row>
    <row r="49" spans="2:22" x14ac:dyDescent="0.2">
      <c r="B49" s="99"/>
      <c r="C49" s="32"/>
      <c r="D49" s="32"/>
      <c r="E49" s="32"/>
      <c r="F49" s="32"/>
      <c r="G49" s="32"/>
      <c r="H49" s="32"/>
      <c r="I49" s="32"/>
      <c r="J49" s="32"/>
      <c r="K49" s="100"/>
      <c r="L49" s="34"/>
      <c r="M49" s="99"/>
      <c r="N49" s="32"/>
      <c r="O49" s="32"/>
      <c r="P49" s="32"/>
      <c r="Q49" s="32"/>
      <c r="R49" s="32"/>
      <c r="S49" s="32"/>
      <c r="T49" s="32"/>
      <c r="U49" s="32"/>
      <c r="V49" s="100"/>
    </row>
    <row r="50" spans="2:22" x14ac:dyDescent="0.2">
      <c r="B50" s="99"/>
      <c r="C50" s="32"/>
      <c r="D50" s="32"/>
      <c r="E50" s="32"/>
      <c r="F50" s="32"/>
      <c r="G50" s="32"/>
      <c r="H50" s="32"/>
      <c r="I50" s="32"/>
      <c r="J50" s="32"/>
      <c r="K50" s="100"/>
      <c r="L50" s="34"/>
      <c r="M50" s="99"/>
      <c r="N50" s="32"/>
      <c r="O50" s="32"/>
      <c r="P50" s="32"/>
      <c r="Q50" s="32"/>
      <c r="R50" s="32"/>
      <c r="S50" s="32"/>
      <c r="T50" s="32"/>
      <c r="U50" s="32"/>
      <c r="V50" s="100"/>
    </row>
    <row r="51" spans="2:22" ht="14.25" customHeight="1" x14ac:dyDescent="0.2">
      <c r="B51" s="99"/>
      <c r="C51" s="204" t="s">
        <v>312</v>
      </c>
      <c r="D51" s="204"/>
      <c r="E51" s="204"/>
      <c r="F51" s="204"/>
      <c r="G51" s="204"/>
      <c r="H51" s="204"/>
      <c r="I51" s="204"/>
      <c r="J51" s="204"/>
      <c r="K51" s="100"/>
      <c r="L51" s="34"/>
      <c r="M51" s="99"/>
      <c r="N51" s="204" t="s">
        <v>313</v>
      </c>
      <c r="O51" s="204"/>
      <c r="P51" s="204"/>
      <c r="Q51" s="204"/>
      <c r="R51" s="204"/>
      <c r="S51" s="204"/>
      <c r="T51" s="204"/>
      <c r="U51" s="204"/>
      <c r="V51" s="100"/>
    </row>
    <row r="52" spans="2:22" x14ac:dyDescent="0.2">
      <c r="B52" s="99"/>
      <c r="C52" s="204"/>
      <c r="D52" s="204"/>
      <c r="E52" s="204"/>
      <c r="F52" s="204"/>
      <c r="G52" s="204"/>
      <c r="H52" s="204"/>
      <c r="I52" s="204"/>
      <c r="J52" s="204"/>
      <c r="K52" s="100"/>
      <c r="L52" s="34"/>
      <c r="M52" s="99"/>
      <c r="N52" s="204"/>
      <c r="O52" s="204"/>
      <c r="P52" s="204"/>
      <c r="Q52" s="204"/>
      <c r="R52" s="204"/>
      <c r="S52" s="204"/>
      <c r="T52" s="204"/>
      <c r="U52" s="204"/>
      <c r="V52" s="100"/>
    </row>
    <row r="53" spans="2:22" x14ac:dyDescent="0.2">
      <c r="B53" s="99"/>
      <c r="C53" s="204"/>
      <c r="D53" s="204"/>
      <c r="E53" s="204"/>
      <c r="F53" s="204"/>
      <c r="G53" s="204"/>
      <c r="H53" s="204"/>
      <c r="I53" s="204"/>
      <c r="J53" s="204"/>
      <c r="K53" s="100"/>
      <c r="L53" s="40"/>
      <c r="M53" s="99"/>
      <c r="N53" s="204"/>
      <c r="O53" s="204"/>
      <c r="P53" s="204"/>
      <c r="Q53" s="204"/>
      <c r="R53" s="204"/>
      <c r="S53" s="204"/>
      <c r="T53" s="204"/>
      <c r="U53" s="204"/>
      <c r="V53" s="100"/>
    </row>
    <row r="54" spans="2:22" ht="15" thickBot="1" x14ac:dyDescent="0.25">
      <c r="B54" s="101"/>
      <c r="C54" s="23"/>
      <c r="D54" s="23"/>
      <c r="E54" s="23"/>
      <c r="F54" s="23"/>
      <c r="G54" s="23"/>
      <c r="H54" s="23"/>
      <c r="I54" s="23"/>
      <c r="J54" s="23"/>
      <c r="K54" s="102"/>
      <c r="L54" s="34"/>
      <c r="M54" s="101"/>
      <c r="N54" s="23"/>
      <c r="O54" s="23"/>
      <c r="P54" s="23"/>
      <c r="Q54" s="23"/>
      <c r="R54" s="23"/>
      <c r="S54" s="23"/>
      <c r="T54" s="23"/>
      <c r="U54" s="23"/>
      <c r="V54" s="102"/>
    </row>
    <row r="55" spans="2:22" ht="15" thickTop="1" x14ac:dyDescent="0.2">
      <c r="B55" s="22"/>
      <c r="C55" s="22"/>
      <c r="D55" s="22"/>
      <c r="E55" s="22"/>
      <c r="F55" s="22"/>
      <c r="G55" s="22"/>
      <c r="H55" s="22"/>
      <c r="I55" s="22"/>
      <c r="J55" s="22"/>
      <c r="K55" s="22"/>
      <c r="L55" s="34"/>
      <c r="M55" s="34"/>
    </row>
    <row r="56" spans="2:22" ht="15" thickBot="1" x14ac:dyDescent="0.25">
      <c r="B56" s="22"/>
      <c r="C56" s="22"/>
      <c r="D56" s="22"/>
      <c r="E56" s="22"/>
      <c r="F56" s="22"/>
      <c r="G56" s="22"/>
      <c r="H56" s="22"/>
      <c r="I56" s="22"/>
      <c r="J56" s="22"/>
      <c r="K56" s="22"/>
      <c r="L56" s="34"/>
      <c r="M56" s="34"/>
    </row>
    <row r="57" spans="2:22" ht="15" thickTop="1" x14ac:dyDescent="0.2">
      <c r="B57" s="22"/>
      <c r="C57" s="22"/>
      <c r="D57" s="22"/>
      <c r="E57" s="22"/>
      <c r="F57" s="22"/>
      <c r="G57" s="22"/>
      <c r="H57" s="22"/>
      <c r="I57" s="22"/>
      <c r="J57" s="22"/>
      <c r="K57" s="195" t="s">
        <v>147</v>
      </c>
      <c r="L57" s="195"/>
      <c r="M57" s="11"/>
      <c r="N57" s="12"/>
      <c r="O57" s="12"/>
      <c r="P57" s="12"/>
      <c r="Q57" s="12"/>
      <c r="R57" s="12"/>
      <c r="S57" s="12"/>
      <c r="T57" s="12"/>
      <c r="U57" s="12"/>
      <c r="V57" s="13"/>
    </row>
    <row r="58" spans="2:22" x14ac:dyDescent="0.2">
      <c r="B58" s="206"/>
      <c r="C58" s="206"/>
      <c r="D58" s="22"/>
      <c r="E58" s="22"/>
      <c r="F58" s="22"/>
      <c r="G58" s="22"/>
      <c r="H58" s="22"/>
      <c r="I58" s="22"/>
      <c r="J58" s="22"/>
      <c r="K58" s="22"/>
      <c r="L58" s="34"/>
      <c r="M58" s="99"/>
      <c r="N58" s="32"/>
      <c r="O58" s="32"/>
      <c r="P58" s="32"/>
      <c r="Q58" s="32"/>
      <c r="R58" s="32"/>
      <c r="S58" s="32"/>
      <c r="T58" s="32"/>
      <c r="U58" s="32"/>
      <c r="V58" s="100"/>
    </row>
    <row r="59" spans="2:22" x14ac:dyDescent="0.2">
      <c r="B59" s="73"/>
      <c r="C59" s="73"/>
      <c r="D59" s="22"/>
      <c r="E59" s="22"/>
      <c r="F59" s="22"/>
      <c r="G59" s="22"/>
      <c r="H59" s="22"/>
      <c r="I59" s="22"/>
      <c r="J59" s="22"/>
      <c r="K59" s="22"/>
      <c r="L59" s="34"/>
      <c r="M59" s="99"/>
      <c r="N59" s="207" t="s">
        <v>253</v>
      </c>
      <c r="O59" s="207"/>
      <c r="P59" s="207"/>
      <c r="Q59" s="207"/>
      <c r="R59" s="207"/>
      <c r="S59" s="207"/>
      <c r="T59" s="207"/>
      <c r="U59" s="207"/>
      <c r="V59" s="100"/>
    </row>
    <row r="60" spans="2:22" x14ac:dyDescent="0.2">
      <c r="B60" s="128"/>
      <c r="C60" s="128"/>
      <c r="D60" s="22"/>
      <c r="E60" s="22"/>
      <c r="F60" s="22"/>
      <c r="G60" s="22"/>
      <c r="H60" s="22"/>
      <c r="I60" s="22"/>
      <c r="J60" s="22"/>
      <c r="K60" s="22"/>
      <c r="L60" s="34"/>
      <c r="M60" s="99"/>
      <c r="N60" s="207"/>
      <c r="O60" s="207"/>
      <c r="P60" s="207"/>
      <c r="Q60" s="207"/>
      <c r="R60" s="207"/>
      <c r="S60" s="207"/>
      <c r="T60" s="207"/>
      <c r="U60" s="207"/>
      <c r="V60" s="100"/>
    </row>
    <row r="61" spans="2:22" x14ac:dyDescent="0.2">
      <c r="B61" s="73"/>
      <c r="C61" s="73"/>
      <c r="D61" s="22"/>
      <c r="E61" s="22"/>
      <c r="F61" s="22"/>
      <c r="G61" s="22"/>
      <c r="H61" s="22"/>
      <c r="I61" s="22"/>
      <c r="J61" s="22"/>
      <c r="K61" s="22"/>
      <c r="L61" s="34"/>
      <c r="M61" s="99"/>
      <c r="N61" s="50"/>
      <c r="O61" s="50"/>
      <c r="P61" s="50"/>
      <c r="Q61" s="50"/>
      <c r="R61" s="50"/>
      <c r="S61" s="50"/>
      <c r="T61" s="50"/>
      <c r="U61" s="50"/>
      <c r="V61" s="100"/>
    </row>
    <row r="62" spans="2:22" x14ac:dyDescent="0.2">
      <c r="B62" s="73"/>
      <c r="C62" s="73"/>
      <c r="D62" s="22"/>
      <c r="E62" s="22"/>
      <c r="F62" s="22"/>
      <c r="G62" s="22"/>
      <c r="H62" s="22"/>
      <c r="I62" s="22"/>
      <c r="J62" s="22"/>
      <c r="K62" s="22"/>
      <c r="L62" s="34"/>
      <c r="M62" s="99"/>
      <c r="N62" s="32"/>
      <c r="O62" s="32"/>
      <c r="P62" s="32"/>
      <c r="Q62" s="32"/>
      <c r="R62" s="32"/>
      <c r="S62" s="32"/>
      <c r="T62" s="32"/>
      <c r="U62" s="32"/>
      <c r="V62" s="100"/>
    </row>
    <row r="63" spans="2:22" x14ac:dyDescent="0.2">
      <c r="B63" s="73"/>
      <c r="C63" s="73"/>
      <c r="D63" s="22"/>
      <c r="E63" s="22"/>
      <c r="F63" s="22"/>
      <c r="G63" s="22"/>
      <c r="H63" s="22"/>
      <c r="I63" s="22"/>
      <c r="J63" s="22"/>
      <c r="K63" s="22"/>
      <c r="L63" s="34"/>
      <c r="M63" s="99"/>
      <c r="N63" s="32"/>
      <c r="O63" s="32"/>
      <c r="P63" s="32"/>
      <c r="Q63" s="32"/>
      <c r="R63" s="32"/>
      <c r="S63" s="32"/>
      <c r="T63" s="32"/>
      <c r="U63" s="32"/>
      <c r="V63" s="100"/>
    </row>
    <row r="64" spans="2:22" x14ac:dyDescent="0.2">
      <c r="B64" s="73"/>
      <c r="C64" s="73"/>
      <c r="D64" s="22"/>
      <c r="E64" s="22"/>
      <c r="F64" s="22"/>
      <c r="G64" s="22"/>
      <c r="H64" s="22"/>
      <c r="I64" s="22"/>
      <c r="J64" s="22"/>
      <c r="K64" s="22"/>
      <c r="L64" s="34"/>
      <c r="M64" s="99"/>
      <c r="N64" s="32"/>
      <c r="O64" s="32"/>
      <c r="P64" s="32"/>
      <c r="Q64" s="32"/>
      <c r="R64" s="32"/>
      <c r="S64" s="32"/>
      <c r="T64" s="32"/>
      <c r="U64" s="32"/>
      <c r="V64" s="100"/>
    </row>
    <row r="65" spans="2:22" x14ac:dyDescent="0.2">
      <c r="B65" s="73"/>
      <c r="C65" s="73"/>
      <c r="D65" s="22"/>
      <c r="E65" s="22"/>
      <c r="F65" s="22"/>
      <c r="G65" s="22"/>
      <c r="H65" s="22"/>
      <c r="I65" s="22"/>
      <c r="J65" s="22"/>
      <c r="K65" s="22"/>
      <c r="L65" s="34"/>
      <c r="M65" s="99"/>
      <c r="N65" s="32"/>
      <c r="O65" s="32"/>
      <c r="P65" s="32"/>
      <c r="Q65" s="32"/>
      <c r="R65" s="32"/>
      <c r="S65" s="32"/>
      <c r="T65" s="32"/>
      <c r="U65" s="32"/>
      <c r="V65" s="100"/>
    </row>
    <row r="66" spans="2:22" x14ac:dyDescent="0.2">
      <c r="B66" s="73"/>
      <c r="C66" s="73"/>
      <c r="D66" s="22"/>
      <c r="E66" s="22"/>
      <c r="F66" s="22"/>
      <c r="G66" s="22"/>
      <c r="H66" s="22"/>
      <c r="I66" s="22"/>
      <c r="J66" s="22"/>
      <c r="K66" s="22"/>
      <c r="L66" s="34"/>
      <c r="M66" s="99"/>
      <c r="N66" s="32"/>
      <c r="O66" s="32"/>
      <c r="P66" s="32"/>
      <c r="Q66" s="32"/>
      <c r="R66" s="32"/>
      <c r="S66" s="32"/>
      <c r="T66" s="32"/>
      <c r="U66" s="32"/>
      <c r="V66" s="100"/>
    </row>
    <row r="67" spans="2:22" x14ac:dyDescent="0.2">
      <c r="B67" s="73"/>
      <c r="C67" s="73"/>
      <c r="D67" s="22"/>
      <c r="E67" s="22"/>
      <c r="F67" s="22"/>
      <c r="G67" s="22"/>
      <c r="H67" s="22"/>
      <c r="I67" s="22"/>
      <c r="J67" s="22"/>
      <c r="K67" s="22"/>
      <c r="L67" s="34"/>
      <c r="M67" s="99"/>
      <c r="N67" s="32"/>
      <c r="O67" s="32"/>
      <c r="P67" s="32"/>
      <c r="Q67" s="32"/>
      <c r="R67" s="32"/>
      <c r="S67" s="32"/>
      <c r="T67" s="32"/>
      <c r="U67" s="32"/>
      <c r="V67" s="100"/>
    </row>
    <row r="68" spans="2:22" x14ac:dyDescent="0.2">
      <c r="B68" s="73"/>
      <c r="C68" s="73"/>
      <c r="D68" s="22"/>
      <c r="E68" s="22"/>
      <c r="F68" s="22"/>
      <c r="G68" s="22"/>
      <c r="H68" s="22"/>
      <c r="I68" s="22"/>
      <c r="J68" s="22"/>
      <c r="K68" s="22"/>
      <c r="L68" s="34"/>
      <c r="M68" s="99"/>
      <c r="N68" s="32"/>
      <c r="O68" s="32"/>
      <c r="P68" s="32"/>
      <c r="Q68" s="32"/>
      <c r="R68" s="32"/>
      <c r="S68" s="32"/>
      <c r="T68" s="32"/>
      <c r="U68" s="32"/>
      <c r="V68" s="100"/>
    </row>
    <row r="69" spans="2:22" x14ac:dyDescent="0.2">
      <c r="B69" s="73"/>
      <c r="C69" s="73"/>
      <c r="D69" s="22"/>
      <c r="E69" s="22"/>
      <c r="F69" s="22"/>
      <c r="G69" s="22"/>
      <c r="H69" s="22"/>
      <c r="I69" s="22"/>
      <c r="J69" s="22"/>
      <c r="K69" s="22"/>
      <c r="L69" s="34"/>
      <c r="M69" s="99"/>
      <c r="N69" s="32"/>
      <c r="O69" s="32"/>
      <c r="P69" s="32"/>
      <c r="Q69" s="32"/>
      <c r="R69" s="32"/>
      <c r="S69" s="32"/>
      <c r="T69" s="32"/>
      <c r="U69" s="32"/>
      <c r="V69" s="100"/>
    </row>
    <row r="70" spans="2:22" x14ac:dyDescent="0.2">
      <c r="B70" s="73"/>
      <c r="C70" s="73"/>
      <c r="D70" s="22"/>
      <c r="E70" s="22"/>
      <c r="F70" s="22"/>
      <c r="G70" s="22"/>
      <c r="H70" s="22"/>
      <c r="I70" s="22"/>
      <c r="J70" s="22"/>
      <c r="K70" s="22"/>
      <c r="L70" s="34"/>
      <c r="M70" s="99"/>
      <c r="N70" s="32"/>
      <c r="O70" s="32"/>
      <c r="P70" s="32"/>
      <c r="Q70" s="32"/>
      <c r="R70" s="32"/>
      <c r="S70" s="32"/>
      <c r="T70" s="32"/>
      <c r="U70" s="32"/>
      <c r="V70" s="100"/>
    </row>
    <row r="71" spans="2:22" x14ac:dyDescent="0.2">
      <c r="B71" s="73"/>
      <c r="C71" s="73"/>
      <c r="D71" s="22"/>
      <c r="E71" s="22"/>
      <c r="F71" s="22"/>
      <c r="G71" s="22"/>
      <c r="H71" s="22"/>
      <c r="I71" s="22"/>
      <c r="J71" s="22"/>
      <c r="K71" s="22"/>
      <c r="L71" s="34"/>
      <c r="M71" s="99"/>
      <c r="N71" s="32"/>
      <c r="O71" s="32"/>
      <c r="P71" s="32"/>
      <c r="Q71" s="32"/>
      <c r="R71" s="32"/>
      <c r="S71" s="32"/>
      <c r="T71" s="32"/>
      <c r="U71" s="32"/>
      <c r="V71" s="100"/>
    </row>
    <row r="72" spans="2:22" x14ac:dyDescent="0.2">
      <c r="B72" s="73"/>
      <c r="C72" s="73"/>
      <c r="D72" s="22"/>
      <c r="E72" s="22"/>
      <c r="F72" s="22"/>
      <c r="G72" s="22"/>
      <c r="H72" s="22"/>
      <c r="I72" s="22"/>
      <c r="J72" s="22"/>
      <c r="K72" s="22"/>
      <c r="L72" s="34"/>
      <c r="M72" s="99"/>
      <c r="N72" s="32"/>
      <c r="O72" s="32"/>
      <c r="P72" s="32"/>
      <c r="Q72" s="32"/>
      <c r="R72" s="32"/>
      <c r="S72" s="32"/>
      <c r="T72" s="32"/>
      <c r="U72" s="32"/>
      <c r="V72" s="100"/>
    </row>
    <row r="73" spans="2:22" x14ac:dyDescent="0.2">
      <c r="B73" s="73"/>
      <c r="C73" s="73"/>
      <c r="D73" s="22"/>
      <c r="E73" s="22"/>
      <c r="F73" s="22"/>
      <c r="G73" s="22"/>
      <c r="H73" s="22"/>
      <c r="I73" s="22"/>
      <c r="J73" s="22"/>
      <c r="K73" s="22"/>
      <c r="L73" s="34"/>
      <c r="M73" s="99"/>
      <c r="N73" s="32"/>
      <c r="O73" s="32"/>
      <c r="P73" s="32"/>
      <c r="Q73" s="32"/>
      <c r="R73" s="32"/>
      <c r="S73" s="32"/>
      <c r="T73" s="32"/>
      <c r="U73" s="32"/>
      <c r="V73" s="100"/>
    </row>
    <row r="74" spans="2:22" x14ac:dyDescent="0.2">
      <c r="B74" s="73"/>
      <c r="C74" s="73"/>
      <c r="D74" s="22"/>
      <c r="E74" s="22"/>
      <c r="F74" s="22"/>
      <c r="G74" s="22"/>
      <c r="H74" s="22"/>
      <c r="I74" s="22"/>
      <c r="J74" s="22"/>
      <c r="K74" s="22"/>
      <c r="L74" s="34"/>
      <c r="M74" s="99"/>
      <c r="N74" s="32"/>
      <c r="O74" s="32"/>
      <c r="P74" s="32"/>
      <c r="Q74" s="32"/>
      <c r="R74" s="32"/>
      <c r="S74" s="32"/>
      <c r="T74" s="32"/>
      <c r="U74" s="32"/>
      <c r="V74" s="100"/>
    </row>
    <row r="75" spans="2:22" x14ac:dyDescent="0.2">
      <c r="B75" s="73"/>
      <c r="C75" s="73"/>
      <c r="D75" s="22"/>
      <c r="E75" s="22"/>
      <c r="F75" s="22"/>
      <c r="G75" s="22"/>
      <c r="H75" s="22"/>
      <c r="I75" s="22"/>
      <c r="J75" s="22"/>
      <c r="K75" s="22"/>
      <c r="L75" s="34"/>
      <c r="M75" s="99"/>
      <c r="N75" s="32"/>
      <c r="O75" s="32"/>
      <c r="P75" s="32"/>
      <c r="Q75" s="32"/>
      <c r="R75" s="32"/>
      <c r="S75" s="32"/>
      <c r="T75" s="32"/>
      <c r="U75" s="32"/>
      <c r="V75" s="100"/>
    </row>
    <row r="76" spans="2:22" x14ac:dyDescent="0.2">
      <c r="B76" s="73"/>
      <c r="C76" s="73"/>
      <c r="D76" s="22"/>
      <c r="E76" s="22"/>
      <c r="F76" s="22"/>
      <c r="G76" s="22"/>
      <c r="H76" s="22"/>
      <c r="I76" s="22"/>
      <c r="J76" s="22"/>
      <c r="K76" s="22"/>
      <c r="L76" s="34"/>
      <c r="M76" s="99"/>
      <c r="N76" s="32"/>
      <c r="O76" s="32"/>
      <c r="P76" s="32"/>
      <c r="Q76" s="32"/>
      <c r="R76" s="32"/>
      <c r="S76" s="32"/>
      <c r="T76" s="32"/>
      <c r="U76" s="32"/>
      <c r="V76" s="100"/>
    </row>
    <row r="77" spans="2:22" x14ac:dyDescent="0.2">
      <c r="B77" s="73"/>
      <c r="C77" s="73"/>
      <c r="D77" s="22"/>
      <c r="E77" s="22"/>
      <c r="F77" s="22"/>
      <c r="G77" s="22"/>
      <c r="H77" s="22"/>
      <c r="I77" s="22"/>
      <c r="J77" s="22"/>
      <c r="K77" s="22"/>
      <c r="L77" s="34"/>
      <c r="M77" s="99"/>
      <c r="N77" s="32"/>
      <c r="O77" s="32"/>
      <c r="P77" s="32"/>
      <c r="Q77" s="32"/>
      <c r="R77" s="32"/>
      <c r="S77" s="32"/>
      <c r="T77" s="32"/>
      <c r="U77" s="32"/>
      <c r="V77" s="100"/>
    </row>
    <row r="78" spans="2:22" x14ac:dyDescent="0.2">
      <c r="B78" s="73"/>
      <c r="C78" s="73"/>
      <c r="D78" s="22"/>
      <c r="E78" s="22"/>
      <c r="F78" s="22"/>
      <c r="G78" s="22"/>
      <c r="H78" s="22"/>
      <c r="I78" s="22"/>
      <c r="J78" s="22"/>
      <c r="K78" s="22"/>
      <c r="L78" s="34"/>
      <c r="M78" s="99"/>
      <c r="N78" s="32"/>
      <c r="O78" s="32"/>
      <c r="P78" s="32"/>
      <c r="Q78" s="32"/>
      <c r="R78" s="32"/>
      <c r="S78" s="32"/>
      <c r="T78" s="32"/>
      <c r="U78" s="32"/>
      <c r="V78" s="100"/>
    </row>
    <row r="79" spans="2:22" x14ac:dyDescent="0.2">
      <c r="B79" s="73"/>
      <c r="C79" s="73"/>
      <c r="D79" s="22"/>
      <c r="E79" s="22"/>
      <c r="F79" s="22"/>
      <c r="G79" s="22"/>
      <c r="H79" s="22"/>
      <c r="I79" s="22"/>
      <c r="J79" s="22"/>
      <c r="K79" s="22"/>
      <c r="L79" s="34"/>
      <c r="M79" s="99"/>
      <c r="N79" s="32"/>
      <c r="O79" s="32"/>
      <c r="P79" s="32"/>
      <c r="Q79" s="32"/>
      <c r="R79" s="32"/>
      <c r="S79" s="32"/>
      <c r="T79" s="32"/>
      <c r="U79" s="32"/>
      <c r="V79" s="100"/>
    </row>
    <row r="80" spans="2:22" x14ac:dyDescent="0.2">
      <c r="B80" s="73"/>
      <c r="C80" s="73"/>
      <c r="D80" s="22"/>
      <c r="E80" s="22"/>
      <c r="F80" s="22"/>
      <c r="G80" s="22"/>
      <c r="H80" s="22"/>
      <c r="I80" s="22"/>
      <c r="J80" s="22"/>
      <c r="K80" s="22"/>
      <c r="L80" s="34"/>
      <c r="M80" s="99"/>
      <c r="N80" s="204" t="s">
        <v>136</v>
      </c>
      <c r="O80" s="204"/>
      <c r="P80" s="204"/>
      <c r="Q80" s="204"/>
      <c r="R80" s="204"/>
      <c r="S80" s="204"/>
      <c r="T80" s="204"/>
      <c r="U80" s="204"/>
      <c r="V80" s="100"/>
    </row>
    <row r="81" spans="2:22" x14ac:dyDescent="0.2">
      <c r="B81" s="73"/>
      <c r="C81" s="73"/>
      <c r="D81" s="22"/>
      <c r="E81" s="22"/>
      <c r="F81" s="22"/>
      <c r="G81" s="22"/>
      <c r="H81" s="22"/>
      <c r="I81" s="22"/>
      <c r="J81" s="22"/>
      <c r="K81" s="22"/>
      <c r="L81" s="34"/>
      <c r="M81" s="99"/>
      <c r="N81" s="204"/>
      <c r="O81" s="204"/>
      <c r="P81" s="204"/>
      <c r="Q81" s="204"/>
      <c r="R81" s="204"/>
      <c r="S81" s="204"/>
      <c r="T81" s="204"/>
      <c r="U81" s="204"/>
      <c r="V81" s="100"/>
    </row>
    <row r="82" spans="2:22" x14ac:dyDescent="0.2">
      <c r="B82" s="73"/>
      <c r="C82" s="73"/>
      <c r="D82" s="22"/>
      <c r="E82" s="22"/>
      <c r="F82" s="22"/>
      <c r="G82" s="22"/>
      <c r="H82" s="22"/>
      <c r="I82" s="22"/>
      <c r="J82" s="22"/>
      <c r="K82" s="22"/>
      <c r="L82" s="34"/>
      <c r="M82" s="99"/>
      <c r="N82" s="204"/>
      <c r="O82" s="204"/>
      <c r="P82" s="204"/>
      <c r="Q82" s="204"/>
      <c r="R82" s="204"/>
      <c r="S82" s="204"/>
      <c r="T82" s="204"/>
      <c r="U82" s="204"/>
      <c r="V82" s="100"/>
    </row>
    <row r="83" spans="2:22" ht="15" thickBot="1" x14ac:dyDescent="0.25">
      <c r="B83" s="73"/>
      <c r="C83" s="73"/>
      <c r="D83" s="22"/>
      <c r="E83" s="22"/>
      <c r="F83" s="22"/>
      <c r="G83" s="22"/>
      <c r="H83" s="22"/>
      <c r="I83" s="22"/>
      <c r="J83" s="22"/>
      <c r="K83" s="22"/>
      <c r="L83" s="34"/>
      <c r="M83" s="101"/>
      <c r="N83" s="23"/>
      <c r="O83" s="23"/>
      <c r="P83" s="23"/>
      <c r="Q83" s="23"/>
      <c r="R83" s="23"/>
      <c r="S83" s="23"/>
      <c r="T83" s="23"/>
      <c r="U83" s="23"/>
      <c r="V83" s="102"/>
    </row>
    <row r="84" spans="2:22" ht="15" thickTop="1" x14ac:dyDescent="0.2">
      <c r="B84" s="73"/>
      <c r="C84" s="73"/>
      <c r="D84" s="22"/>
      <c r="E84" s="22"/>
      <c r="F84" s="22"/>
      <c r="G84" s="22"/>
      <c r="H84" s="22"/>
      <c r="I84" s="22"/>
      <c r="J84" s="22"/>
      <c r="K84" s="22"/>
      <c r="L84" s="34"/>
      <c r="M84" s="34"/>
    </row>
    <row r="85" spans="2:22" x14ac:dyDescent="0.2">
      <c r="B85" s="73"/>
      <c r="C85" s="73"/>
      <c r="D85" s="22"/>
      <c r="E85" s="22"/>
      <c r="F85" s="22"/>
      <c r="G85" s="22"/>
      <c r="H85" s="22"/>
      <c r="I85" s="22"/>
      <c r="J85" s="22"/>
      <c r="K85" s="22"/>
      <c r="L85" s="34"/>
      <c r="M85" s="34"/>
    </row>
    <row r="86" spans="2:22" x14ac:dyDescent="0.2">
      <c r="B86" s="73"/>
      <c r="C86" s="73"/>
      <c r="D86" s="22"/>
      <c r="E86" s="22"/>
      <c r="F86" s="22"/>
      <c r="G86" s="22"/>
      <c r="H86" s="22"/>
      <c r="I86" s="22"/>
      <c r="J86" s="22"/>
      <c r="K86" s="22"/>
      <c r="L86" s="34"/>
      <c r="M86" s="34"/>
    </row>
    <row r="87" spans="2:22" x14ac:dyDescent="0.2">
      <c r="B87" s="73"/>
      <c r="C87" s="73"/>
      <c r="D87" s="22"/>
      <c r="E87" s="22"/>
      <c r="F87" s="22"/>
      <c r="G87" s="22"/>
      <c r="H87" s="22"/>
      <c r="I87" s="22"/>
      <c r="J87" s="22"/>
      <c r="K87" s="22"/>
      <c r="L87" s="34"/>
      <c r="M87" s="34"/>
    </row>
    <row r="88" spans="2:22" x14ac:dyDescent="0.2">
      <c r="B88" s="73"/>
      <c r="C88" s="73"/>
      <c r="D88" s="22"/>
      <c r="E88" s="22"/>
      <c r="F88" s="22"/>
      <c r="G88" s="22"/>
      <c r="H88" s="22"/>
      <c r="I88" s="22"/>
      <c r="J88" s="22"/>
      <c r="K88" s="22"/>
      <c r="L88" s="34"/>
      <c r="M88" s="34"/>
    </row>
    <row r="89" spans="2:22" x14ac:dyDescent="0.2">
      <c r="B89" s="73"/>
      <c r="C89" s="73"/>
      <c r="D89" s="22"/>
      <c r="E89" s="22"/>
      <c r="F89" s="22"/>
      <c r="G89" s="22"/>
      <c r="H89" s="22"/>
      <c r="I89" s="22"/>
      <c r="J89" s="22"/>
      <c r="K89" s="22"/>
      <c r="L89" s="34"/>
      <c r="M89" s="34"/>
    </row>
    <row r="90" spans="2:22" x14ac:dyDescent="0.2">
      <c r="B90" s="73"/>
      <c r="C90" s="73"/>
      <c r="D90" s="22"/>
      <c r="E90" s="22"/>
      <c r="F90" s="22"/>
      <c r="G90" s="22"/>
      <c r="H90" s="22"/>
      <c r="I90" s="22"/>
      <c r="J90" s="22"/>
      <c r="K90" s="22"/>
      <c r="L90" s="34"/>
      <c r="M90" s="34"/>
    </row>
    <row r="91" spans="2:22" x14ac:dyDescent="0.2">
      <c r="B91" s="73"/>
      <c r="C91" s="73"/>
      <c r="D91" s="22"/>
      <c r="E91" s="22"/>
      <c r="F91" s="22"/>
      <c r="G91" s="22"/>
      <c r="H91" s="22"/>
      <c r="I91" s="22"/>
      <c r="J91" s="22"/>
      <c r="K91" s="22"/>
      <c r="L91" s="34"/>
      <c r="M91" s="34"/>
    </row>
    <row r="92" spans="2:22" x14ac:dyDescent="0.2">
      <c r="B92" s="73"/>
      <c r="C92" s="73"/>
      <c r="D92" s="22"/>
      <c r="E92" s="22"/>
      <c r="F92" s="22"/>
      <c r="G92" s="22"/>
      <c r="H92" s="22"/>
      <c r="I92" s="22"/>
      <c r="J92" s="22"/>
      <c r="K92" s="22"/>
      <c r="L92" s="34"/>
      <c r="M92" s="34"/>
    </row>
    <row r="93" spans="2:22" x14ac:dyDescent="0.2">
      <c r="B93" s="22"/>
      <c r="C93" s="22"/>
      <c r="D93" s="22"/>
      <c r="E93" s="22"/>
      <c r="F93" s="22"/>
      <c r="G93" s="22"/>
      <c r="H93" s="22"/>
      <c r="I93" s="22"/>
      <c r="J93" s="22"/>
      <c r="K93" s="22"/>
      <c r="L93" s="34"/>
      <c r="M93" s="34"/>
    </row>
    <row r="94" spans="2:22" x14ac:dyDescent="0.2">
      <c r="B94" s="22"/>
      <c r="C94" s="22"/>
      <c r="D94" s="22"/>
      <c r="E94" s="22"/>
      <c r="F94" s="22"/>
      <c r="G94" s="22"/>
      <c r="H94" s="22"/>
      <c r="I94" s="22"/>
      <c r="J94" s="22"/>
      <c r="K94" s="22"/>
      <c r="L94" s="34"/>
      <c r="M94" s="34"/>
    </row>
    <row r="95" spans="2:22" x14ac:dyDescent="0.2">
      <c r="B95" s="22"/>
      <c r="C95" s="22"/>
      <c r="D95" s="22"/>
      <c r="E95" s="22"/>
      <c r="F95" s="22"/>
      <c r="G95" s="22"/>
      <c r="H95" s="22"/>
      <c r="I95" s="22"/>
      <c r="J95" s="22"/>
      <c r="K95" s="22"/>
      <c r="L95" s="34"/>
      <c r="M95" s="34"/>
    </row>
    <row r="96" spans="2:22" x14ac:dyDescent="0.2">
      <c r="L96" s="34"/>
      <c r="M96" s="34"/>
    </row>
    <row r="97" spans="2:13" x14ac:dyDescent="0.2">
      <c r="L97" s="34"/>
      <c r="M97" s="34"/>
    </row>
    <row r="98" spans="2:13" x14ac:dyDescent="0.2">
      <c r="L98" s="34"/>
      <c r="M98" s="34"/>
    </row>
    <row r="99" spans="2:13" x14ac:dyDescent="0.2">
      <c r="L99" s="34"/>
      <c r="M99" s="34"/>
    </row>
    <row r="100" spans="2:13" x14ac:dyDescent="0.2">
      <c r="B100" s="34"/>
      <c r="C100" s="34"/>
      <c r="D100" s="34"/>
      <c r="E100" s="34"/>
      <c r="F100" s="34"/>
      <c r="G100" s="34"/>
      <c r="H100" s="34"/>
      <c r="I100" s="34"/>
      <c r="J100" s="34"/>
      <c r="K100" s="34"/>
      <c r="L100" s="34"/>
      <c r="M100" s="34"/>
    </row>
    <row r="101" spans="2:13" x14ac:dyDescent="0.2">
      <c r="B101" s="34"/>
      <c r="C101" s="34"/>
      <c r="D101" s="34"/>
      <c r="E101" s="34"/>
      <c r="F101" s="34"/>
      <c r="G101" s="34"/>
      <c r="H101" s="34"/>
      <c r="I101" s="34"/>
      <c r="J101" s="34"/>
      <c r="K101" s="34"/>
      <c r="L101" s="34"/>
      <c r="M101" s="34"/>
    </row>
    <row r="102" spans="2:13" x14ac:dyDescent="0.2">
      <c r="B102" s="34"/>
      <c r="C102" s="34"/>
      <c r="D102" s="34"/>
      <c r="E102" s="34"/>
      <c r="F102" s="34"/>
      <c r="G102" s="34"/>
      <c r="H102" s="34"/>
      <c r="I102" s="34"/>
      <c r="J102" s="34"/>
      <c r="K102" s="34"/>
      <c r="L102" s="34"/>
      <c r="M102" s="34"/>
    </row>
    <row r="103" spans="2:13" x14ac:dyDescent="0.2">
      <c r="B103" s="34" t="s">
        <v>151</v>
      </c>
      <c r="C103" s="34"/>
      <c r="D103" s="34"/>
      <c r="E103" s="34"/>
      <c r="F103" s="34"/>
      <c r="G103" s="34"/>
      <c r="H103" s="34"/>
      <c r="I103" s="34"/>
      <c r="J103" s="34"/>
      <c r="K103" s="34"/>
      <c r="L103" s="34"/>
      <c r="M103" s="34"/>
    </row>
    <row r="104" spans="2:13" x14ac:dyDescent="0.2">
      <c r="B104" s="34"/>
      <c r="C104" s="34" t="s">
        <v>0</v>
      </c>
      <c r="D104" s="34" t="s">
        <v>161</v>
      </c>
      <c r="E104" s="34" t="s">
        <v>162</v>
      </c>
      <c r="F104" s="34" t="s">
        <v>163</v>
      </c>
      <c r="G104" s="34" t="s">
        <v>164</v>
      </c>
      <c r="H104" s="34" t="s">
        <v>99</v>
      </c>
      <c r="I104" s="34" t="s">
        <v>152</v>
      </c>
      <c r="J104" s="34" t="s">
        <v>235</v>
      </c>
      <c r="K104" s="34" t="s">
        <v>166</v>
      </c>
      <c r="L104" s="34"/>
      <c r="M104" s="34"/>
    </row>
    <row r="105" spans="2:13" x14ac:dyDescent="0.2">
      <c r="B105" s="34"/>
      <c r="C105" s="34" t="s">
        <v>35</v>
      </c>
      <c r="D105" s="40">
        <f>GM!CP3</f>
        <v>1570900</v>
      </c>
      <c r="E105" s="34">
        <v>258290</v>
      </c>
      <c r="F105" s="40">
        <f>D105+E105</f>
        <v>1829190</v>
      </c>
      <c r="G105" s="74">
        <v>2680425</v>
      </c>
      <c r="H105" s="37">
        <f>F105/G105</f>
        <v>0.68242536164973833</v>
      </c>
      <c r="I105" s="37">
        <v>0.68200000000000005</v>
      </c>
      <c r="J105" s="74">
        <v>1829190</v>
      </c>
      <c r="K105" s="37">
        <f t="shared" ref="K105:K113" si="0">F105/2000000</f>
        <v>0.91459500000000005</v>
      </c>
      <c r="L105" s="37">
        <f>100%-K105</f>
        <v>8.5404999999999953E-2</v>
      </c>
      <c r="M105" s="34"/>
    </row>
    <row r="106" spans="2:13" x14ac:dyDescent="0.2">
      <c r="B106" s="34"/>
      <c r="C106" s="34" t="s">
        <v>36</v>
      </c>
      <c r="D106" s="40">
        <f>GM!CP4</f>
        <v>1605100</v>
      </c>
      <c r="E106" s="34">
        <v>258290</v>
      </c>
      <c r="F106" s="40">
        <f t="shared" ref="F106:F114" si="1">D106+E106</f>
        <v>1863390</v>
      </c>
      <c r="G106" s="74">
        <v>2706790</v>
      </c>
      <c r="H106" s="37">
        <f t="shared" ref="H106:H114" si="2">F106/G106</f>
        <v>0.68841321269843614</v>
      </c>
      <c r="I106" s="37">
        <v>0.68899999999999995</v>
      </c>
      <c r="J106" s="74">
        <v>1859290</v>
      </c>
      <c r="K106" s="37">
        <f t="shared" si="0"/>
        <v>0.93169500000000005</v>
      </c>
      <c r="L106" s="37">
        <f t="shared" ref="L106:L113" si="3">100%-K106</f>
        <v>6.8304999999999949E-2</v>
      </c>
      <c r="M106" s="34"/>
    </row>
    <row r="107" spans="2:13" x14ac:dyDescent="0.2">
      <c r="B107" s="34"/>
      <c r="C107" s="34" t="s">
        <v>37</v>
      </c>
      <c r="D107" s="40">
        <f>GM!CP5</f>
        <v>1602100</v>
      </c>
      <c r="E107" s="34">
        <v>258290</v>
      </c>
      <c r="F107" s="40">
        <f t="shared" si="1"/>
        <v>1860390</v>
      </c>
      <c r="G107" s="74">
        <v>2706790</v>
      </c>
      <c r="H107" s="37">
        <f t="shared" si="2"/>
        <v>0.68730488881664265</v>
      </c>
      <c r="I107" s="37">
        <v>0.68899999999999995</v>
      </c>
      <c r="J107" s="74">
        <v>1859290</v>
      </c>
      <c r="K107" s="37">
        <f t="shared" si="0"/>
        <v>0.93019499999999999</v>
      </c>
      <c r="L107" s="37">
        <f t="shared" si="3"/>
        <v>6.9805000000000006E-2</v>
      </c>
      <c r="M107" s="34"/>
    </row>
    <row r="108" spans="2:13" x14ac:dyDescent="0.2">
      <c r="B108" s="34"/>
      <c r="C108" s="34" t="s">
        <v>38</v>
      </c>
      <c r="D108" s="40">
        <f>GM!CP6</f>
        <v>1624100</v>
      </c>
      <c r="E108" s="34">
        <v>264510</v>
      </c>
      <c r="F108" s="40">
        <f t="shared" si="1"/>
        <v>1888610</v>
      </c>
      <c r="G108" s="74">
        <v>2725086</v>
      </c>
      <c r="H108" s="37">
        <f t="shared" si="2"/>
        <v>0.6930460176302693</v>
      </c>
      <c r="I108" s="37">
        <v>0.69599999999999995</v>
      </c>
      <c r="J108" s="74">
        <v>1887432</v>
      </c>
      <c r="K108" s="37">
        <f t="shared" si="0"/>
        <v>0.94430499999999995</v>
      </c>
      <c r="L108" s="37">
        <f t="shared" si="3"/>
        <v>5.569500000000005E-2</v>
      </c>
      <c r="M108" s="34"/>
    </row>
    <row r="109" spans="2:13" x14ac:dyDescent="0.2">
      <c r="B109" s="34"/>
      <c r="C109" s="34" t="s">
        <v>153</v>
      </c>
      <c r="D109" s="40">
        <f>GM!CP6</f>
        <v>1624100</v>
      </c>
      <c r="E109" s="40">
        <f>'GM CYP'!O3 + 19055</f>
        <v>266355</v>
      </c>
      <c r="F109" s="40">
        <f t="shared" si="1"/>
        <v>1890455</v>
      </c>
      <c r="G109" s="74">
        <v>2725086</v>
      </c>
      <c r="H109" s="37">
        <f t="shared" si="2"/>
        <v>0.69372306048322874</v>
      </c>
      <c r="I109" s="37">
        <v>0.69599999999999995</v>
      </c>
      <c r="J109" s="74">
        <v>1887432</v>
      </c>
      <c r="K109" s="37">
        <f t="shared" si="0"/>
        <v>0.9452275</v>
      </c>
      <c r="L109" s="37">
        <f t="shared" si="3"/>
        <v>5.4772500000000002E-2</v>
      </c>
      <c r="M109" s="34"/>
    </row>
    <row r="110" spans="2:13" x14ac:dyDescent="0.2">
      <c r="B110" s="34"/>
      <c r="C110" s="34" t="s">
        <v>39</v>
      </c>
      <c r="D110" s="40">
        <f>GM!CP7</f>
        <v>1632500</v>
      </c>
      <c r="E110" s="40">
        <f>'GM CYP'!O3 + 19055</f>
        <v>266355</v>
      </c>
      <c r="F110" s="40">
        <f t="shared" si="1"/>
        <v>1898855</v>
      </c>
      <c r="G110" s="74">
        <v>2725086</v>
      </c>
      <c r="H110" s="37">
        <f t="shared" si="2"/>
        <v>0.69680553200889805</v>
      </c>
      <c r="I110" s="37">
        <v>0.69599999999999995</v>
      </c>
      <c r="J110" s="74">
        <v>1887432</v>
      </c>
      <c r="K110" s="37">
        <f t="shared" si="0"/>
        <v>0.94942749999999998</v>
      </c>
      <c r="L110" s="37">
        <f t="shared" si="3"/>
        <v>5.057250000000002E-2</v>
      </c>
      <c r="M110" s="34"/>
    </row>
    <row r="111" spans="2:13" x14ac:dyDescent="0.2">
      <c r="B111" s="34"/>
      <c r="C111" s="34" t="s">
        <v>40</v>
      </c>
      <c r="D111" s="40">
        <f>GM!CP8</f>
        <v>1639000</v>
      </c>
      <c r="E111" s="40">
        <f>'GM CYP'!O3 + 19055</f>
        <v>266355</v>
      </c>
      <c r="F111" s="40">
        <f t="shared" si="1"/>
        <v>1905355</v>
      </c>
      <c r="G111" s="74">
        <v>2740966</v>
      </c>
      <c r="H111" s="37">
        <f t="shared" si="2"/>
        <v>0.69513996160477731</v>
      </c>
      <c r="I111" s="37">
        <v>0.70299999999999996</v>
      </c>
      <c r="J111" s="74">
        <v>1915574</v>
      </c>
      <c r="K111" s="37">
        <f t="shared" si="0"/>
        <v>0.95267749999999995</v>
      </c>
      <c r="L111" s="37">
        <f t="shared" si="3"/>
        <v>4.7322500000000045E-2</v>
      </c>
      <c r="M111" s="34"/>
    </row>
    <row r="112" spans="2:13" x14ac:dyDescent="0.2">
      <c r="B112" s="34"/>
      <c r="C112" s="34" t="s">
        <v>154</v>
      </c>
      <c r="D112" s="40">
        <f>GM!CP8</f>
        <v>1639000</v>
      </c>
      <c r="E112" s="40">
        <f>'GM CYP'!O4 + 19055</f>
        <v>285755</v>
      </c>
      <c r="F112" s="40">
        <f t="shared" si="1"/>
        <v>1924755</v>
      </c>
      <c r="G112" s="74">
        <v>2740966</v>
      </c>
      <c r="H112" s="37">
        <f t="shared" si="2"/>
        <v>0.70221775826478694</v>
      </c>
      <c r="I112" s="37">
        <v>0.70299999999999996</v>
      </c>
      <c r="J112" s="74">
        <v>1915574</v>
      </c>
      <c r="K112" s="37">
        <f t="shared" si="0"/>
        <v>0.9623775</v>
      </c>
      <c r="L112" s="37">
        <f t="shared" si="3"/>
        <v>3.7622500000000003E-2</v>
      </c>
      <c r="M112" s="34"/>
    </row>
    <row r="113" spans="2:24" ht="13.9" customHeight="1" x14ac:dyDescent="0.2">
      <c r="B113" s="34"/>
      <c r="C113" s="34" t="s">
        <v>41</v>
      </c>
      <c r="D113" s="40">
        <f>GM!CP9</f>
        <v>1649900</v>
      </c>
      <c r="E113" s="40">
        <f>'GM CYP'!O4 + 19055</f>
        <v>285755</v>
      </c>
      <c r="F113" s="40">
        <f t="shared" si="1"/>
        <v>1935655</v>
      </c>
      <c r="G113" s="74">
        <v>2740966</v>
      </c>
      <c r="H113" s="37">
        <f t="shared" si="2"/>
        <v>0.70619445845005013</v>
      </c>
      <c r="I113" s="37">
        <v>0.70299999999999996</v>
      </c>
      <c r="J113" s="74">
        <v>1915574</v>
      </c>
      <c r="K113" s="37">
        <f t="shared" si="0"/>
        <v>0.96782749999999995</v>
      </c>
      <c r="L113" s="37">
        <f t="shared" si="3"/>
        <v>3.2172500000000048E-2</v>
      </c>
      <c r="M113" s="34"/>
    </row>
    <row r="114" spans="2:24" x14ac:dyDescent="0.2">
      <c r="B114" s="34"/>
      <c r="C114" s="34" t="s">
        <v>155</v>
      </c>
      <c r="D114" s="40">
        <f>GM!CP10</f>
        <v>1621700</v>
      </c>
      <c r="E114" s="40">
        <f>'GM CYP'!O4 + 19055</f>
        <v>285755</v>
      </c>
      <c r="F114" s="40">
        <f t="shared" si="1"/>
        <v>1907455</v>
      </c>
      <c r="G114" s="74">
        <v>2765576</v>
      </c>
      <c r="H114" s="37">
        <f t="shared" si="2"/>
        <v>0.68971346294587454</v>
      </c>
      <c r="I114" s="38">
        <v>0.71</v>
      </c>
      <c r="J114" s="74">
        <v>1943716</v>
      </c>
      <c r="K114" s="37">
        <f t="shared" ref="K114" si="4">F114/2000000</f>
        <v>0.95372749999999995</v>
      </c>
      <c r="L114" s="37">
        <f t="shared" ref="L114" si="5">100%-K114</f>
        <v>4.627250000000005E-2</v>
      </c>
      <c r="M114" s="34"/>
    </row>
    <row r="115" spans="2:24" x14ac:dyDescent="0.2">
      <c r="B115" s="34"/>
      <c r="C115" s="34" t="s">
        <v>156</v>
      </c>
      <c r="D115" s="34"/>
      <c r="E115" s="34"/>
      <c r="F115" s="40"/>
      <c r="G115" s="34"/>
      <c r="H115" s="34"/>
      <c r="I115" s="38">
        <v>0.71</v>
      </c>
      <c r="J115" s="74">
        <v>1943716</v>
      </c>
      <c r="K115" s="34"/>
      <c r="L115" s="34"/>
      <c r="M115" s="34"/>
    </row>
    <row r="116" spans="2:24" x14ac:dyDescent="0.2">
      <c r="B116" s="34"/>
      <c r="C116" s="34"/>
      <c r="D116" s="34"/>
      <c r="E116" s="34"/>
      <c r="F116" s="34"/>
      <c r="G116" s="34"/>
      <c r="H116" s="34"/>
      <c r="I116" s="34"/>
      <c r="J116" s="34"/>
      <c r="K116" s="34"/>
      <c r="L116" s="34"/>
      <c r="M116" s="34"/>
    </row>
    <row r="117" spans="2:24" x14ac:dyDescent="0.2">
      <c r="B117" s="34" t="s">
        <v>222</v>
      </c>
      <c r="C117" s="34"/>
      <c r="D117" s="34" t="s">
        <v>223</v>
      </c>
      <c r="E117" s="34" t="s">
        <v>152</v>
      </c>
      <c r="F117" s="34"/>
      <c r="G117" s="34" t="s">
        <v>224</v>
      </c>
      <c r="H117" s="34" t="s">
        <v>223</v>
      </c>
      <c r="I117" s="34" t="s">
        <v>152</v>
      </c>
      <c r="J117" s="34"/>
      <c r="K117" s="34"/>
      <c r="L117" s="34"/>
      <c r="M117" s="34"/>
    </row>
    <row r="118" spans="2:24" x14ac:dyDescent="0.2">
      <c r="B118" s="34"/>
      <c r="C118" s="34" t="s">
        <v>35</v>
      </c>
      <c r="D118" s="34">
        <v>39</v>
      </c>
      <c r="E118" s="34">
        <v>39</v>
      </c>
      <c r="F118" s="34"/>
      <c r="G118" s="34" t="s">
        <v>153</v>
      </c>
      <c r="H118" s="34">
        <v>39</v>
      </c>
      <c r="I118" s="34">
        <v>39</v>
      </c>
      <c r="J118" s="34"/>
      <c r="K118" s="34"/>
      <c r="L118" s="34"/>
      <c r="M118" s="34"/>
      <c r="N118" s="7">
        <v>21</v>
      </c>
      <c r="O118" s="7">
        <v>19</v>
      </c>
      <c r="P118" s="7">
        <v>17</v>
      </c>
      <c r="Q118" s="7">
        <v>15</v>
      </c>
      <c r="R118" s="7">
        <v>13</v>
      </c>
      <c r="S118" s="7">
        <v>11</v>
      </c>
      <c r="T118" s="7">
        <v>9</v>
      </c>
      <c r="U118" s="7">
        <v>7</v>
      </c>
      <c r="V118" s="7">
        <v>5</v>
      </c>
      <c r="W118" s="7">
        <v>3</v>
      </c>
      <c r="X118" s="7">
        <v>1</v>
      </c>
    </row>
    <row r="119" spans="2:24" x14ac:dyDescent="0.2">
      <c r="B119" s="34"/>
      <c r="C119" s="34" t="s">
        <v>36</v>
      </c>
      <c r="D119" s="34">
        <v>35</v>
      </c>
      <c r="E119" s="34">
        <v>37</v>
      </c>
      <c r="F119" s="34"/>
      <c r="G119" s="34" t="s">
        <v>154</v>
      </c>
      <c r="H119" s="34">
        <v>40</v>
      </c>
      <c r="I119" s="34">
        <v>34</v>
      </c>
      <c r="J119" s="34"/>
      <c r="K119" s="34"/>
      <c r="L119" s="34"/>
      <c r="M119" s="34"/>
    </row>
    <row r="120" spans="2:24" x14ac:dyDescent="0.2">
      <c r="B120" s="34"/>
      <c r="C120" s="34" t="s">
        <v>37</v>
      </c>
      <c r="D120" s="34">
        <v>33</v>
      </c>
      <c r="E120" s="34">
        <v>35</v>
      </c>
      <c r="F120" s="34"/>
      <c r="G120" s="34" t="s">
        <v>156</v>
      </c>
      <c r="H120" s="34"/>
      <c r="I120" s="34">
        <v>29</v>
      </c>
      <c r="J120" s="34"/>
      <c r="K120" s="34"/>
      <c r="L120" s="34"/>
      <c r="M120" s="34"/>
    </row>
    <row r="121" spans="2:24" x14ac:dyDescent="0.2">
      <c r="B121" s="34"/>
      <c r="C121" s="34" t="s">
        <v>38</v>
      </c>
      <c r="D121" s="34">
        <v>30</v>
      </c>
      <c r="E121" s="34">
        <v>33</v>
      </c>
      <c r="F121" s="34"/>
      <c r="G121" s="34" t="s">
        <v>225</v>
      </c>
      <c r="H121" s="34"/>
      <c r="I121" s="34">
        <v>24</v>
      </c>
      <c r="J121" s="34"/>
      <c r="K121" s="34"/>
      <c r="L121" s="34"/>
      <c r="M121" s="34"/>
    </row>
    <row r="122" spans="2:24" x14ac:dyDescent="0.2">
      <c r="B122" s="34"/>
      <c r="C122" s="34" t="s">
        <v>39</v>
      </c>
      <c r="D122" s="34">
        <v>30</v>
      </c>
      <c r="E122" s="34">
        <v>31</v>
      </c>
      <c r="F122" s="34"/>
      <c r="G122" s="34" t="s">
        <v>226</v>
      </c>
      <c r="H122" s="34"/>
      <c r="I122" s="34">
        <v>19</v>
      </c>
      <c r="J122" s="34"/>
      <c r="K122" s="34"/>
      <c r="L122" s="34"/>
      <c r="M122" s="34"/>
    </row>
    <row r="123" spans="2:24" x14ac:dyDescent="0.2">
      <c r="B123" s="34"/>
      <c r="C123" s="34" t="s">
        <v>40</v>
      </c>
      <c r="D123" s="34">
        <v>33</v>
      </c>
      <c r="E123" s="34">
        <v>29</v>
      </c>
      <c r="F123" s="34"/>
      <c r="G123" s="34" t="s">
        <v>227</v>
      </c>
      <c r="H123" s="34"/>
      <c r="I123" s="34">
        <v>14</v>
      </c>
      <c r="J123" s="34"/>
      <c r="K123" s="34"/>
      <c r="L123" s="34"/>
      <c r="M123" s="34"/>
    </row>
    <row r="124" spans="2:24" x14ac:dyDescent="0.2">
      <c r="B124" s="34"/>
      <c r="C124" s="34" t="s">
        <v>41</v>
      </c>
      <c r="D124" s="34">
        <v>33</v>
      </c>
      <c r="E124" s="34">
        <v>27</v>
      </c>
      <c r="F124" s="34"/>
      <c r="G124" s="34" t="s">
        <v>228</v>
      </c>
      <c r="H124" s="34"/>
      <c r="I124" s="34">
        <v>9</v>
      </c>
      <c r="J124" s="34"/>
      <c r="K124" s="34"/>
      <c r="L124" s="34"/>
      <c r="M124" s="34"/>
    </row>
    <row r="125" spans="2:24" x14ac:dyDescent="0.2">
      <c r="B125" s="34"/>
      <c r="C125" s="34" t="s">
        <v>155</v>
      </c>
      <c r="D125" s="34">
        <v>34</v>
      </c>
      <c r="E125" s="34">
        <v>25</v>
      </c>
      <c r="F125" s="34"/>
      <c r="G125" s="34" t="s">
        <v>229</v>
      </c>
      <c r="H125" s="34"/>
      <c r="I125" s="34">
        <v>4</v>
      </c>
      <c r="J125" s="34"/>
      <c r="K125" s="34"/>
      <c r="L125" s="34"/>
      <c r="M125" s="34"/>
    </row>
    <row r="126" spans="2:24" x14ac:dyDescent="0.2">
      <c r="B126" s="34"/>
      <c r="C126" s="34" t="s">
        <v>210</v>
      </c>
      <c r="D126" s="34"/>
      <c r="E126" s="34">
        <v>23</v>
      </c>
      <c r="F126" s="34"/>
      <c r="G126" s="34" t="s">
        <v>230</v>
      </c>
      <c r="H126" s="34"/>
      <c r="I126" s="34">
        <v>1</v>
      </c>
      <c r="J126" s="34"/>
      <c r="K126" s="34"/>
    </row>
    <row r="127" spans="2:24" x14ac:dyDescent="0.2">
      <c r="B127" s="34"/>
      <c r="C127" s="34" t="s">
        <v>211</v>
      </c>
      <c r="D127" s="34"/>
      <c r="E127" s="34">
        <v>21</v>
      </c>
      <c r="F127" s="34"/>
      <c r="G127" s="34"/>
      <c r="H127" s="34"/>
      <c r="I127" s="34"/>
      <c r="J127" s="34"/>
      <c r="K127" s="34"/>
    </row>
    <row r="128" spans="2:24" x14ac:dyDescent="0.2">
      <c r="B128" s="34"/>
      <c r="C128" s="34" t="s">
        <v>212</v>
      </c>
      <c r="D128" s="34"/>
      <c r="E128" s="34">
        <v>19</v>
      </c>
      <c r="F128" s="34"/>
      <c r="G128" s="34"/>
      <c r="H128" s="34"/>
      <c r="I128" s="34"/>
      <c r="J128" s="34"/>
      <c r="K128" s="34"/>
    </row>
    <row r="129" spans="2:11" x14ac:dyDescent="0.2">
      <c r="B129" s="34"/>
      <c r="C129" s="34" t="s">
        <v>213</v>
      </c>
      <c r="D129" s="34"/>
      <c r="E129" s="34">
        <v>17</v>
      </c>
      <c r="F129" s="34"/>
      <c r="G129" s="34"/>
      <c r="H129" s="34"/>
      <c r="I129" s="34"/>
      <c r="J129" s="34"/>
      <c r="K129" s="34"/>
    </row>
    <row r="130" spans="2:11" x14ac:dyDescent="0.2">
      <c r="B130" s="34"/>
      <c r="C130" s="34" t="s">
        <v>214</v>
      </c>
      <c r="D130" s="34"/>
      <c r="E130" s="34">
        <v>15</v>
      </c>
      <c r="F130" s="34"/>
      <c r="G130" s="34"/>
      <c r="H130" s="34"/>
      <c r="I130" s="34"/>
      <c r="J130" s="34"/>
      <c r="K130" s="34"/>
    </row>
    <row r="131" spans="2:11" x14ac:dyDescent="0.2">
      <c r="B131" s="34"/>
      <c r="C131" s="34" t="s">
        <v>215</v>
      </c>
      <c r="D131" s="34"/>
      <c r="E131" s="34">
        <v>13</v>
      </c>
      <c r="F131" s="34"/>
      <c r="G131" s="34"/>
      <c r="H131" s="34"/>
      <c r="I131" s="34"/>
      <c r="J131" s="34"/>
      <c r="K131" s="34"/>
    </row>
    <row r="132" spans="2:11" x14ac:dyDescent="0.2">
      <c r="B132" s="34"/>
      <c r="C132" s="34" t="s">
        <v>216</v>
      </c>
      <c r="D132" s="34"/>
      <c r="E132" s="34">
        <v>11</v>
      </c>
      <c r="F132" s="34"/>
      <c r="G132" s="34"/>
      <c r="H132" s="34"/>
      <c r="I132" s="34"/>
      <c r="J132" s="34"/>
      <c r="K132" s="34"/>
    </row>
    <row r="133" spans="2:11" x14ac:dyDescent="0.2">
      <c r="B133" s="34"/>
      <c r="C133" s="34" t="s">
        <v>217</v>
      </c>
      <c r="D133" s="34"/>
      <c r="E133" s="34">
        <v>9</v>
      </c>
      <c r="F133" s="34"/>
      <c r="G133" s="34"/>
      <c r="H133" s="34"/>
      <c r="I133" s="34"/>
      <c r="J133" s="34"/>
      <c r="K133" s="34"/>
    </row>
    <row r="134" spans="2:11" x14ac:dyDescent="0.2">
      <c r="B134" s="34"/>
      <c r="C134" s="34" t="s">
        <v>218</v>
      </c>
      <c r="D134" s="34"/>
      <c r="E134" s="34">
        <v>7</v>
      </c>
      <c r="F134" s="34"/>
      <c r="G134" s="34"/>
      <c r="H134" s="34"/>
      <c r="I134" s="34"/>
      <c r="J134" s="34"/>
      <c r="K134" s="34"/>
    </row>
    <row r="135" spans="2:11" x14ac:dyDescent="0.2">
      <c r="B135" s="34"/>
      <c r="C135" s="34" t="s">
        <v>219</v>
      </c>
      <c r="D135" s="34"/>
      <c r="E135" s="34">
        <v>5</v>
      </c>
      <c r="F135" s="34"/>
      <c r="G135" s="34"/>
      <c r="H135" s="34"/>
      <c r="I135" s="34"/>
      <c r="J135" s="34"/>
      <c r="K135" s="34"/>
    </row>
    <row r="136" spans="2:11" x14ac:dyDescent="0.2">
      <c r="B136" s="34"/>
      <c r="C136" s="34" t="s">
        <v>220</v>
      </c>
      <c r="D136" s="34"/>
      <c r="E136" s="34">
        <v>3</v>
      </c>
      <c r="F136" s="34"/>
      <c r="G136" s="34"/>
      <c r="H136" s="34"/>
      <c r="I136" s="34"/>
      <c r="J136" s="34"/>
      <c r="K136" s="34"/>
    </row>
    <row r="137" spans="2:11" x14ac:dyDescent="0.2">
      <c r="B137" s="34"/>
      <c r="C137" s="34" t="s">
        <v>221</v>
      </c>
      <c r="D137" s="34"/>
      <c r="E137" s="34">
        <v>1</v>
      </c>
      <c r="F137" s="34"/>
      <c r="G137" s="34"/>
      <c r="H137" s="34"/>
      <c r="I137" s="34"/>
      <c r="J137" s="34"/>
      <c r="K137" s="34"/>
    </row>
    <row r="138" spans="2:11" x14ac:dyDescent="0.2">
      <c r="B138" s="34"/>
      <c r="C138" s="34"/>
      <c r="D138" s="34"/>
      <c r="F138" s="34"/>
      <c r="G138" s="34"/>
      <c r="H138" s="34"/>
      <c r="I138" s="34"/>
      <c r="J138" s="34"/>
      <c r="K138" s="34"/>
    </row>
    <row r="139" spans="2:11" x14ac:dyDescent="0.2">
      <c r="B139" s="34"/>
      <c r="C139" s="34"/>
      <c r="D139" s="34"/>
      <c r="E139" s="34"/>
      <c r="F139" s="34"/>
      <c r="G139" s="34"/>
      <c r="H139" s="34"/>
      <c r="I139" s="34"/>
      <c r="J139" s="34"/>
      <c r="K139" s="34"/>
    </row>
    <row r="140" spans="2:11" x14ac:dyDescent="0.2">
      <c r="B140" s="34"/>
      <c r="C140" s="34"/>
      <c r="D140" s="34"/>
      <c r="E140" s="34"/>
      <c r="F140" s="34"/>
      <c r="G140" s="34"/>
      <c r="H140" s="34"/>
      <c r="I140" s="34"/>
      <c r="J140" s="34"/>
      <c r="K140" s="34"/>
    </row>
    <row r="141" spans="2:11" x14ac:dyDescent="0.2">
      <c r="B141" s="34"/>
      <c r="C141" s="34"/>
      <c r="D141" s="34"/>
      <c r="E141" s="34"/>
      <c r="F141" s="34"/>
      <c r="G141" s="34"/>
      <c r="H141" s="34"/>
      <c r="I141" s="34"/>
      <c r="J141" s="34"/>
      <c r="K141" s="34"/>
    </row>
    <row r="142" spans="2:11" x14ac:dyDescent="0.2">
      <c r="B142" s="34"/>
      <c r="C142" s="34"/>
      <c r="D142" s="34"/>
      <c r="E142" s="34"/>
      <c r="F142" s="34"/>
      <c r="G142" s="34"/>
      <c r="H142" s="34"/>
      <c r="I142" s="34"/>
      <c r="J142" s="34"/>
      <c r="K142" s="34"/>
    </row>
    <row r="143" spans="2:11" x14ac:dyDescent="0.2">
      <c r="B143" s="34"/>
      <c r="C143" s="34"/>
      <c r="D143" s="34"/>
      <c r="E143" s="34"/>
      <c r="F143" s="34"/>
      <c r="G143" s="34"/>
      <c r="H143" s="34"/>
      <c r="I143" s="34"/>
      <c r="J143" s="34"/>
      <c r="K143" s="34"/>
    </row>
    <row r="144" spans="2:11" x14ac:dyDescent="0.2">
      <c r="B144" s="34"/>
      <c r="C144" s="34"/>
      <c r="D144" s="34"/>
      <c r="E144" s="34"/>
      <c r="F144" s="34"/>
      <c r="G144" s="34"/>
      <c r="H144" s="34"/>
      <c r="I144" s="34"/>
      <c r="J144" s="34"/>
      <c r="K144" s="34"/>
    </row>
    <row r="145" spans="2:11" x14ac:dyDescent="0.2">
      <c r="B145" s="34"/>
      <c r="C145" s="34"/>
      <c r="D145" s="34"/>
      <c r="E145" s="34"/>
      <c r="F145" s="34"/>
      <c r="G145" s="34"/>
      <c r="H145" s="34"/>
      <c r="I145" s="34"/>
      <c r="J145" s="34"/>
      <c r="K145" s="34"/>
    </row>
    <row r="146" spans="2:11" x14ac:dyDescent="0.2">
      <c r="B146" s="34"/>
      <c r="C146" s="34"/>
      <c r="D146" s="34"/>
      <c r="E146" s="34"/>
      <c r="F146" s="34"/>
      <c r="G146" s="34"/>
      <c r="H146" s="34"/>
      <c r="I146" s="34"/>
      <c r="J146" s="34"/>
      <c r="K146" s="34"/>
    </row>
    <row r="147" spans="2:11" x14ac:dyDescent="0.2">
      <c r="B147" s="34"/>
      <c r="C147" s="34"/>
      <c r="D147" s="34"/>
      <c r="E147" s="34"/>
      <c r="F147" s="34"/>
      <c r="G147" s="34"/>
      <c r="H147" s="34"/>
      <c r="I147" s="34"/>
      <c r="J147" s="34"/>
      <c r="K147" s="34"/>
    </row>
    <row r="148" spans="2:11" x14ac:dyDescent="0.2">
      <c r="B148" s="34"/>
      <c r="C148" s="34"/>
      <c r="D148" s="34"/>
      <c r="E148" s="34"/>
      <c r="F148" s="34"/>
      <c r="G148" s="34"/>
      <c r="H148" s="34"/>
      <c r="I148" s="34"/>
      <c r="J148" s="34"/>
      <c r="K148" s="34"/>
    </row>
    <row r="149" spans="2:11" x14ac:dyDescent="0.2">
      <c r="B149" s="34"/>
      <c r="C149" s="34"/>
      <c r="D149" s="34"/>
      <c r="E149" s="34"/>
      <c r="F149" s="34"/>
      <c r="G149" s="34"/>
      <c r="H149" s="34"/>
      <c r="I149" s="34"/>
      <c r="J149" s="34"/>
      <c r="K149" s="34"/>
    </row>
    <row r="150" spans="2:11" x14ac:dyDescent="0.2">
      <c r="B150" s="34"/>
      <c r="C150" s="34"/>
      <c r="D150" s="34"/>
      <c r="E150" s="34"/>
      <c r="F150" s="34"/>
      <c r="G150" s="34"/>
      <c r="H150" s="34"/>
      <c r="I150" s="34"/>
      <c r="J150" s="34"/>
      <c r="K150" s="34"/>
    </row>
  </sheetData>
  <sheetProtection selectLockedCells="1"/>
  <mergeCells count="12">
    <mergeCell ref="N80:U82"/>
    <mergeCell ref="C4:J4"/>
    <mergeCell ref="N4:U4"/>
    <mergeCell ref="K57:L57"/>
    <mergeCell ref="B58:C58"/>
    <mergeCell ref="N23:U25"/>
    <mergeCell ref="C23:J25"/>
    <mergeCell ref="C31:J31"/>
    <mergeCell ref="C51:J53"/>
    <mergeCell ref="N31:U31"/>
    <mergeCell ref="N51:U53"/>
    <mergeCell ref="N59:U60"/>
  </mergeCells>
  <hyperlinks>
    <hyperlink ref="K57:L57" location="Selection!D6" display="Back to selection"/>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Lists!$A$3:$A$14</xm:f>
          </x14:formula1>
          <xm:sqref>D7 D16 D14 D9 O7 O16 O14 O9 D35 D44 D42 D37 O35 O44 O42 O37 O64 O73 O71 O66</xm:sqref>
        </x14:dataValidation>
        <x14:dataValidation type="list" allowBlank="1" showInputMessage="1" showErrorMessage="1">
          <x14:formula1>
            <xm:f>Lists!$C$3:$C$6</xm:f>
          </x14:formula1>
          <xm:sqref>G7 R7 G35 R35 R64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V101"/>
  <sheetViews>
    <sheetView zoomScaleNormal="100" workbookViewId="0">
      <selection activeCell="R24" sqref="R24"/>
    </sheetView>
  </sheetViews>
  <sheetFormatPr defaultColWidth="8.69921875" defaultRowHeight="14.25" x14ac:dyDescent="0.2"/>
  <cols>
    <col min="1" max="16384" width="8.69921875" style="7"/>
  </cols>
  <sheetData>
    <row r="1" spans="2:22" ht="15" thickBot="1" x14ac:dyDescent="0.25"/>
    <row r="2" spans="2:22" ht="15" thickTop="1" x14ac:dyDescent="0.2">
      <c r="B2" s="96"/>
      <c r="C2" s="97"/>
      <c r="D2" s="97"/>
      <c r="E2" s="97"/>
      <c r="F2" s="97"/>
      <c r="G2" s="97"/>
      <c r="H2" s="97"/>
      <c r="I2" s="97"/>
      <c r="J2" s="97"/>
      <c r="K2" s="98"/>
      <c r="M2" s="96"/>
      <c r="N2" s="97"/>
      <c r="O2" s="97"/>
      <c r="P2" s="97"/>
      <c r="Q2" s="97"/>
      <c r="R2" s="97"/>
      <c r="S2" s="97"/>
      <c r="T2" s="97"/>
      <c r="U2" s="97"/>
      <c r="V2" s="98"/>
    </row>
    <row r="3" spans="2:22" x14ac:dyDescent="0.2">
      <c r="B3" s="99"/>
      <c r="C3" s="32"/>
      <c r="D3" s="32"/>
      <c r="E3" s="32"/>
      <c r="F3" s="32"/>
      <c r="G3" s="32"/>
      <c r="H3" s="32"/>
      <c r="I3" s="32"/>
      <c r="J3" s="32"/>
      <c r="K3" s="100"/>
      <c r="M3" s="99"/>
      <c r="N3" s="32"/>
      <c r="O3" s="32"/>
      <c r="P3" s="32"/>
      <c r="Q3" s="32"/>
      <c r="R3" s="32"/>
      <c r="S3" s="32"/>
      <c r="T3" s="32"/>
      <c r="U3" s="32"/>
      <c r="V3" s="100"/>
    </row>
    <row r="4" spans="2:22" x14ac:dyDescent="0.2">
      <c r="B4" s="99"/>
      <c r="C4" s="217" t="str">
        <f>"Activity Levels in "&amp;B49</f>
        <v>Activity Levels in GM</v>
      </c>
      <c r="D4" s="217"/>
      <c r="E4" s="217"/>
      <c r="F4" s="217"/>
      <c r="G4" s="217"/>
      <c r="H4" s="217"/>
      <c r="I4" s="217"/>
      <c r="J4" s="217"/>
      <c r="K4" s="100"/>
      <c r="M4" s="99"/>
      <c r="N4" s="205" t="str">
        <f>"Demographics in "&amp;B49</f>
        <v>Demographics in GM</v>
      </c>
      <c r="O4" s="205"/>
      <c r="P4" s="205"/>
      <c r="Q4" s="205"/>
      <c r="R4" s="205"/>
      <c r="S4" s="205"/>
      <c r="T4" s="205"/>
      <c r="U4" s="205"/>
      <c r="V4" s="100"/>
    </row>
    <row r="5" spans="2:22" x14ac:dyDescent="0.2">
      <c r="B5" s="99"/>
      <c r="C5" s="32"/>
      <c r="D5" s="32"/>
      <c r="E5" s="32"/>
      <c r="F5" s="32"/>
      <c r="G5" s="32"/>
      <c r="H5" s="32"/>
      <c r="I5" s="32"/>
      <c r="J5" s="32"/>
      <c r="K5" s="100"/>
      <c r="M5" s="99"/>
      <c r="N5" s="32"/>
      <c r="O5" s="32"/>
      <c r="P5" s="32"/>
      <c r="Q5" s="32"/>
      <c r="R5" s="32"/>
      <c r="S5" s="32"/>
      <c r="T5" s="32"/>
      <c r="U5" s="32"/>
      <c r="V5" s="100"/>
    </row>
    <row r="6" spans="2:22" x14ac:dyDescent="0.2">
      <c r="B6" s="99"/>
      <c r="C6" s="212" t="str">
        <f ca="1">CONCATENATE("In ", B49," ", (TEXT((INDIRECT(""&amp;B49&amp;"!CP10")),"#,0")), " adults are now moving, this equates to ", (TEXT(H57,"0.0%")), " of all adults.")</f>
        <v>In GM 1,621,700 adults are now moving, this equates to 72.0% of all adults.</v>
      </c>
      <c r="D6" s="212"/>
      <c r="E6" s="212"/>
      <c r="F6" s="212"/>
      <c r="G6" s="212"/>
      <c r="H6" s="212"/>
      <c r="I6" s="212"/>
      <c r="J6" s="212"/>
      <c r="K6" s="100"/>
      <c r="M6" s="99"/>
      <c r="N6" s="212"/>
      <c r="O6" s="212"/>
      <c r="P6" s="212"/>
      <c r="Q6" s="212"/>
      <c r="R6" s="212"/>
      <c r="S6" s="212"/>
      <c r="T6" s="212"/>
      <c r="U6" s="212"/>
      <c r="V6" s="100"/>
    </row>
    <row r="7" spans="2:22" x14ac:dyDescent="0.2">
      <c r="B7" s="99"/>
      <c r="C7" s="218" t="str">
        <f ca="1">CONCATENATE("This is a",(IF(J57-J50&gt;0,"n increase "," decrease ")),"in people moving since baseline of ",(TEXT(ABS(J57-J50),"#,0"))," and in the last 12 months a",(IF(J57-J55&gt;0,"n increase of "," decrease of ")),(TEXT(ABS(J57-J55),"#,0")),".")</f>
        <v>This is an increase in people moving since baseline of 50,800 and in the last 12 months a decrease of 17,300.</v>
      </c>
      <c r="D7" s="218"/>
      <c r="E7" s="218"/>
      <c r="F7" s="218"/>
      <c r="G7" s="218"/>
      <c r="H7" s="218"/>
      <c r="I7" s="218"/>
      <c r="J7" s="218"/>
      <c r="K7" s="100"/>
      <c r="M7" s="99"/>
      <c r="N7" s="213" t="str">
        <f ca="1">CONCATENATE("The population in ", B49, " is ", (TEXT((INDIRECT("'"&amp;B49&amp;" Demographics'!B8")),"#,0")), " according to the ",  ((INDIRECT("'"&amp;B49&amp;" Demographics'!A8")))," mid-year population estimate.", " This is broken down into ", (TEXT(((INDIRECT("'"&amp;B49&amp;" Demographics'!J8"))/(INDIRECT("'"&amp;B49&amp;" Demographics'!B8"))),"#.0%")), " male and ",  (TEXT(((INDIRECT("'"&amp;B49&amp;" Demographics'!K8"))/(INDIRECT("'"&amp;B49&amp;" Demographics'!B8"))),"#.0%")), " female.")</f>
        <v>The population in GM is 2,833,112 according to the 2019 mid-year population estimate. This is broken down into 49.7% male and 50.3% female.</v>
      </c>
      <c r="O7" s="213"/>
      <c r="P7" s="213"/>
      <c r="Q7" s="213"/>
      <c r="R7" s="213"/>
      <c r="S7" s="213"/>
      <c r="T7" s="213"/>
      <c r="U7" s="213"/>
      <c r="V7" s="100"/>
    </row>
    <row r="8" spans="2:22" x14ac:dyDescent="0.2">
      <c r="B8" s="99"/>
      <c r="C8" s="218"/>
      <c r="D8" s="218"/>
      <c r="E8" s="218"/>
      <c r="F8" s="218"/>
      <c r="G8" s="218"/>
      <c r="H8" s="218"/>
      <c r="I8" s="218"/>
      <c r="J8" s="218"/>
      <c r="K8" s="100"/>
      <c r="M8" s="99"/>
      <c r="N8" s="213"/>
      <c r="O8" s="213"/>
      <c r="P8" s="213"/>
      <c r="Q8" s="213"/>
      <c r="R8" s="213"/>
      <c r="S8" s="213"/>
      <c r="T8" s="213"/>
      <c r="U8" s="213"/>
      <c r="V8" s="100"/>
    </row>
    <row r="9" spans="2:22" x14ac:dyDescent="0.2">
      <c r="B9" s="99"/>
      <c r="C9" s="219" t="str">
        <f>IF(NOT(OR(B49="GM", B49="England")), (CONCATENATE("In comparision the proportion of adults moving in Greater Manchester is ", (TEXT(H64,"0.0%")),".")), "")</f>
        <v/>
      </c>
      <c r="D9" s="219"/>
      <c r="E9" s="219"/>
      <c r="F9" s="219"/>
      <c r="G9" s="219"/>
      <c r="H9" s="219"/>
      <c r="I9" s="219"/>
      <c r="J9" s="219"/>
      <c r="K9" s="100"/>
      <c r="M9" s="99"/>
      <c r="N9" s="214"/>
      <c r="O9" s="214"/>
      <c r="P9" s="214"/>
      <c r="Q9" s="214"/>
      <c r="R9" s="214"/>
      <c r="S9" s="214"/>
      <c r="T9" s="214"/>
      <c r="U9" s="214"/>
      <c r="V9" s="100"/>
    </row>
    <row r="10" spans="2:22" x14ac:dyDescent="0.2">
      <c r="B10" s="99"/>
      <c r="C10" s="32"/>
      <c r="D10" s="32"/>
      <c r="E10" s="32"/>
      <c r="F10" s="32"/>
      <c r="G10" s="32"/>
      <c r="H10" s="32"/>
      <c r="I10" s="32"/>
      <c r="J10" s="32"/>
      <c r="K10" s="100"/>
      <c r="M10" s="99"/>
      <c r="N10" s="202" t="str">
        <f ca="1">CONCATENATE("The population is broken down into ",  (TEXT(((INDIRECT("'"&amp;B49&amp;" Demographics'!C8"))/(INDIRECT("'"&amp;B49&amp;" Demographics'!B8"))),"#.0%")), " aged 5 to 16, ", (TEXT(((INDIRECT("'"&amp;B49&amp;" Demographics'!H8"))/(INDIRECT("'"&amp;B49&amp;" Demographics'!B8"))),"#.0%")), " aged 16 to 54 and ",  (TEXT(((INDIRECT("'"&amp;B49&amp;" Demographics'!I8"))/(INDIRECT("'"&amp;B49&amp;" Demographics'!B8"))),"#.0%")), " who are over 55.")</f>
        <v>The population is broken down into 15.2% aged 5 to 16, 52.5% aged 16 to 54 and 27.0% who are over 55.</v>
      </c>
      <c r="O10" s="202"/>
      <c r="P10" s="202"/>
      <c r="Q10" s="202"/>
      <c r="R10" s="202"/>
      <c r="S10" s="202"/>
      <c r="T10" s="202"/>
      <c r="U10" s="202"/>
      <c r="V10" s="100"/>
    </row>
    <row r="11" spans="2:22" x14ac:dyDescent="0.2">
      <c r="B11" s="99"/>
      <c r="C11" s="32"/>
      <c r="D11" s="32"/>
      <c r="E11" s="32"/>
      <c r="F11" s="32"/>
      <c r="G11" s="32"/>
      <c r="H11" s="32"/>
      <c r="I11" s="32"/>
      <c r="J11" s="32"/>
      <c r="K11" s="100"/>
      <c r="M11" s="99"/>
      <c r="N11" s="202"/>
      <c r="O11" s="202"/>
      <c r="P11" s="202"/>
      <c r="Q11" s="202"/>
      <c r="R11" s="202"/>
      <c r="S11" s="202"/>
      <c r="T11" s="202"/>
      <c r="U11" s="202"/>
      <c r="V11" s="100"/>
    </row>
    <row r="12" spans="2:22" x14ac:dyDescent="0.2">
      <c r="B12" s="99"/>
      <c r="C12" s="32"/>
      <c r="D12" s="32"/>
      <c r="E12" s="32"/>
      <c r="F12" s="32"/>
      <c r="G12" s="32"/>
      <c r="H12" s="32"/>
      <c r="I12" s="32"/>
      <c r="J12" s="32"/>
      <c r="K12" s="100"/>
      <c r="M12" s="99"/>
      <c r="N12" s="204" t="s">
        <v>255</v>
      </c>
      <c r="O12" s="204"/>
      <c r="P12" s="204"/>
      <c r="Q12" s="204"/>
      <c r="R12" s="204"/>
      <c r="S12" s="204"/>
      <c r="T12" s="204"/>
      <c r="U12" s="204"/>
      <c r="V12" s="100"/>
    </row>
    <row r="13" spans="2:22" x14ac:dyDescent="0.2">
      <c r="B13" s="99"/>
      <c r="C13" s="32"/>
      <c r="D13" s="32"/>
      <c r="E13" s="32"/>
      <c r="F13" s="32"/>
      <c r="G13" s="32"/>
      <c r="H13" s="32"/>
      <c r="I13" s="32"/>
      <c r="J13" s="32"/>
      <c r="K13" s="100"/>
      <c r="M13" s="99"/>
      <c r="N13" s="204"/>
      <c r="O13" s="204"/>
      <c r="P13" s="204"/>
      <c r="Q13" s="204"/>
      <c r="R13" s="204"/>
      <c r="S13" s="204"/>
      <c r="T13" s="204"/>
      <c r="U13" s="204"/>
      <c r="V13" s="100"/>
    </row>
    <row r="14" spans="2:22" ht="15" thickBot="1" x14ac:dyDescent="0.25">
      <c r="B14" s="99"/>
      <c r="C14" s="32"/>
      <c r="D14" s="32"/>
      <c r="E14" s="32"/>
      <c r="F14" s="32"/>
      <c r="G14" s="32"/>
      <c r="H14" s="32"/>
      <c r="I14" s="32"/>
      <c r="J14" s="32"/>
      <c r="K14" s="100"/>
      <c r="M14" s="101"/>
      <c r="N14" s="209"/>
      <c r="O14" s="209"/>
      <c r="P14" s="209"/>
      <c r="Q14" s="209"/>
      <c r="R14" s="209"/>
      <c r="S14" s="209"/>
      <c r="T14" s="209"/>
      <c r="U14" s="209"/>
      <c r="V14" s="102"/>
    </row>
    <row r="15" spans="2:22" ht="15" thickTop="1" x14ac:dyDescent="0.2">
      <c r="B15" s="99"/>
      <c r="C15" s="32"/>
      <c r="D15" s="32"/>
      <c r="E15" s="32"/>
      <c r="F15" s="32"/>
      <c r="G15" s="32"/>
      <c r="H15" s="32"/>
      <c r="I15" s="32"/>
      <c r="J15" s="32"/>
      <c r="K15" s="100"/>
      <c r="M15" s="22"/>
      <c r="N15" s="22"/>
      <c r="O15" s="22"/>
      <c r="P15" s="22"/>
      <c r="Q15" s="22"/>
      <c r="R15" s="22"/>
      <c r="S15" s="22"/>
      <c r="T15" s="22"/>
      <c r="U15" s="22"/>
      <c r="V15" s="22"/>
    </row>
    <row r="16" spans="2:22" x14ac:dyDescent="0.2">
      <c r="B16" s="99"/>
      <c r="C16" s="211" t="str">
        <f ca="1">IFERROR(CONCATENATE("In ", B49," ", (TEXT(INDIRECT("'"&amp;B49&amp;" CYP'!O4"),"#,0")), " children and young people are now moving, this equates to ", (TEXT(INDIRECT("'"&amp;B49&amp;" CYP'!N4"),"0.0%")), " of all children and young people."), "Due to insufficient survey responses a breakdown of activity levels for children and young people could not be calculated.")</f>
        <v>In GM 266,700 children and young people are now moving, this equates to 68.1% of all children and young people.</v>
      </c>
      <c r="D16" s="211"/>
      <c r="E16" s="211"/>
      <c r="F16" s="211"/>
      <c r="G16" s="211"/>
      <c r="H16" s="211"/>
      <c r="I16" s="211"/>
      <c r="J16" s="211"/>
      <c r="K16" s="100"/>
      <c r="M16" s="22"/>
      <c r="N16" s="215"/>
      <c r="O16" s="215"/>
      <c r="P16" s="215"/>
      <c r="Q16" s="215"/>
      <c r="R16" s="215"/>
      <c r="S16" s="215"/>
      <c r="T16" s="215"/>
      <c r="U16" s="215"/>
      <c r="V16" s="22"/>
    </row>
    <row r="17" spans="2:22" x14ac:dyDescent="0.2">
      <c r="B17" s="99"/>
      <c r="C17" s="211"/>
      <c r="D17" s="211"/>
      <c r="E17" s="211"/>
      <c r="F17" s="211"/>
      <c r="G17" s="211"/>
      <c r="H17" s="211"/>
      <c r="I17" s="211"/>
      <c r="J17" s="211"/>
      <c r="K17" s="100"/>
      <c r="M17" s="22"/>
      <c r="N17" s="215"/>
      <c r="O17" s="215"/>
      <c r="P17" s="215"/>
      <c r="Q17" s="215"/>
      <c r="R17" s="215"/>
      <c r="S17" s="215"/>
      <c r="T17" s="215"/>
      <c r="U17" s="215"/>
      <c r="V17" s="22"/>
    </row>
    <row r="18" spans="2:22" x14ac:dyDescent="0.2">
      <c r="B18" s="99"/>
      <c r="C18" s="211" t="str">
        <f ca="1">IFERROR(CONCATENATE("This in a",(IF(H61-H60&gt;0,"n increase "," decrease ")),"in children and young people moving since baseline of ",(TEXT(ABS(J61-J60),"#,0")),"."), "")</f>
        <v>This in an increase in children and young people moving since baseline of 19,400.</v>
      </c>
      <c r="D18" s="211"/>
      <c r="E18" s="211"/>
      <c r="F18" s="211"/>
      <c r="G18" s="211"/>
      <c r="H18" s="211"/>
      <c r="I18" s="211"/>
      <c r="J18" s="211"/>
      <c r="K18" s="100"/>
      <c r="M18" s="22"/>
      <c r="N18" s="215"/>
      <c r="O18" s="215"/>
      <c r="P18" s="215"/>
      <c r="Q18" s="215"/>
      <c r="R18" s="215"/>
      <c r="S18" s="215"/>
      <c r="T18" s="215"/>
      <c r="U18" s="215"/>
      <c r="V18" s="22"/>
    </row>
    <row r="19" spans="2:22" ht="13.9" customHeight="1" x14ac:dyDescent="0.2">
      <c r="B19" s="99"/>
      <c r="C19" s="211" t="str">
        <f ca="1">IF(NOT(OR(B48="GM", B48="England")), (CONCATENATE("In comparision the proportion of children and young people moving in Greater Manchester is ", (TEXT(H66,"0.0%")),".")))</f>
        <v>In comparision the proportion of children and young people moving in Greater Manchester is 68.1%.</v>
      </c>
      <c r="D19" s="211"/>
      <c r="E19" s="211"/>
      <c r="F19" s="211"/>
      <c r="G19" s="211"/>
      <c r="H19" s="211"/>
      <c r="I19" s="211"/>
      <c r="J19" s="211"/>
      <c r="K19" s="100"/>
      <c r="M19" s="22"/>
      <c r="N19" s="215"/>
      <c r="O19" s="215"/>
      <c r="P19" s="215"/>
      <c r="Q19" s="215"/>
      <c r="R19" s="215"/>
      <c r="S19" s="215"/>
      <c r="T19" s="215"/>
      <c r="U19" s="215"/>
      <c r="V19" s="22"/>
    </row>
    <row r="20" spans="2:22" x14ac:dyDescent="0.2">
      <c r="B20" s="99"/>
      <c r="C20" s="211"/>
      <c r="D20" s="211"/>
      <c r="E20" s="211"/>
      <c r="F20" s="211"/>
      <c r="G20" s="211"/>
      <c r="H20" s="211"/>
      <c r="I20" s="211"/>
      <c r="J20" s="211"/>
      <c r="K20" s="100"/>
      <c r="M20" s="22"/>
      <c r="N20" s="215"/>
      <c r="O20" s="215"/>
      <c r="P20" s="215"/>
      <c r="Q20" s="215"/>
      <c r="R20" s="215"/>
      <c r="S20" s="215"/>
      <c r="T20" s="215"/>
      <c r="U20" s="215"/>
      <c r="V20" s="22"/>
    </row>
    <row r="21" spans="2:22" x14ac:dyDescent="0.2">
      <c r="B21" s="99"/>
      <c r="C21" s="32"/>
      <c r="D21" s="32"/>
      <c r="E21" s="32"/>
      <c r="F21" s="32"/>
      <c r="G21" s="32"/>
      <c r="H21" s="32"/>
      <c r="I21" s="32"/>
      <c r="J21" s="32"/>
      <c r="K21" s="100"/>
      <c r="M21" s="22"/>
      <c r="N21" s="22"/>
      <c r="O21" s="22"/>
      <c r="P21" s="22"/>
      <c r="Q21" s="22"/>
      <c r="R21" s="22"/>
      <c r="S21" s="22"/>
      <c r="T21" s="22"/>
      <c r="U21" s="22"/>
      <c r="V21" s="22"/>
    </row>
    <row r="22" spans="2:22" x14ac:dyDescent="0.2">
      <c r="B22" s="99"/>
      <c r="C22" s="32"/>
      <c r="D22" s="32"/>
      <c r="E22" s="32"/>
      <c r="F22" s="32"/>
      <c r="G22" s="32"/>
      <c r="H22" s="32"/>
      <c r="I22" s="32"/>
      <c r="J22" s="32"/>
      <c r="K22" s="100"/>
      <c r="M22" s="22"/>
      <c r="N22" s="22"/>
      <c r="O22" s="22"/>
      <c r="P22" s="22"/>
      <c r="Q22" s="22"/>
      <c r="R22" s="22"/>
      <c r="S22" s="22"/>
      <c r="T22" s="22"/>
      <c r="U22" s="22"/>
      <c r="V22" s="22"/>
    </row>
    <row r="23" spans="2:22" x14ac:dyDescent="0.2">
      <c r="B23" s="99"/>
      <c r="C23" s="32"/>
      <c r="D23" s="32"/>
      <c r="E23" s="32"/>
      <c r="F23" s="32"/>
      <c r="G23" s="32"/>
      <c r="H23" s="32"/>
      <c r="I23" s="32"/>
      <c r="J23" s="32"/>
      <c r="K23" s="100"/>
      <c r="M23" s="22"/>
      <c r="N23" s="22"/>
      <c r="O23" s="22"/>
      <c r="P23" s="22"/>
      <c r="Q23" s="22"/>
      <c r="R23" s="22"/>
      <c r="S23" s="22"/>
      <c r="T23" s="22"/>
      <c r="U23" s="22"/>
      <c r="V23" s="22"/>
    </row>
    <row r="24" spans="2:22" x14ac:dyDescent="0.2">
      <c r="B24" s="99"/>
      <c r="C24" s="32"/>
      <c r="D24" s="32"/>
      <c r="E24" s="32"/>
      <c r="F24" s="32"/>
      <c r="G24" s="32"/>
      <c r="H24" s="32"/>
      <c r="I24" s="32"/>
      <c r="J24" s="32"/>
      <c r="K24" s="100"/>
      <c r="M24" s="22"/>
      <c r="N24" s="22"/>
      <c r="O24" s="22"/>
      <c r="P24" s="22"/>
      <c r="Q24" s="22"/>
      <c r="R24" s="22"/>
      <c r="S24" s="22"/>
      <c r="T24" s="22"/>
      <c r="U24" s="22"/>
      <c r="V24" s="22"/>
    </row>
    <row r="25" spans="2:22" x14ac:dyDescent="0.2">
      <c r="B25" s="99"/>
      <c r="C25" s="32"/>
      <c r="D25" s="32"/>
      <c r="E25" s="32"/>
      <c r="F25" s="32"/>
      <c r="G25" s="32"/>
      <c r="H25" s="32"/>
      <c r="I25" s="32"/>
      <c r="J25" s="32"/>
      <c r="K25" s="100"/>
      <c r="M25" s="22"/>
      <c r="N25" s="22"/>
      <c r="O25" s="22"/>
      <c r="P25" s="22"/>
      <c r="Q25" s="22"/>
      <c r="R25" s="22"/>
      <c r="S25" s="22"/>
      <c r="T25" s="22"/>
      <c r="U25" s="22"/>
      <c r="V25" s="22"/>
    </row>
    <row r="26" spans="2:22" x14ac:dyDescent="0.2">
      <c r="B26" s="99"/>
      <c r="C26" s="32"/>
      <c r="D26" s="32"/>
      <c r="E26" s="32"/>
      <c r="F26" s="32"/>
      <c r="G26" s="32"/>
      <c r="H26" s="32"/>
      <c r="I26" s="32"/>
      <c r="J26" s="32"/>
      <c r="K26" s="100"/>
      <c r="M26" s="22"/>
      <c r="N26" s="22"/>
      <c r="O26" s="22"/>
      <c r="P26" s="22"/>
      <c r="Q26" s="22"/>
      <c r="R26" s="22"/>
      <c r="S26" s="22"/>
      <c r="T26" s="22"/>
      <c r="U26" s="22"/>
      <c r="V26" s="22"/>
    </row>
    <row r="27" spans="2:22" ht="13.9" customHeight="1" x14ac:dyDescent="0.2">
      <c r="B27" s="99"/>
      <c r="C27" s="210" t="str">
        <f ca="1">CONCATENATE("The largest inactivity inequality gap amongst adults in ",B69, " is the ", (LOWER(I70)), " with a ", (TEXT(I69, "0.0%")), " gap, the smallest is the ", (LOWER(H70)), " with a ", (TEXT(H69,"0.0%")), " gap.")</f>
        <v>The largest inactivity inequality gap amongst adults in GM is the age gap with a 27.9% gap, the smallest is the gender gap with a 1.9% gap.</v>
      </c>
      <c r="D27" s="210"/>
      <c r="E27" s="210"/>
      <c r="F27" s="210"/>
      <c r="G27" s="210"/>
      <c r="H27" s="210"/>
      <c r="I27" s="210"/>
      <c r="J27" s="210"/>
      <c r="K27" s="100"/>
      <c r="M27" s="22"/>
      <c r="N27" s="216"/>
      <c r="O27" s="216"/>
      <c r="P27" s="216"/>
      <c r="Q27" s="216"/>
      <c r="R27" s="216"/>
      <c r="S27" s="216"/>
      <c r="T27" s="216"/>
      <c r="U27" s="216"/>
      <c r="V27" s="22"/>
    </row>
    <row r="28" spans="2:22" x14ac:dyDescent="0.2">
      <c r="B28" s="99"/>
      <c r="C28" s="210"/>
      <c r="D28" s="210"/>
      <c r="E28" s="210"/>
      <c r="F28" s="210"/>
      <c r="G28" s="210"/>
      <c r="H28" s="210"/>
      <c r="I28" s="210"/>
      <c r="J28" s="210"/>
      <c r="K28" s="100"/>
      <c r="M28" s="22"/>
      <c r="N28" s="216"/>
      <c r="O28" s="216"/>
      <c r="P28" s="216"/>
      <c r="Q28" s="216"/>
      <c r="R28" s="216"/>
      <c r="S28" s="216"/>
      <c r="T28" s="216"/>
      <c r="U28" s="216"/>
      <c r="V28" s="22"/>
    </row>
    <row r="29" spans="2:22" x14ac:dyDescent="0.2">
      <c r="B29" s="99"/>
      <c r="C29" s="210" t="str">
        <f ca="1">CONCATENATE("The demographics with the highest levels of inactivity in ", B49, " are ", H74, " (", (TEXT(G74, "0.0%")), "), ", H75, " (", (TEXT(G75, "0.0%")),") and ", H76, " (", (TEXT(G76, "0.0%")), ").")</f>
        <v>The demographics with the highest levels of inactivity in GM are not working - long term sick or disabled (59.2%), 75+ (50.1%) and Black (46.2%).</v>
      </c>
      <c r="D29" s="210"/>
      <c r="E29" s="210"/>
      <c r="F29" s="210"/>
      <c r="G29" s="210"/>
      <c r="H29" s="210"/>
      <c r="I29" s="210"/>
      <c r="J29" s="210"/>
      <c r="K29" s="100"/>
      <c r="M29" s="22"/>
      <c r="N29" s="216"/>
      <c r="O29" s="216"/>
      <c r="P29" s="216"/>
      <c r="Q29" s="216"/>
      <c r="R29" s="216"/>
      <c r="S29" s="216"/>
      <c r="T29" s="216"/>
      <c r="U29" s="216"/>
      <c r="V29" s="22"/>
    </row>
    <row r="30" spans="2:22" x14ac:dyDescent="0.2">
      <c r="B30" s="99"/>
      <c r="C30" s="210"/>
      <c r="D30" s="210"/>
      <c r="E30" s="210"/>
      <c r="F30" s="210"/>
      <c r="G30" s="210"/>
      <c r="H30" s="210"/>
      <c r="I30" s="210"/>
      <c r="J30" s="210"/>
      <c r="K30" s="100"/>
      <c r="M30" s="22"/>
      <c r="N30" s="216"/>
      <c r="O30" s="216"/>
      <c r="P30" s="216"/>
      <c r="Q30" s="216"/>
      <c r="R30" s="216"/>
      <c r="S30" s="216"/>
      <c r="T30" s="216"/>
      <c r="U30" s="216"/>
      <c r="V30" s="22"/>
    </row>
    <row r="31" spans="2:22" x14ac:dyDescent="0.2">
      <c r="B31" s="99"/>
      <c r="C31" s="210" t="str">
        <f ca="1">CONCATENATE("The demographics with the lowest levels of inactivity in ", B49, " are ", J74, " (", (TEXT(I74, "0.0%")), "), ", J75, " (", (TEXT(I75, "0.0%")),") and ", J76, " (", (TEXT(I76, "0.0%")), ").")</f>
        <v>The demographics with the lowest levels of inactivity in GM are NS SEC 1-2: Higher social groups (18.3%), student full or part time (18.4%) and 16-34 (22.2%).</v>
      </c>
      <c r="D31" s="210"/>
      <c r="E31" s="210"/>
      <c r="F31" s="210"/>
      <c r="G31" s="210"/>
      <c r="H31" s="210"/>
      <c r="I31" s="210"/>
      <c r="J31" s="210"/>
      <c r="K31" s="100"/>
      <c r="M31" s="22"/>
      <c r="N31" s="216"/>
      <c r="O31" s="216"/>
      <c r="P31" s="216"/>
      <c r="Q31" s="216"/>
      <c r="R31" s="216"/>
      <c r="S31" s="216"/>
      <c r="T31" s="216"/>
      <c r="U31" s="216"/>
      <c r="V31" s="22"/>
    </row>
    <row r="32" spans="2:22" x14ac:dyDescent="0.2">
      <c r="B32" s="99"/>
      <c r="C32" s="210"/>
      <c r="D32" s="210"/>
      <c r="E32" s="210"/>
      <c r="F32" s="210"/>
      <c r="G32" s="210"/>
      <c r="H32" s="210"/>
      <c r="I32" s="210"/>
      <c r="J32" s="210"/>
      <c r="K32" s="100"/>
      <c r="M32" s="22"/>
      <c r="N32" s="216"/>
      <c r="O32" s="216"/>
      <c r="P32" s="216"/>
      <c r="Q32" s="216"/>
      <c r="R32" s="216"/>
      <c r="S32" s="216"/>
      <c r="T32" s="216"/>
      <c r="U32" s="216"/>
      <c r="V32" s="22"/>
    </row>
    <row r="33" spans="2:22" ht="14.25" customHeight="1" x14ac:dyDescent="0.2">
      <c r="B33" s="99"/>
      <c r="C33" s="210" t="str">
        <f>CONCATENATE((IF(B49="GM", (CONCATENATE("When the adult and children and young people figures are combined there are now ", (TEXT(Targets!F114,"#,0")), " people moving in Greater Manchester, this equates to ", (TEXT(Targets!H114, "0.0%")), " of the total population.")),"")))</f>
        <v>When the adult and children and young people figures are combined there are now 1,907,455 people moving in Greater Manchester, this equates to 69.0% of the total population.</v>
      </c>
      <c r="D33" s="210"/>
      <c r="E33" s="210"/>
      <c r="F33" s="210"/>
      <c r="G33" s="210"/>
      <c r="H33" s="210"/>
      <c r="I33" s="210"/>
      <c r="J33" s="210"/>
      <c r="K33" s="100"/>
      <c r="M33" s="22"/>
      <c r="N33" s="216"/>
      <c r="O33" s="216"/>
      <c r="P33" s="216"/>
      <c r="Q33" s="216"/>
      <c r="R33" s="216"/>
      <c r="S33" s="216"/>
      <c r="T33" s="216"/>
      <c r="U33" s="216"/>
      <c r="V33" s="22"/>
    </row>
    <row r="34" spans="2:22" x14ac:dyDescent="0.2">
      <c r="B34" s="99"/>
      <c r="C34" s="210"/>
      <c r="D34" s="210"/>
      <c r="E34" s="210"/>
      <c r="F34" s="210"/>
      <c r="G34" s="210"/>
      <c r="H34" s="210"/>
      <c r="I34" s="210"/>
      <c r="J34" s="210"/>
      <c r="K34" s="100"/>
      <c r="M34" s="22"/>
      <c r="N34" s="216"/>
      <c r="O34" s="216"/>
      <c r="P34" s="216"/>
      <c r="Q34" s="216"/>
      <c r="R34" s="216"/>
      <c r="S34" s="216"/>
      <c r="T34" s="216"/>
      <c r="U34" s="216"/>
      <c r="V34" s="22"/>
    </row>
    <row r="35" spans="2:22" x14ac:dyDescent="0.2">
      <c r="B35" s="99"/>
      <c r="C35" s="210"/>
      <c r="D35" s="210"/>
      <c r="E35" s="210"/>
      <c r="F35" s="210"/>
      <c r="G35" s="210"/>
      <c r="H35" s="210"/>
      <c r="I35" s="210"/>
      <c r="J35" s="210"/>
      <c r="K35" s="100"/>
      <c r="M35" s="22"/>
      <c r="N35" s="216"/>
      <c r="O35" s="216"/>
      <c r="P35" s="216"/>
      <c r="Q35" s="216"/>
      <c r="R35" s="216"/>
      <c r="S35" s="216"/>
      <c r="T35" s="216"/>
      <c r="U35" s="216"/>
      <c r="V35" s="22"/>
    </row>
    <row r="36" spans="2:22" x14ac:dyDescent="0.2">
      <c r="B36" s="99"/>
      <c r="C36" s="204" t="s">
        <v>312</v>
      </c>
      <c r="D36" s="204"/>
      <c r="E36" s="204"/>
      <c r="F36" s="204"/>
      <c r="G36" s="204"/>
      <c r="H36" s="204"/>
      <c r="I36" s="204"/>
      <c r="J36" s="204"/>
      <c r="K36" s="100"/>
      <c r="M36" s="22"/>
      <c r="N36" s="22"/>
      <c r="O36" s="22"/>
      <c r="P36" s="22"/>
      <c r="Q36" s="22"/>
      <c r="R36" s="22"/>
      <c r="S36" s="22"/>
      <c r="T36" s="22"/>
      <c r="U36" s="22"/>
      <c r="V36" s="22"/>
    </row>
    <row r="37" spans="2:22" x14ac:dyDescent="0.2">
      <c r="B37" s="99"/>
      <c r="C37" s="204"/>
      <c r="D37" s="204"/>
      <c r="E37" s="204"/>
      <c r="F37" s="204"/>
      <c r="G37" s="204"/>
      <c r="H37" s="204"/>
      <c r="I37" s="204"/>
      <c r="J37" s="204"/>
      <c r="K37" s="100"/>
      <c r="M37" s="22"/>
      <c r="N37" s="22"/>
      <c r="O37" s="22"/>
      <c r="P37" s="22"/>
      <c r="Q37" s="22"/>
      <c r="R37" s="22"/>
      <c r="S37" s="22"/>
      <c r="T37" s="22"/>
      <c r="U37" s="22"/>
      <c r="V37" s="22"/>
    </row>
    <row r="38" spans="2:22" ht="15" thickBot="1" x14ac:dyDescent="0.25">
      <c r="B38" s="101"/>
      <c r="C38" s="209"/>
      <c r="D38" s="209"/>
      <c r="E38" s="209"/>
      <c r="F38" s="209"/>
      <c r="G38" s="209"/>
      <c r="H38" s="209"/>
      <c r="I38" s="209"/>
      <c r="J38" s="209"/>
      <c r="K38" s="102"/>
      <c r="M38" s="22"/>
      <c r="N38" s="22"/>
      <c r="O38" s="22"/>
      <c r="P38" s="22"/>
      <c r="Q38" s="22"/>
      <c r="R38" s="22"/>
      <c r="S38" s="22"/>
      <c r="T38" s="22"/>
      <c r="U38" s="22"/>
      <c r="V38" s="22"/>
    </row>
    <row r="39" spans="2:22" ht="15" thickTop="1" x14ac:dyDescent="0.2"/>
    <row r="40" spans="2:22" x14ac:dyDescent="0.2">
      <c r="K40" s="195" t="s">
        <v>147</v>
      </c>
      <c r="L40" s="195"/>
    </row>
    <row r="41" spans="2:22" x14ac:dyDescent="0.2">
      <c r="B41" s="83"/>
    </row>
    <row r="42" spans="2:22" x14ac:dyDescent="0.2">
      <c r="B42" s="34"/>
      <c r="C42" s="34"/>
      <c r="D42" s="34"/>
      <c r="E42" s="34"/>
      <c r="F42" s="34"/>
      <c r="G42" s="34"/>
      <c r="H42" s="34"/>
      <c r="I42" s="34"/>
      <c r="J42" s="34"/>
      <c r="K42" s="34"/>
      <c r="L42" s="34"/>
      <c r="M42" s="34"/>
      <c r="N42" s="34"/>
      <c r="O42" s="34"/>
      <c r="P42" s="34"/>
    </row>
    <row r="43" spans="2:22" x14ac:dyDescent="0.2">
      <c r="B43" s="34"/>
      <c r="C43" s="34"/>
      <c r="D43" s="34"/>
      <c r="E43" s="34"/>
      <c r="F43" s="34"/>
      <c r="G43" s="34"/>
      <c r="H43" s="34"/>
      <c r="I43" s="34"/>
      <c r="J43" s="34"/>
      <c r="K43" s="34"/>
      <c r="L43" s="34"/>
      <c r="M43" s="34"/>
      <c r="N43" s="34"/>
      <c r="O43" s="34"/>
      <c r="P43" s="34"/>
    </row>
    <row r="44" spans="2:22" x14ac:dyDescent="0.2">
      <c r="B44" s="34"/>
      <c r="C44" s="34"/>
      <c r="D44" s="34"/>
      <c r="E44" s="34"/>
      <c r="F44" s="34"/>
      <c r="G44" s="34"/>
      <c r="H44" s="34"/>
      <c r="I44" s="34"/>
      <c r="J44" s="34"/>
      <c r="K44" s="34"/>
      <c r="L44" s="34"/>
      <c r="M44" s="34"/>
      <c r="N44" s="34"/>
      <c r="O44" s="34"/>
      <c r="P44" s="34"/>
    </row>
    <row r="45" spans="2:22" x14ac:dyDescent="0.2">
      <c r="B45" s="34"/>
      <c r="C45" s="34"/>
      <c r="D45" s="34"/>
      <c r="E45" s="34"/>
      <c r="F45" s="34"/>
      <c r="G45" s="34"/>
      <c r="H45" s="34"/>
      <c r="I45" s="34"/>
      <c r="J45" s="34"/>
      <c r="K45" s="34"/>
      <c r="L45" s="34"/>
      <c r="M45" s="34"/>
      <c r="N45" s="34"/>
      <c r="O45" s="34"/>
      <c r="P45" s="34"/>
    </row>
    <row r="46" spans="2:22" ht="13.9" customHeight="1" x14ac:dyDescent="0.2">
      <c r="B46" s="208" t="str">
        <f ca="1">CONCATENATE((TEXT(E57,"0.0%")), CHAR(10),"Inactive")</f>
        <v>28.1%
Inactive</v>
      </c>
      <c r="C46" s="208"/>
      <c r="D46" s="208" t="str">
        <f ca="1">CONCATENATE((TEXT(F57,"0.0%")), CHAR(10),"Fairly Active")</f>
        <v>10.9%
Fairly Active</v>
      </c>
      <c r="E46" s="208"/>
      <c r="F46" s="208" t="str">
        <f ca="1">CONCATENATE((TEXT(G57,"0.0%")), CHAR(10),"Active")</f>
        <v>61.0%
Active</v>
      </c>
      <c r="G46" s="208"/>
      <c r="H46" s="208" t="str">
        <f ca="1">CONCATENATE((TEXT(G61,"0.0%")), CHAR(10),"Less Active")</f>
        <v>31.9%
Less Active</v>
      </c>
      <c r="I46" s="208"/>
      <c r="J46" s="208" t="str">
        <f ca="1">CONCATENATE((TEXT(F61,"0.0%")), CHAR(10),"Fairly Active",)</f>
        <v>23.0%
Fairly Active</v>
      </c>
      <c r="K46" s="208"/>
      <c r="L46" s="208" t="str">
        <f ca="1">CONCATENATE((TEXT(E61,"0.0%")), CHAR(10),"Active")</f>
        <v>45.2%
Active</v>
      </c>
      <c r="M46" s="208"/>
      <c r="N46" s="34"/>
      <c r="O46" s="34"/>
      <c r="P46" s="34"/>
    </row>
    <row r="47" spans="2:22" x14ac:dyDescent="0.2">
      <c r="B47" s="208"/>
      <c r="C47" s="208"/>
      <c r="D47" s="208"/>
      <c r="E47" s="208"/>
      <c r="F47" s="208"/>
      <c r="G47" s="208"/>
      <c r="H47" s="208"/>
      <c r="I47" s="208"/>
      <c r="J47" s="208"/>
      <c r="K47" s="208"/>
      <c r="L47" s="208"/>
      <c r="M47" s="208"/>
      <c r="N47" s="34"/>
      <c r="O47" s="34"/>
      <c r="P47" s="34"/>
    </row>
    <row r="48" spans="2:22" x14ac:dyDescent="0.2">
      <c r="B48" s="34"/>
      <c r="C48" s="34"/>
      <c r="D48" s="34"/>
      <c r="E48" s="34"/>
      <c r="F48" s="34"/>
      <c r="G48" s="34"/>
      <c r="H48" s="34"/>
      <c r="I48" s="34"/>
      <c r="J48" s="34"/>
      <c r="K48" s="34"/>
      <c r="L48" s="34"/>
      <c r="M48" s="34"/>
      <c r="N48" s="34"/>
      <c r="O48" s="34"/>
      <c r="P48" s="34"/>
    </row>
    <row r="49" spans="2:16" x14ac:dyDescent="0.2">
      <c r="B49" s="34" t="str">
        <f>Selection!D7</f>
        <v>GM</v>
      </c>
      <c r="C49" s="34"/>
      <c r="D49" s="35"/>
      <c r="E49" s="34" t="s">
        <v>119</v>
      </c>
      <c r="F49" s="34" t="s">
        <v>120</v>
      </c>
      <c r="G49" s="34" t="s">
        <v>121</v>
      </c>
      <c r="H49" s="34" t="s">
        <v>99</v>
      </c>
      <c r="I49" s="34"/>
      <c r="J49" s="34"/>
      <c r="K49" s="34"/>
      <c r="L49" s="34"/>
      <c r="M49" s="34"/>
      <c r="N49" s="34"/>
      <c r="O49" s="34"/>
      <c r="P49" s="34"/>
    </row>
    <row r="50" spans="2:16" x14ac:dyDescent="0.2">
      <c r="B50" s="34"/>
      <c r="C50" s="34"/>
      <c r="D50" s="36" t="s">
        <v>35</v>
      </c>
      <c r="E50" s="37">
        <f ca="1">INDIRECT(""&amp;B49&amp;"!BK3")</f>
        <v>0.28520000000000001</v>
      </c>
      <c r="F50" s="37">
        <f ca="1">INDIRECT(""&amp;B49&amp;"!AG3")</f>
        <v>0.12127418328612977</v>
      </c>
      <c r="G50" s="37">
        <f ca="1">INDIRECT(""&amp;B49&amp;"!C3")</f>
        <v>0.59354515323705681</v>
      </c>
      <c r="H50" s="38">
        <f ca="1">SUM(F50:G50)</f>
        <v>0.71481933652318652</v>
      </c>
      <c r="I50" s="34"/>
      <c r="J50" s="34">
        <f ca="1">INDIRECT(""&amp;B49&amp;"!CP3")</f>
        <v>1570900</v>
      </c>
      <c r="K50" s="34"/>
      <c r="L50" s="34"/>
      <c r="M50" s="34"/>
      <c r="N50" s="34"/>
      <c r="O50" s="34"/>
      <c r="P50" s="34"/>
    </row>
    <row r="51" spans="2:16" x14ac:dyDescent="0.2">
      <c r="B51" s="34"/>
      <c r="C51" s="34"/>
      <c r="D51" s="36" t="s">
        <v>36</v>
      </c>
      <c r="E51" s="37">
        <f ca="1">INDIRECT(""&amp;B49&amp;"!BK4")</f>
        <v>0.27572606825876445</v>
      </c>
      <c r="F51" s="37">
        <f ca="1">INDIRECT(""&amp;B49&amp;"!AG4")</f>
        <v>0.1149</v>
      </c>
      <c r="G51" s="37">
        <f ca="1">INDIRECT(""&amp;B49&amp;"!C4")</f>
        <v>0.60929999999999995</v>
      </c>
      <c r="H51" s="38">
        <f t="shared" ref="H51:H56" ca="1" si="0">SUM(F51:G51)</f>
        <v>0.72419999999999995</v>
      </c>
      <c r="I51" s="34"/>
      <c r="J51" s="34">
        <f ca="1">INDIRECT(""&amp;B49&amp;"!CP4")</f>
        <v>1605100</v>
      </c>
      <c r="K51" s="34"/>
      <c r="L51" s="34"/>
      <c r="M51" s="34"/>
      <c r="N51" s="34"/>
      <c r="O51" s="34"/>
      <c r="P51" s="34"/>
    </row>
    <row r="52" spans="2:16" x14ac:dyDescent="0.2">
      <c r="B52" s="34"/>
      <c r="C52" s="34"/>
      <c r="D52" s="36" t="s">
        <v>37</v>
      </c>
      <c r="E52" s="37">
        <f ca="1">INDIRECT(""&amp;B49&amp;"!BK5")</f>
        <v>0.26650000000000001</v>
      </c>
      <c r="F52" s="37">
        <f ca="1">INDIRECT(""&amp;B49&amp;"!AG5")</f>
        <v>0.109</v>
      </c>
      <c r="G52" s="37">
        <f ca="1">INDIRECT(""&amp;B49&amp;"!C5")</f>
        <v>0.61350000000000005</v>
      </c>
      <c r="H52" s="38">
        <f t="shared" ca="1" si="0"/>
        <v>0.72250000000000003</v>
      </c>
      <c r="I52" s="34"/>
      <c r="J52" s="34">
        <f ca="1">INDIRECT(""&amp;B49&amp;"!CP5")</f>
        <v>1602100</v>
      </c>
      <c r="K52" s="34"/>
      <c r="L52" s="34"/>
      <c r="M52" s="34"/>
      <c r="N52" s="34"/>
      <c r="O52" s="34"/>
      <c r="P52" s="34"/>
    </row>
    <row r="53" spans="2:16" x14ac:dyDescent="0.2">
      <c r="B53" s="34"/>
      <c r="C53" s="34"/>
      <c r="D53" s="36" t="s">
        <v>38</v>
      </c>
      <c r="E53" s="37">
        <f ca="1">INDIRECT(""&amp;B49&amp;"!BK6")</f>
        <v>0.27074742610830277</v>
      </c>
      <c r="F53" s="37">
        <f ca="1">INDIRECT(""&amp;B49&amp;"!AG6")</f>
        <v>0.12322296757519696</v>
      </c>
      <c r="G53" s="37">
        <f ca="1">INDIRECT(""&amp;B49&amp;"!C6")</f>
        <v>0.60602960631650016</v>
      </c>
      <c r="H53" s="38">
        <f t="shared" ca="1" si="0"/>
        <v>0.72925257389169706</v>
      </c>
      <c r="I53" s="34"/>
      <c r="J53" s="34">
        <f ca="1">INDIRECT(""&amp;B49&amp;"!CP6")</f>
        <v>1624100</v>
      </c>
      <c r="K53" s="34"/>
      <c r="L53" s="34"/>
      <c r="M53" s="34"/>
      <c r="N53" s="34"/>
      <c r="O53" s="34"/>
      <c r="P53" s="34"/>
    </row>
    <row r="54" spans="2:16" x14ac:dyDescent="0.2">
      <c r="B54" s="34"/>
      <c r="C54" s="34"/>
      <c r="D54" s="36" t="s">
        <v>39</v>
      </c>
      <c r="E54" s="37">
        <f ca="1">INDIRECT(""&amp;B49&amp;"!BK7")</f>
        <v>0.26700000000000002</v>
      </c>
      <c r="F54" s="37">
        <f ca="1">INDIRECT(""&amp;B49&amp;"!AG7")</f>
        <v>0.12640051655468471</v>
      </c>
      <c r="G54" s="37">
        <f ca="1">INDIRECT(""&amp;B49&amp;"!C7")</f>
        <v>0.60660000000000003</v>
      </c>
      <c r="H54" s="38">
        <f t="shared" ca="1" si="0"/>
        <v>0.73300051655468468</v>
      </c>
      <c r="I54" s="34"/>
      <c r="J54" s="34">
        <f ca="1">INDIRECT(""&amp;B49&amp;"!CP7")</f>
        <v>1632500</v>
      </c>
      <c r="K54" s="34"/>
      <c r="L54" s="34"/>
      <c r="M54" s="34"/>
      <c r="N54" s="34"/>
      <c r="O54" s="34"/>
      <c r="P54" s="34"/>
    </row>
    <row r="55" spans="2:16" x14ac:dyDescent="0.2">
      <c r="B55" s="34"/>
      <c r="C55" s="34"/>
      <c r="D55" s="36" t="s">
        <v>40</v>
      </c>
      <c r="E55" s="37">
        <f ca="1">INDIRECT(""&amp;B49&amp;"!BK8")</f>
        <v>0.26690000000000003</v>
      </c>
      <c r="F55" s="37">
        <f ca="1">INDIRECT(""&amp;B49&amp;"!AG8")</f>
        <v>0.12089999999999999</v>
      </c>
      <c r="G55" s="37">
        <f ca="1">INDIRECT(""&amp;B49&amp;"!C8")</f>
        <v>0.61219999999999997</v>
      </c>
      <c r="H55" s="38">
        <f t="shared" ca="1" si="0"/>
        <v>0.73309999999999997</v>
      </c>
      <c r="I55" s="34"/>
      <c r="J55" s="34">
        <f ca="1">INDIRECT(""&amp;B49&amp;"!CP8")</f>
        <v>1639000</v>
      </c>
      <c r="K55" s="34"/>
      <c r="L55" s="34"/>
      <c r="M55" s="34"/>
      <c r="N55" s="34"/>
      <c r="O55" s="34"/>
      <c r="P55" s="34"/>
    </row>
    <row r="56" spans="2:16" x14ac:dyDescent="0.2">
      <c r="B56" s="34"/>
      <c r="C56" s="34"/>
      <c r="D56" s="36" t="s">
        <v>41</v>
      </c>
      <c r="E56" s="37">
        <f ca="1">INDIRECT(""&amp;B49&amp;"!BK9")</f>
        <v>0.26203863773603581</v>
      </c>
      <c r="F56" s="37">
        <f ca="1">INDIRECT(""&amp;B49&amp;"!AG9")</f>
        <v>0.11840083948537654</v>
      </c>
      <c r="G56" s="37">
        <f ca="1">INDIRECT(""&amp;B49&amp;"!C9")</f>
        <v>0.6195605227785913</v>
      </c>
      <c r="H56" s="38">
        <f t="shared" ca="1" si="0"/>
        <v>0.7379613622639678</v>
      </c>
      <c r="I56" s="34"/>
      <c r="J56" s="34">
        <f ca="1">INDIRECT(""&amp;B49&amp;"!CP9")</f>
        <v>1649900</v>
      </c>
      <c r="K56" s="34"/>
      <c r="L56" s="34"/>
      <c r="M56" s="34"/>
      <c r="N56" s="34"/>
      <c r="O56" s="34"/>
      <c r="P56" s="34"/>
    </row>
    <row r="57" spans="2:16" x14ac:dyDescent="0.2">
      <c r="B57" s="34"/>
      <c r="C57" s="34"/>
      <c r="D57" s="36" t="s">
        <v>155</v>
      </c>
      <c r="E57" s="37">
        <f ca="1">INDIRECT(""&amp;B49&amp;"!BK10")</f>
        <v>0.28050000000000003</v>
      </c>
      <c r="F57" s="37">
        <f ca="1">INDIRECT(""&amp;B49&amp;"!AG10")</f>
        <v>0.10929999999999999</v>
      </c>
      <c r="G57" s="37">
        <f ca="1">INDIRECT(""&amp;B49&amp;"!C10")</f>
        <v>0.61019999999999996</v>
      </c>
      <c r="H57" s="38">
        <f t="shared" ref="H57" ca="1" si="1">SUM(F57:G57)</f>
        <v>0.71949999999999992</v>
      </c>
      <c r="I57" s="34"/>
      <c r="J57" s="34">
        <f ca="1">INDIRECT(""&amp;B49&amp;"!CP10")</f>
        <v>1621700</v>
      </c>
      <c r="K57" s="34"/>
      <c r="L57" s="34"/>
      <c r="M57" s="34"/>
      <c r="N57" s="34"/>
      <c r="O57" s="34"/>
      <c r="P57" s="34"/>
    </row>
    <row r="58" spans="2:16" x14ac:dyDescent="0.2">
      <c r="B58" s="34"/>
      <c r="C58" s="34"/>
      <c r="D58" s="35"/>
      <c r="E58" s="34"/>
      <c r="F58" s="34"/>
      <c r="G58" s="34"/>
      <c r="H58" s="34"/>
      <c r="I58" s="34"/>
      <c r="J58" s="34"/>
      <c r="K58" s="34"/>
      <c r="L58" s="34"/>
      <c r="M58" s="34"/>
      <c r="N58" s="34"/>
      <c r="O58" s="34"/>
      <c r="P58" s="34"/>
    </row>
    <row r="59" spans="2:16" x14ac:dyDescent="0.2">
      <c r="B59" s="34" t="str">
        <f>Selection!D7</f>
        <v>GM</v>
      </c>
      <c r="C59" s="34"/>
      <c r="D59" s="34"/>
      <c r="E59" s="34" t="s">
        <v>121</v>
      </c>
      <c r="F59" s="34" t="s">
        <v>120</v>
      </c>
      <c r="G59" s="34" t="s">
        <v>126</v>
      </c>
      <c r="H59" s="34" t="s">
        <v>99</v>
      </c>
      <c r="I59" s="34"/>
      <c r="J59" s="34"/>
      <c r="K59" s="34"/>
      <c r="L59" s="34"/>
      <c r="M59" s="34"/>
      <c r="N59" s="34"/>
      <c r="O59" s="34"/>
      <c r="P59" s="34"/>
    </row>
    <row r="60" spans="2:16" x14ac:dyDescent="0.2">
      <c r="B60" s="34"/>
      <c r="C60" s="34"/>
      <c r="D60" s="36" t="s">
        <v>132</v>
      </c>
      <c r="E60" s="37">
        <f ca="1">INDIRECT("'"&amp;B49&amp;" CYP'!C3")</f>
        <v>0.39900000000000002</v>
      </c>
      <c r="F60" s="37">
        <f ca="1">INDIRECT("'"&amp;B49&amp;" CYP'!E3")</f>
        <v>0.2432</v>
      </c>
      <c r="G60" s="37">
        <f ca="1">INDIRECT("'"&amp;B49&amp;" CYP'!G3")</f>
        <v>0.35780000000000001</v>
      </c>
      <c r="H60" s="38">
        <f ca="1">SUM(E60:F60)</f>
        <v>0.64219999999999999</v>
      </c>
      <c r="I60" s="34"/>
      <c r="J60" s="34">
        <f ca="1">INDIRECT("'"&amp;B49&amp;" CYP'!O3")</f>
        <v>247300</v>
      </c>
      <c r="K60" s="34"/>
      <c r="L60" s="34"/>
      <c r="M60" s="34"/>
      <c r="N60" s="34"/>
      <c r="O60" s="34"/>
      <c r="P60" s="34"/>
    </row>
    <row r="61" spans="2:16" x14ac:dyDescent="0.2">
      <c r="B61" s="34"/>
      <c r="C61" s="34"/>
      <c r="D61" s="36" t="s">
        <v>133</v>
      </c>
      <c r="E61" s="37">
        <f ca="1">INDIRECT("'"&amp;B49&amp;" CYP'!C4")</f>
        <v>0.45150000000000001</v>
      </c>
      <c r="F61" s="37">
        <f ca="1">INDIRECT("'"&amp;B49&amp;" CYP'!E4")</f>
        <v>0.22989999999999999</v>
      </c>
      <c r="G61" s="37">
        <f ca="1">INDIRECT("'"&amp;B49&amp;" CYP'!G4")</f>
        <v>0.31850000000000001</v>
      </c>
      <c r="H61" s="38">
        <f ca="1">SUM(E61:F61)</f>
        <v>0.68140000000000001</v>
      </c>
      <c r="I61" s="34"/>
      <c r="J61" s="34">
        <f ca="1">INDIRECT("'"&amp;B49&amp;" CYP'!O4")</f>
        <v>266700</v>
      </c>
      <c r="K61" s="34"/>
      <c r="L61" s="34"/>
      <c r="M61" s="34"/>
      <c r="N61" s="34"/>
      <c r="O61" s="34"/>
      <c r="P61" s="34"/>
    </row>
    <row r="62" spans="2:16" x14ac:dyDescent="0.2">
      <c r="B62" s="34"/>
      <c r="C62" s="34"/>
      <c r="D62" s="34"/>
      <c r="E62" s="34"/>
      <c r="F62" s="34"/>
      <c r="G62" s="34"/>
      <c r="H62" s="34"/>
      <c r="I62" s="34"/>
      <c r="J62" s="34"/>
      <c r="K62" s="34"/>
      <c r="L62" s="34"/>
      <c r="M62" s="34"/>
      <c r="N62" s="34"/>
      <c r="O62" s="34"/>
      <c r="P62" s="34"/>
    </row>
    <row r="63" spans="2:16" x14ac:dyDescent="0.2">
      <c r="B63" s="34" t="s">
        <v>108</v>
      </c>
      <c r="C63" s="34"/>
      <c r="D63" s="35"/>
      <c r="E63" s="34" t="s">
        <v>119</v>
      </c>
      <c r="F63" s="34" t="s">
        <v>120</v>
      </c>
      <c r="G63" s="34" t="s">
        <v>121</v>
      </c>
      <c r="H63" s="34" t="s">
        <v>99</v>
      </c>
      <c r="I63" s="34"/>
      <c r="J63" s="34"/>
      <c r="K63" s="34"/>
      <c r="L63" s="34"/>
      <c r="M63" s="34"/>
      <c r="N63" s="34"/>
      <c r="O63" s="34"/>
      <c r="P63" s="34"/>
    </row>
    <row r="64" spans="2:16" x14ac:dyDescent="0.2">
      <c r="B64" s="34"/>
      <c r="C64" s="34"/>
      <c r="D64" s="36" t="s">
        <v>210</v>
      </c>
      <c r="E64" s="37">
        <f ca="1">INDIRECT(""&amp;B63&amp;"!BK10")</f>
        <v>0.28050000000000003</v>
      </c>
      <c r="F64" s="37">
        <f ca="1">INDIRECT(""&amp;B63&amp;"!AG10")</f>
        <v>0.10929999999999999</v>
      </c>
      <c r="G64" s="37">
        <f ca="1">INDIRECT(""&amp;B63&amp;"!C10")</f>
        <v>0.61019999999999996</v>
      </c>
      <c r="H64" s="38">
        <f ca="1">SUM(F64:G64)</f>
        <v>0.71949999999999992</v>
      </c>
      <c r="I64" s="34"/>
      <c r="J64" s="34"/>
      <c r="K64" s="34"/>
      <c r="L64" s="34"/>
      <c r="M64" s="34"/>
      <c r="N64" s="34"/>
      <c r="O64" s="34"/>
      <c r="P64" s="34"/>
    </row>
    <row r="65" spans="2:16" x14ac:dyDescent="0.2">
      <c r="B65" s="34"/>
      <c r="C65" s="34"/>
      <c r="D65" s="34"/>
      <c r="E65" s="34"/>
      <c r="F65" s="34"/>
      <c r="G65" s="34"/>
      <c r="H65" s="34"/>
      <c r="I65" s="34"/>
      <c r="J65" s="34"/>
      <c r="K65" s="34"/>
      <c r="L65" s="34"/>
      <c r="M65" s="34"/>
      <c r="N65" s="34"/>
      <c r="O65" s="34"/>
      <c r="P65" s="34"/>
    </row>
    <row r="66" spans="2:16" x14ac:dyDescent="0.2">
      <c r="B66" s="34" t="s">
        <v>108</v>
      </c>
      <c r="D66" s="36" t="s">
        <v>133</v>
      </c>
      <c r="E66" s="37">
        <f ca="1">INDIRECT("'"&amp;B66&amp;" CYP'!C4")</f>
        <v>0.45150000000000001</v>
      </c>
      <c r="F66" s="37">
        <f ca="1">INDIRECT("'"&amp;B66&amp;" CYP'!E4")</f>
        <v>0.22989999999999999</v>
      </c>
      <c r="G66" s="37">
        <f ca="1">INDIRECT("'"&amp;B66&amp;" CYP'!G4")</f>
        <v>0.31850000000000001</v>
      </c>
      <c r="H66" s="38">
        <f ca="1">SUM(E66:F66)</f>
        <v>0.68140000000000001</v>
      </c>
    </row>
    <row r="69" spans="2:16" x14ac:dyDescent="0.2">
      <c r="B69" s="34" t="str">
        <f>Selection!D7</f>
        <v>GM</v>
      </c>
      <c r="D69" s="34" t="s">
        <v>240</v>
      </c>
      <c r="E69" s="49">
        <f ca="1">INDIRECT(""&amp;B69&amp;"!CQ10")</f>
        <v>-1.9111093054016315E-2</v>
      </c>
      <c r="F69" s="49">
        <f ca="1">ABS(E69)</f>
        <v>1.9111093054016315E-2</v>
      </c>
      <c r="G69" s="34"/>
      <c r="H69" s="38">
        <f t="array" aca="1" ref="H69" ca="1">MIN(IF(ISNUMBER(F69:F72), F69:F72))</f>
        <v>1.9111093054016315E-2</v>
      </c>
      <c r="I69" s="49">
        <f t="array" aca="1" ref="I69" ca="1">MAX(IF(ISNUMBER(F69:F72), F69:F72))</f>
        <v>0.27884612013575427</v>
      </c>
      <c r="K69" s="34"/>
    </row>
    <row r="70" spans="2:16" x14ac:dyDescent="0.2">
      <c r="D70" s="34" t="s">
        <v>241</v>
      </c>
      <c r="E70" s="49">
        <f ca="1">INDIRECT(""&amp;B69&amp;"!CR10")</f>
        <v>-0.19430417374555153</v>
      </c>
      <c r="F70" s="49">
        <f ca="1">ABS(E70)</f>
        <v>0.19430417374555153</v>
      </c>
      <c r="H70" s="34" t="str">
        <f t="array" aca="1" ref="H70" ca="1">INDEX(D69:D72, MATCH((MIN(IF(ISNUMBER(F69:F72), ABS(F69:F72)))), F69:F72,0))</f>
        <v>Gender Gap</v>
      </c>
      <c r="I70" s="34" t="str">
        <f t="array" aca="1" ref="I70" ca="1">INDEX(D69:D72, MATCH((MAX(IF(ISNUMBER(F69:F72), ABS(F69:F72)))), F69:F72,0))</f>
        <v>Age Gap</v>
      </c>
    </row>
    <row r="71" spans="2:16" x14ac:dyDescent="0.2">
      <c r="D71" s="34" t="s">
        <v>242</v>
      </c>
      <c r="E71" s="49">
        <f ca="1">INDIRECT(""&amp;B69&amp;"!CS10")</f>
        <v>-0.20118081337794991</v>
      </c>
      <c r="F71" s="49">
        <f ca="1">ABS(E71)</f>
        <v>0.20118081337794991</v>
      </c>
      <c r="G71" s="49"/>
      <c r="I71" s="38"/>
    </row>
    <row r="72" spans="2:16" x14ac:dyDescent="0.2">
      <c r="D72" s="34" t="s">
        <v>243</v>
      </c>
      <c r="E72" s="49">
        <f ca="1">INDIRECT(""&amp;B69&amp;"!CT10")</f>
        <v>-0.27884612013575427</v>
      </c>
      <c r="F72" s="49">
        <f ca="1">ABS(E72)</f>
        <v>0.27884612013575427</v>
      </c>
      <c r="H72" s="91"/>
      <c r="I72" s="91"/>
      <c r="J72" s="91"/>
      <c r="K72" s="92" t="s">
        <v>330</v>
      </c>
      <c r="L72" s="91"/>
      <c r="M72" s="91"/>
      <c r="N72" s="91"/>
      <c r="O72" s="91"/>
    </row>
    <row r="73" spans="2:16" x14ac:dyDescent="0.2">
      <c r="H73" s="91"/>
      <c r="I73" s="91"/>
      <c r="J73" s="91"/>
      <c r="K73" s="91"/>
      <c r="L73" s="91"/>
      <c r="M73" s="91"/>
      <c r="N73" s="91"/>
      <c r="O73" s="91"/>
    </row>
    <row r="74" spans="2:16" x14ac:dyDescent="0.2">
      <c r="B74" s="34" t="str">
        <f>Selection!D7</f>
        <v>GM</v>
      </c>
      <c r="D74" s="34" t="s">
        <v>331</v>
      </c>
      <c r="E74" s="49">
        <f ca="1">INDIRECT(""&amp;B74&amp;"!BM10")</f>
        <v>0.26920764912802153</v>
      </c>
      <c r="G74" s="49">
        <f ca="1">LARGE(E74:E101,1)</f>
        <v>0.59185193463452856</v>
      </c>
      <c r="H74" s="92" t="str">
        <f ca="1">INDEX(D74:D101, MATCH(LARGE(E74:E101,1),E74:E101,0))</f>
        <v>not working - long term sick or disabled</v>
      </c>
      <c r="I74" s="49">
        <f ca="1">SMALL(E74:E101, COUNTIF(E74:E101,0)+1)</f>
        <v>0.18317782224902929</v>
      </c>
      <c r="J74" s="92" t="str">
        <f ca="1">INDEX(D74:D101,MATCH(SMALL(E74:E101, COUNTIF(E74:E101,0)+1),E74:E101,0))</f>
        <v>NS SEC 1-2: Higher social groups</v>
      </c>
      <c r="K74" s="91"/>
      <c r="L74" s="91"/>
      <c r="M74" s="91"/>
      <c r="N74" s="91"/>
      <c r="O74" s="91"/>
    </row>
    <row r="75" spans="2:16" x14ac:dyDescent="0.2">
      <c r="D75" s="34" t="s">
        <v>332</v>
      </c>
      <c r="E75" s="49">
        <f ca="1">INDIRECT(""&amp;B74&amp;"!BN10")</f>
        <v>0.28831874218203785</v>
      </c>
      <c r="G75" s="49">
        <f ca="1">LARGE(E74:E101,2)</f>
        <v>0.50128737446352789</v>
      </c>
      <c r="H75" s="34" t="str">
        <f ca="1">INDEX(D74:D101, MATCH(LARGE(E74:E101,2),E74:E101,0))</f>
        <v>75+</v>
      </c>
      <c r="I75" s="178">
        <f ca="1">SMALL(E74:E101,COUNTIF(E74:E101,0)+2)</f>
        <v>0.18402539280883567</v>
      </c>
      <c r="J75" s="34" t="str">
        <f ca="1">INDEX(D74:D101,MATCH(SMALL(E74:E101, COUNTIF(E74:E101,0)+2),E74:E101,0))</f>
        <v>student full or part time</v>
      </c>
    </row>
    <row r="76" spans="2:16" x14ac:dyDescent="0.2">
      <c r="C76" s="34"/>
      <c r="D76" s="34" t="s">
        <v>3</v>
      </c>
      <c r="E76" s="49">
        <f ca="1">INDIRECT(""&amp;B74&amp;"!BO10")</f>
        <v>0.22244125432777362</v>
      </c>
      <c r="G76" s="49">
        <f ca="1">LARGE(E74:E101,3)</f>
        <v>0.4616999328048253</v>
      </c>
      <c r="H76" s="34" t="str">
        <f ca="1">INDEX(D74:D101, MATCH(LARGE(E74:E101,3),E74:E101,0))</f>
        <v>Black</v>
      </c>
      <c r="I76" s="49">
        <f ca="1">SMALL(E74:E101,COUNTIF(E74:E101,0)+3)</f>
        <v>0.22244125432777362</v>
      </c>
      <c r="J76" s="34" t="str">
        <f ca="1">INDEX(D74:D101,MATCH(SMALL(E74:E101, COUNTIF(E74:E101,0)+3),E74:E101,0))</f>
        <v>16-34</v>
      </c>
    </row>
    <row r="77" spans="2:16" x14ac:dyDescent="0.2">
      <c r="D77" s="34" t="s">
        <v>4</v>
      </c>
      <c r="E77" s="49">
        <f ca="1">INDIRECT(""&amp;B74&amp;"!BP10")</f>
        <v>0.26853030429921915</v>
      </c>
    </row>
    <row r="78" spans="2:16" x14ac:dyDescent="0.2">
      <c r="D78" s="34" t="s">
        <v>5</v>
      </c>
      <c r="E78" s="49">
        <f ca="1">INDIRECT(""&amp;B74&amp;"!BQ10")</f>
        <v>0.30360978763402757</v>
      </c>
    </row>
    <row r="79" spans="2:16" x14ac:dyDescent="0.2">
      <c r="D79" s="34" t="s">
        <v>6</v>
      </c>
      <c r="E79" s="49">
        <f ca="1">INDIRECT(""&amp;B74&amp;"!BR10")</f>
        <v>0.50128737446352789</v>
      </c>
    </row>
    <row r="80" spans="2:16" x14ac:dyDescent="0.2">
      <c r="D80" s="34" t="s">
        <v>7</v>
      </c>
      <c r="E80" s="49">
        <f ca="1">INDIRECT(""&amp;B74&amp;"!BS10")</f>
        <v>0.24511286682878677</v>
      </c>
    </row>
    <row r="81" spans="4:5" x14ac:dyDescent="0.2">
      <c r="D81" s="34" t="s">
        <v>8</v>
      </c>
      <c r="E81" s="49">
        <f ca="1">INDIRECT(""&amp;B74&amp;"!BT10")</f>
        <v>0.35216741633460524</v>
      </c>
    </row>
    <row r="82" spans="4:5" x14ac:dyDescent="0.2">
      <c r="D82" s="34" t="s">
        <v>9</v>
      </c>
      <c r="E82" s="49">
        <f ca="1">INDIRECT(""&amp;B74&amp;"!BU10")</f>
        <v>0.43918228516997332</v>
      </c>
    </row>
    <row r="83" spans="4:5" x14ac:dyDescent="0.2">
      <c r="D83" s="34" t="s">
        <v>333</v>
      </c>
      <c r="E83" s="49">
        <f ca="1">INDIRECT(""&amp;B74&amp;"!BV10")</f>
        <v>0.23800147179202341</v>
      </c>
    </row>
    <row r="84" spans="4:5" x14ac:dyDescent="0.2">
      <c r="D84" s="34" t="s">
        <v>11</v>
      </c>
      <c r="E84" s="49">
        <f ca="1">INDIRECT(""&amp;B74&amp;"!BW10")</f>
        <v>0.25792704646842401</v>
      </c>
    </row>
    <row r="85" spans="4:5" x14ac:dyDescent="0.2">
      <c r="D85" s="34" t="s">
        <v>12</v>
      </c>
      <c r="E85" s="49">
        <f ca="1">INDIRECT(""&amp;B74&amp;"!BX10")</f>
        <v>0.23451185293009758</v>
      </c>
    </row>
    <row r="86" spans="4:5" x14ac:dyDescent="0.2">
      <c r="D86" s="34" t="s">
        <v>13</v>
      </c>
      <c r="E86" s="49">
        <f ca="1">INDIRECT(""&amp;B74&amp;"!BY10")</f>
        <v>0.38795953446431936</v>
      </c>
    </row>
    <row r="87" spans="4:5" x14ac:dyDescent="0.2">
      <c r="D87" s="34" t="s">
        <v>14</v>
      </c>
      <c r="E87" s="49">
        <f ca="1">INDIRECT(""&amp;B74&amp;"!BZ10")</f>
        <v>0.4616999328048253</v>
      </c>
    </row>
    <row r="88" spans="4:5" x14ac:dyDescent="0.2">
      <c r="D88" s="34" t="s">
        <v>15</v>
      </c>
      <c r="E88" s="49">
        <f ca="1">INDIRECT(""&amp;B74&amp;"!CA10")</f>
        <v>0.2902565754492758</v>
      </c>
    </row>
    <row r="89" spans="4:5" x14ac:dyDescent="0.2">
      <c r="D89" s="34" t="s">
        <v>16</v>
      </c>
      <c r="E89" s="49">
        <f ca="1">INDIRECT(""&amp;B74&amp;"!CB10")</f>
        <v>0.22791204366454973</v>
      </c>
    </row>
    <row r="90" spans="4:5" x14ac:dyDescent="0.2">
      <c r="D90" s="34" t="s">
        <v>17</v>
      </c>
      <c r="E90" s="49">
        <f ca="1">INDIRECT(""&amp;B74&amp;"!CV10")</f>
        <v>0.30565360374688755</v>
      </c>
    </row>
    <row r="91" spans="4:5" x14ac:dyDescent="0.2">
      <c r="D91" s="34" t="s">
        <v>18</v>
      </c>
      <c r="E91" s="49">
        <f ca="1">INDIRECT(""&amp;B74&amp;"!CD10")</f>
        <v>0.18317782224902929</v>
      </c>
    </row>
    <row r="92" spans="4:5" x14ac:dyDescent="0.2">
      <c r="D92" s="34" t="s">
        <v>19</v>
      </c>
      <c r="E92" s="49">
        <f ca="1">INDIRECT(""&amp;B74&amp;"!CE10")</f>
        <v>0.28244726080064925</v>
      </c>
    </row>
    <row r="93" spans="4:5" x14ac:dyDescent="0.2">
      <c r="D93" s="34" t="s">
        <v>20</v>
      </c>
      <c r="E93" s="49">
        <f ca="1">INDIRECT(""&amp;B74&amp;"!CF10")</f>
        <v>0.37748199599458082</v>
      </c>
    </row>
    <row r="94" spans="4:5" x14ac:dyDescent="0.2">
      <c r="D94" s="34" t="s">
        <v>21</v>
      </c>
      <c r="E94" s="49">
        <f ca="1">INDIRECT(""&amp;B74&amp;"!CG10")</f>
        <v>0.24317385042834799</v>
      </c>
    </row>
    <row r="95" spans="4:5" x14ac:dyDescent="0.2">
      <c r="D95" s="34" t="s">
        <v>334</v>
      </c>
      <c r="E95" s="49">
        <f ca="1">INDIRECT(""&amp;B74&amp;"!CH10")</f>
        <v>0.23056483031451805</v>
      </c>
    </row>
    <row r="96" spans="4:5" x14ac:dyDescent="0.2">
      <c r="D96" s="34" t="s">
        <v>335</v>
      </c>
      <c r="E96" s="49">
        <f ca="1">INDIRECT(""&amp;B74&amp;"!CI10")</f>
        <v>0.35396066865033904</v>
      </c>
    </row>
    <row r="97" spans="4:5" x14ac:dyDescent="0.2">
      <c r="D97" s="34" t="s">
        <v>336</v>
      </c>
      <c r="E97" s="49">
        <f ca="1">INDIRECT(""&amp;B74&amp;"!CJ10")</f>
        <v>0.37178137005472528</v>
      </c>
    </row>
    <row r="98" spans="4:5" x14ac:dyDescent="0.2">
      <c r="D98" s="34" t="s">
        <v>337</v>
      </c>
      <c r="E98" s="49">
        <f ca="1">INDIRECT(""&amp;B74&amp;"!CK10")</f>
        <v>0.40256984428911602</v>
      </c>
    </row>
    <row r="99" spans="4:5" x14ac:dyDescent="0.2">
      <c r="D99" s="34" t="s">
        <v>338</v>
      </c>
      <c r="E99" s="49">
        <f ca="1">INDIRECT(""&amp;B74&amp;"!CL10")</f>
        <v>0.59185193463452856</v>
      </c>
    </row>
    <row r="100" spans="4:5" x14ac:dyDescent="0.2">
      <c r="D100" s="34" t="s">
        <v>339</v>
      </c>
      <c r="E100" s="49">
        <f ca="1">INDIRECT(""&amp;B74&amp;"!CM10")</f>
        <v>0.18402539280883567</v>
      </c>
    </row>
    <row r="101" spans="4:5" x14ac:dyDescent="0.2">
      <c r="D101" s="34" t="s">
        <v>340</v>
      </c>
      <c r="E101" s="49">
        <f ca="1">INDIRECT(""&amp;B74&amp;"!CN10")</f>
        <v>0.41806118111244123</v>
      </c>
    </row>
  </sheetData>
  <sheetProtection selectLockedCells="1"/>
  <mergeCells count="29">
    <mergeCell ref="N4:U4"/>
    <mergeCell ref="N6:U6"/>
    <mergeCell ref="N7:U8"/>
    <mergeCell ref="N9:U9"/>
    <mergeCell ref="C27:J28"/>
    <mergeCell ref="N18:U18"/>
    <mergeCell ref="N19:U20"/>
    <mergeCell ref="N27:U35"/>
    <mergeCell ref="N16:U17"/>
    <mergeCell ref="N10:U11"/>
    <mergeCell ref="C19:J20"/>
    <mergeCell ref="C4:J4"/>
    <mergeCell ref="C6:J6"/>
    <mergeCell ref="C7:J8"/>
    <mergeCell ref="C9:J9"/>
    <mergeCell ref="L46:M47"/>
    <mergeCell ref="C36:J38"/>
    <mergeCell ref="N12:U14"/>
    <mergeCell ref="C29:J30"/>
    <mergeCell ref="C33:J35"/>
    <mergeCell ref="K40:L40"/>
    <mergeCell ref="B46:C47"/>
    <mergeCell ref="D46:E47"/>
    <mergeCell ref="F46:G47"/>
    <mergeCell ref="C16:J17"/>
    <mergeCell ref="H46:I47"/>
    <mergeCell ref="J46:K47"/>
    <mergeCell ref="C18:J18"/>
    <mergeCell ref="C31:J32"/>
  </mergeCells>
  <hyperlinks>
    <hyperlink ref="K40:L40" location="Selection!D6" display="Back to selection"/>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sheetPr>
  <dimension ref="A1:Q68"/>
  <sheetViews>
    <sheetView topLeftCell="A4" workbookViewId="0">
      <selection activeCell="G36" sqref="G36"/>
    </sheetView>
  </sheetViews>
  <sheetFormatPr defaultColWidth="8.69921875" defaultRowHeight="14.25" x14ac:dyDescent="0.2"/>
  <cols>
    <col min="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"Activity Levels Over Time in "&amp;B35</f>
        <v>Activity Levels Over Time in GM</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1:17" x14ac:dyDescent="0.2">
      <c r="B17" s="99"/>
      <c r="C17" s="32"/>
      <c r="D17" s="32"/>
      <c r="E17" s="32"/>
      <c r="F17" s="32"/>
      <c r="G17" s="32"/>
      <c r="H17" s="32"/>
      <c r="I17" s="32"/>
      <c r="J17" s="32"/>
      <c r="K17" s="100"/>
    </row>
    <row r="18" spans="1:17" x14ac:dyDescent="0.2">
      <c r="B18" s="99"/>
      <c r="C18" s="32"/>
      <c r="D18" s="32"/>
      <c r="E18" s="32"/>
      <c r="F18" s="32"/>
      <c r="G18" s="32"/>
      <c r="H18" s="32"/>
      <c r="I18" s="32"/>
      <c r="J18" s="32"/>
      <c r="K18" s="100"/>
    </row>
    <row r="19" spans="1:17" x14ac:dyDescent="0.2">
      <c r="B19" s="99"/>
      <c r="C19" s="32"/>
      <c r="D19" s="32"/>
      <c r="E19" s="32"/>
      <c r="F19" s="32"/>
      <c r="G19" s="32"/>
      <c r="H19" s="32"/>
      <c r="I19" s="32"/>
      <c r="J19" s="32"/>
      <c r="K19" s="100"/>
    </row>
    <row r="20" spans="1:17" x14ac:dyDescent="0.2">
      <c r="B20" s="99"/>
      <c r="C20" s="32"/>
      <c r="D20" s="32"/>
      <c r="E20" s="32"/>
      <c r="F20" s="32"/>
      <c r="G20" s="32"/>
      <c r="H20" s="32"/>
      <c r="I20" s="32"/>
      <c r="J20" s="32"/>
      <c r="K20" s="100"/>
    </row>
    <row r="21" spans="1:17" x14ac:dyDescent="0.2">
      <c r="B21" s="99"/>
      <c r="C21" s="32"/>
      <c r="D21" s="32"/>
      <c r="E21" s="32"/>
      <c r="F21" s="32"/>
      <c r="G21" s="32"/>
      <c r="H21" s="32"/>
      <c r="I21" s="32"/>
      <c r="J21" s="32"/>
      <c r="K21" s="100"/>
    </row>
    <row r="22" spans="1:17" x14ac:dyDescent="0.2">
      <c r="B22" s="99"/>
      <c r="C22" s="32"/>
      <c r="D22" s="32"/>
      <c r="E22" s="32"/>
      <c r="F22" s="32"/>
      <c r="G22" s="32"/>
      <c r="H22" s="32"/>
      <c r="I22" s="32"/>
      <c r="J22" s="32"/>
      <c r="K22" s="100"/>
    </row>
    <row r="23" spans="1:17" x14ac:dyDescent="0.2">
      <c r="B23" s="99"/>
      <c r="C23" s="221" t="s">
        <v>314</v>
      </c>
      <c r="D23" s="221"/>
      <c r="E23" s="221"/>
      <c r="F23" s="221"/>
      <c r="G23" s="221"/>
      <c r="H23" s="221"/>
      <c r="I23" s="221"/>
      <c r="J23" s="221"/>
      <c r="K23" s="100"/>
    </row>
    <row r="24" spans="1:17" ht="15" thickBot="1" x14ac:dyDescent="0.25">
      <c r="B24" s="101"/>
      <c r="C24" s="23"/>
      <c r="D24" s="23"/>
      <c r="E24" s="23"/>
      <c r="F24" s="23"/>
      <c r="G24" s="23"/>
      <c r="H24" s="23"/>
      <c r="I24" s="23"/>
      <c r="J24" s="23"/>
      <c r="K24" s="102"/>
    </row>
    <row r="25" spans="1:17" ht="15" thickTop="1" x14ac:dyDescent="0.2"/>
    <row r="26" spans="1:17" x14ac:dyDescent="0.2">
      <c r="K26" s="220" t="s">
        <v>147</v>
      </c>
      <c r="L26" s="220"/>
    </row>
    <row r="28" spans="1:17" x14ac:dyDescent="0.2">
      <c r="A28" s="67"/>
      <c r="B28" s="67"/>
      <c r="C28" s="67"/>
      <c r="D28" s="67"/>
      <c r="E28" s="67"/>
      <c r="F28" s="67"/>
      <c r="G28" s="67"/>
      <c r="H28" s="67"/>
      <c r="I28" s="67"/>
      <c r="J28" s="67"/>
      <c r="K28" s="67"/>
      <c r="L28" s="67"/>
      <c r="M28" s="67"/>
      <c r="N28" s="67"/>
      <c r="O28" s="67"/>
      <c r="P28" s="67"/>
      <c r="Q28" s="67"/>
    </row>
    <row r="29" spans="1:17" x14ac:dyDescent="0.2">
      <c r="A29" s="67"/>
      <c r="B29" s="67"/>
      <c r="C29" s="67"/>
      <c r="D29" s="67"/>
      <c r="E29" s="67"/>
      <c r="F29" s="67"/>
      <c r="G29" s="67"/>
      <c r="H29" s="67"/>
      <c r="I29" s="67"/>
      <c r="J29" s="67"/>
      <c r="K29" s="67"/>
      <c r="L29" s="67"/>
      <c r="M29" s="67"/>
      <c r="N29" s="67"/>
      <c r="O29" s="67"/>
      <c r="P29" s="67"/>
      <c r="Q29" s="67"/>
    </row>
    <row r="30" spans="1:17" x14ac:dyDescent="0.2">
      <c r="A30" s="67"/>
      <c r="B30" s="67"/>
      <c r="C30" s="67"/>
      <c r="D30" s="67"/>
      <c r="E30" s="67"/>
      <c r="F30" s="67"/>
      <c r="G30" s="67"/>
      <c r="H30" s="67"/>
      <c r="I30" s="67"/>
      <c r="J30" s="67"/>
      <c r="K30" s="67"/>
      <c r="L30" s="67"/>
      <c r="M30" s="67"/>
      <c r="N30" s="67"/>
      <c r="O30" s="67"/>
      <c r="P30" s="67"/>
      <c r="Q30" s="67"/>
    </row>
    <row r="31" spans="1:17" x14ac:dyDescent="0.2">
      <c r="A31" s="67"/>
      <c r="B31" s="67"/>
      <c r="C31" s="67"/>
      <c r="D31" s="67"/>
      <c r="E31" s="67"/>
      <c r="F31" s="67"/>
      <c r="G31" s="67"/>
      <c r="H31" s="67"/>
      <c r="I31" s="67"/>
      <c r="J31" s="67"/>
      <c r="K31" s="67"/>
      <c r="L31" s="67"/>
      <c r="M31" s="67"/>
      <c r="N31" s="67"/>
      <c r="O31" s="67"/>
      <c r="P31" s="67"/>
      <c r="Q31" s="67"/>
    </row>
    <row r="32" spans="1:17" x14ac:dyDescent="0.2">
      <c r="A32" s="67"/>
      <c r="B32" s="67"/>
      <c r="C32" s="67"/>
      <c r="D32" s="67"/>
      <c r="E32" s="67"/>
      <c r="F32" s="67"/>
      <c r="G32" s="67"/>
      <c r="H32" s="67"/>
      <c r="I32" s="67"/>
      <c r="J32" s="67"/>
      <c r="K32" s="67"/>
      <c r="L32" s="67"/>
      <c r="M32" s="67"/>
      <c r="N32" s="67"/>
      <c r="O32" s="67"/>
      <c r="P32" s="67"/>
      <c r="Q32" s="67"/>
    </row>
    <row r="33" spans="1:17" x14ac:dyDescent="0.2">
      <c r="A33" s="67"/>
      <c r="B33" s="67"/>
      <c r="C33" s="67"/>
      <c r="D33" s="67"/>
      <c r="E33" s="67"/>
      <c r="F33" s="67"/>
      <c r="G33" s="67"/>
      <c r="H33" s="67"/>
      <c r="I33" s="67"/>
      <c r="J33" s="67"/>
      <c r="K33" s="67"/>
      <c r="L33" s="67"/>
      <c r="M33" s="67"/>
      <c r="N33" s="67"/>
      <c r="O33" s="67"/>
      <c r="P33" s="67"/>
      <c r="Q33" s="67"/>
    </row>
    <row r="34" spans="1:17" x14ac:dyDescent="0.2">
      <c r="A34" s="67"/>
      <c r="B34" s="67"/>
      <c r="C34" s="67"/>
      <c r="D34" s="67"/>
      <c r="E34" s="67"/>
      <c r="F34" s="67"/>
      <c r="G34" s="67"/>
      <c r="H34" s="67"/>
      <c r="I34" s="67"/>
      <c r="J34" s="67"/>
      <c r="K34" s="67"/>
      <c r="L34" s="67"/>
      <c r="M34" s="67"/>
      <c r="N34" s="67"/>
      <c r="O34" s="67"/>
      <c r="P34" s="67"/>
      <c r="Q34" s="67"/>
    </row>
    <row r="35" spans="1:17" x14ac:dyDescent="0.2">
      <c r="A35" s="67"/>
      <c r="B35" s="67" t="str">
        <f>Selection!D7</f>
        <v>GM</v>
      </c>
      <c r="C35" s="67"/>
      <c r="D35" s="69"/>
      <c r="E35" s="67" t="s">
        <v>119</v>
      </c>
      <c r="F35" s="67" t="s">
        <v>120</v>
      </c>
      <c r="G35" s="67" t="s">
        <v>121</v>
      </c>
      <c r="H35" s="67" t="s">
        <v>99</v>
      </c>
      <c r="I35" s="67"/>
      <c r="J35" s="67"/>
      <c r="K35" s="67"/>
      <c r="L35" s="67"/>
      <c r="M35" s="67"/>
      <c r="N35" s="67"/>
      <c r="O35" s="67"/>
      <c r="P35" s="67"/>
      <c r="Q35" s="67"/>
    </row>
    <row r="36" spans="1:17" x14ac:dyDescent="0.2">
      <c r="A36" s="67"/>
      <c r="B36" s="67"/>
      <c r="C36" s="67"/>
      <c r="D36" s="70" t="s">
        <v>35</v>
      </c>
      <c r="E36" s="71">
        <f ca="1">INDIRECT(""&amp;B35&amp;"!BK3")</f>
        <v>0.28520000000000001</v>
      </c>
      <c r="F36" s="71">
        <f ca="1">INDIRECT(""&amp;B35&amp;"!AG3")</f>
        <v>0.12127418328612977</v>
      </c>
      <c r="G36" s="71">
        <f ca="1">INDIRECT(""&amp;B35&amp;"!C3")</f>
        <v>0.59354515323705681</v>
      </c>
      <c r="H36" s="72">
        <f ca="1">SUM(F36:G36)</f>
        <v>0.71481933652318652</v>
      </c>
      <c r="I36" s="67"/>
      <c r="J36" s="67"/>
      <c r="K36" s="67"/>
      <c r="L36" s="67"/>
      <c r="M36" s="67"/>
      <c r="N36" s="67"/>
      <c r="O36" s="67"/>
      <c r="P36" s="67"/>
      <c r="Q36" s="67"/>
    </row>
    <row r="37" spans="1:17" x14ac:dyDescent="0.2">
      <c r="A37" s="67"/>
      <c r="B37" s="67"/>
      <c r="C37" s="67"/>
      <c r="D37" s="70" t="s">
        <v>36</v>
      </c>
      <c r="E37" s="71">
        <f ca="1">INDIRECT(""&amp;B35&amp;"!BK4")</f>
        <v>0.27572606825876445</v>
      </c>
      <c r="F37" s="71">
        <f ca="1">INDIRECT(""&amp;B35&amp;"!AG4")</f>
        <v>0.1149</v>
      </c>
      <c r="G37" s="71">
        <f ca="1">INDIRECT(""&amp;B35&amp;"!C4")</f>
        <v>0.60929999999999995</v>
      </c>
      <c r="H37" s="72">
        <f t="shared" ref="H37:H42" ca="1" si="0">SUM(F37:G37)</f>
        <v>0.72419999999999995</v>
      </c>
      <c r="I37" s="67"/>
      <c r="J37" s="67"/>
      <c r="K37" s="67"/>
      <c r="L37" s="67"/>
      <c r="M37" s="67"/>
      <c r="N37" s="67"/>
      <c r="O37" s="67"/>
      <c r="P37" s="67"/>
      <c r="Q37" s="67"/>
    </row>
    <row r="38" spans="1:17" x14ac:dyDescent="0.2">
      <c r="A38" s="67"/>
      <c r="B38" s="67"/>
      <c r="C38" s="67"/>
      <c r="D38" s="70" t="s">
        <v>37</v>
      </c>
      <c r="E38" s="71">
        <f ca="1">INDIRECT(""&amp;B35&amp;"!BK5")</f>
        <v>0.26650000000000001</v>
      </c>
      <c r="F38" s="71">
        <f ca="1">INDIRECT(""&amp;B35&amp;"!AG5")</f>
        <v>0.109</v>
      </c>
      <c r="G38" s="71">
        <f ca="1">INDIRECT(""&amp;B35&amp;"!C5")</f>
        <v>0.61350000000000005</v>
      </c>
      <c r="H38" s="72">
        <f t="shared" ca="1" si="0"/>
        <v>0.72250000000000003</v>
      </c>
      <c r="I38" s="67"/>
      <c r="J38" s="67"/>
      <c r="K38" s="67"/>
      <c r="L38" s="67"/>
      <c r="M38" s="67"/>
      <c r="N38" s="67"/>
      <c r="O38" s="67"/>
      <c r="P38" s="67"/>
      <c r="Q38" s="67"/>
    </row>
    <row r="39" spans="1:17" x14ac:dyDescent="0.2">
      <c r="A39" s="67"/>
      <c r="B39" s="67"/>
      <c r="C39" s="67"/>
      <c r="D39" s="70" t="s">
        <v>38</v>
      </c>
      <c r="E39" s="71">
        <f ca="1">INDIRECT(""&amp;B35&amp;"!BK6")</f>
        <v>0.27074742610830277</v>
      </c>
      <c r="F39" s="71">
        <f ca="1">INDIRECT(""&amp;B35&amp;"!AG6")</f>
        <v>0.12322296757519696</v>
      </c>
      <c r="G39" s="71">
        <f ca="1">INDIRECT(""&amp;B35&amp;"!C6")</f>
        <v>0.60602960631650016</v>
      </c>
      <c r="H39" s="72">
        <f t="shared" ca="1" si="0"/>
        <v>0.72925257389169706</v>
      </c>
      <c r="I39" s="67"/>
      <c r="J39" s="67"/>
      <c r="K39" s="67"/>
      <c r="L39" s="67"/>
      <c r="M39" s="67"/>
      <c r="N39" s="67"/>
      <c r="O39" s="67"/>
      <c r="P39" s="67"/>
      <c r="Q39" s="67"/>
    </row>
    <row r="40" spans="1:17" x14ac:dyDescent="0.2">
      <c r="A40" s="67"/>
      <c r="B40" s="67"/>
      <c r="C40" s="67"/>
      <c r="D40" s="70" t="s">
        <v>39</v>
      </c>
      <c r="E40" s="71">
        <f ca="1">INDIRECT(""&amp;B35&amp;"!BK7")</f>
        <v>0.26700000000000002</v>
      </c>
      <c r="F40" s="71">
        <f ca="1">INDIRECT(""&amp;B35&amp;"!AG7")</f>
        <v>0.12640051655468471</v>
      </c>
      <c r="G40" s="71">
        <f ca="1">INDIRECT(""&amp;B35&amp;"!C7")</f>
        <v>0.60660000000000003</v>
      </c>
      <c r="H40" s="72">
        <f t="shared" ca="1" si="0"/>
        <v>0.73300051655468468</v>
      </c>
      <c r="I40" s="67"/>
      <c r="J40" s="67"/>
      <c r="K40" s="67"/>
      <c r="L40" s="67"/>
      <c r="M40" s="67"/>
      <c r="N40" s="67"/>
      <c r="O40" s="67"/>
      <c r="P40" s="67"/>
      <c r="Q40" s="67"/>
    </row>
    <row r="41" spans="1:17" x14ac:dyDescent="0.2">
      <c r="A41" s="67"/>
      <c r="B41" s="67"/>
      <c r="C41" s="67"/>
      <c r="D41" s="70" t="s">
        <v>40</v>
      </c>
      <c r="E41" s="71">
        <f ca="1">INDIRECT(""&amp;B35&amp;"!BK8")</f>
        <v>0.26690000000000003</v>
      </c>
      <c r="F41" s="71">
        <f ca="1">INDIRECT(""&amp;B35&amp;"!AG8")</f>
        <v>0.12089999999999999</v>
      </c>
      <c r="G41" s="71">
        <f ca="1">INDIRECT(""&amp;B35&amp;"!C8")</f>
        <v>0.61219999999999997</v>
      </c>
      <c r="H41" s="72">
        <f t="shared" ca="1" si="0"/>
        <v>0.73309999999999997</v>
      </c>
      <c r="I41" s="67"/>
      <c r="J41" s="67"/>
      <c r="K41" s="67"/>
      <c r="L41" s="67"/>
      <c r="M41" s="67"/>
      <c r="N41" s="67"/>
      <c r="O41" s="67"/>
      <c r="P41" s="67"/>
      <c r="Q41" s="67"/>
    </row>
    <row r="42" spans="1:17" x14ac:dyDescent="0.2">
      <c r="A42" s="67"/>
      <c r="B42" s="67"/>
      <c r="C42" s="67"/>
      <c r="D42" s="70" t="s">
        <v>41</v>
      </c>
      <c r="E42" s="71">
        <f ca="1">INDIRECT(""&amp;B35&amp;"!BK9")</f>
        <v>0.26203863773603581</v>
      </c>
      <c r="F42" s="71">
        <f ca="1">INDIRECT(""&amp;B35&amp;"!AG9")</f>
        <v>0.11840083948537654</v>
      </c>
      <c r="G42" s="71">
        <f ca="1">INDIRECT(""&amp;B35&amp;"!C9")</f>
        <v>0.6195605227785913</v>
      </c>
      <c r="H42" s="72">
        <f t="shared" ca="1" si="0"/>
        <v>0.7379613622639678</v>
      </c>
      <c r="I42" s="67"/>
      <c r="J42" s="67"/>
      <c r="K42" s="67"/>
      <c r="L42" s="67"/>
      <c r="M42" s="67"/>
      <c r="N42" s="67"/>
      <c r="O42" s="67"/>
      <c r="P42" s="67"/>
      <c r="Q42" s="67"/>
    </row>
    <row r="43" spans="1:17" x14ac:dyDescent="0.2">
      <c r="A43" s="67"/>
      <c r="B43" s="67"/>
      <c r="C43" s="67"/>
      <c r="D43" s="164" t="s">
        <v>155</v>
      </c>
      <c r="E43" s="71">
        <f ca="1">INDIRECT(""&amp;B35&amp;"!BK10")</f>
        <v>0.28050000000000003</v>
      </c>
      <c r="F43" s="71">
        <f ca="1">INDIRECT(""&amp;B35&amp;"!AG10")</f>
        <v>0.10929999999999999</v>
      </c>
      <c r="G43" s="71">
        <f ca="1">INDIRECT(""&amp;B35&amp;"!C10")</f>
        <v>0.61019999999999996</v>
      </c>
      <c r="H43" s="72">
        <f t="shared" ref="H43" ca="1" si="1">SUM(F43:G43)</f>
        <v>0.71949999999999992</v>
      </c>
      <c r="I43" s="67"/>
      <c r="J43" s="67"/>
      <c r="K43" s="67"/>
      <c r="L43" s="67"/>
      <c r="M43" s="67"/>
      <c r="N43" s="67"/>
      <c r="O43" s="67"/>
      <c r="P43" s="67"/>
      <c r="Q43" s="67"/>
    </row>
    <row r="44" spans="1:17" x14ac:dyDescent="0.2">
      <c r="A44" s="67"/>
      <c r="B44" s="67"/>
      <c r="C44" s="67"/>
      <c r="D44" s="67"/>
      <c r="E44" s="67"/>
      <c r="F44" s="67"/>
      <c r="G44" s="67"/>
      <c r="H44" s="67"/>
      <c r="I44" s="67"/>
      <c r="J44" s="67"/>
      <c r="K44" s="67"/>
      <c r="L44" s="67"/>
      <c r="M44" s="67"/>
      <c r="N44" s="67"/>
      <c r="O44" s="67"/>
      <c r="P44" s="67"/>
      <c r="Q44" s="67"/>
    </row>
    <row r="45" spans="1:17" x14ac:dyDescent="0.2">
      <c r="A45" s="67"/>
      <c r="B45" s="67"/>
      <c r="C45" s="67"/>
      <c r="D45" s="67"/>
      <c r="E45" s="67"/>
      <c r="F45" s="67"/>
      <c r="G45" s="67"/>
      <c r="H45" s="67"/>
      <c r="I45" s="67"/>
      <c r="J45" s="67"/>
      <c r="K45" s="67"/>
      <c r="L45" s="67"/>
      <c r="M45" s="67"/>
      <c r="N45" s="67"/>
      <c r="O45" s="67"/>
      <c r="P45" s="67"/>
      <c r="Q45" s="67"/>
    </row>
    <row r="46" spans="1:17" x14ac:dyDescent="0.2">
      <c r="A46" s="67"/>
      <c r="B46" s="67"/>
      <c r="C46" s="67"/>
      <c r="D46" s="67"/>
      <c r="E46" s="67"/>
      <c r="F46" s="67"/>
      <c r="G46" s="67"/>
      <c r="H46" s="67"/>
      <c r="I46" s="67"/>
      <c r="J46" s="67"/>
      <c r="K46" s="67"/>
      <c r="L46" s="67"/>
      <c r="M46" s="67"/>
      <c r="N46" s="67"/>
      <c r="O46" s="67"/>
      <c r="P46" s="67"/>
      <c r="Q46" s="67"/>
    </row>
    <row r="47" spans="1:17" x14ac:dyDescent="0.2">
      <c r="A47" s="67"/>
      <c r="B47" s="67"/>
      <c r="C47" s="67"/>
      <c r="D47" s="67"/>
      <c r="E47" s="67"/>
      <c r="F47" s="67"/>
      <c r="G47" s="67"/>
      <c r="H47" s="67"/>
      <c r="I47" s="67"/>
      <c r="J47" s="67"/>
      <c r="K47" s="67"/>
      <c r="L47" s="67"/>
      <c r="M47" s="67"/>
      <c r="N47" s="67"/>
      <c r="O47" s="67"/>
      <c r="P47" s="67"/>
      <c r="Q47" s="67"/>
    </row>
    <row r="48" spans="1:17" x14ac:dyDescent="0.2">
      <c r="A48" s="67"/>
      <c r="B48" s="67"/>
      <c r="C48" s="67"/>
      <c r="D48" s="67"/>
      <c r="E48" s="67"/>
      <c r="F48" s="67"/>
      <c r="G48" s="67"/>
      <c r="H48" s="67"/>
      <c r="I48" s="67"/>
      <c r="J48" s="67"/>
      <c r="K48" s="67"/>
      <c r="L48" s="67"/>
      <c r="M48" s="67"/>
      <c r="N48" s="67"/>
      <c r="O48" s="67"/>
      <c r="P48" s="67"/>
      <c r="Q48" s="67"/>
    </row>
    <row r="49" spans="1:17" x14ac:dyDescent="0.2">
      <c r="A49" s="67"/>
      <c r="B49" s="67"/>
      <c r="C49" s="67"/>
      <c r="D49" s="67"/>
      <c r="E49" s="67"/>
      <c r="F49" s="67"/>
      <c r="G49" s="67"/>
      <c r="H49" s="67"/>
      <c r="I49" s="67"/>
      <c r="J49" s="67"/>
      <c r="K49" s="67"/>
      <c r="L49" s="67"/>
      <c r="M49" s="67"/>
      <c r="N49" s="67"/>
      <c r="O49" s="67"/>
      <c r="P49" s="67"/>
      <c r="Q49" s="67"/>
    </row>
    <row r="50" spans="1:17" x14ac:dyDescent="0.2">
      <c r="A50" s="67"/>
      <c r="B50" s="67"/>
      <c r="C50" s="67"/>
      <c r="D50" s="67"/>
      <c r="E50" s="67"/>
      <c r="F50" s="67"/>
      <c r="G50" s="67"/>
      <c r="H50" s="67"/>
      <c r="I50" s="67"/>
      <c r="J50" s="67"/>
      <c r="K50" s="67"/>
      <c r="L50" s="67"/>
      <c r="M50" s="67"/>
      <c r="N50" s="67"/>
      <c r="O50" s="67"/>
      <c r="P50" s="67"/>
      <c r="Q50" s="67"/>
    </row>
    <row r="51" spans="1:17" x14ac:dyDescent="0.2">
      <c r="A51" s="67"/>
      <c r="B51" s="67"/>
      <c r="C51" s="67"/>
      <c r="D51" s="67"/>
      <c r="E51" s="67"/>
      <c r="F51" s="67"/>
      <c r="G51" s="67"/>
      <c r="H51" s="67"/>
      <c r="I51" s="67"/>
      <c r="J51" s="67"/>
      <c r="K51" s="67"/>
      <c r="L51" s="67"/>
      <c r="M51" s="67"/>
      <c r="N51" s="67"/>
      <c r="O51" s="67"/>
      <c r="P51" s="67"/>
      <c r="Q51" s="67"/>
    </row>
    <row r="52" spans="1:17" x14ac:dyDescent="0.2">
      <c r="A52" s="67"/>
      <c r="B52" s="67"/>
      <c r="C52" s="67"/>
      <c r="D52" s="67"/>
      <c r="E52" s="67"/>
      <c r="F52" s="67"/>
      <c r="G52" s="67"/>
      <c r="H52" s="67"/>
      <c r="I52" s="67"/>
      <c r="J52" s="67"/>
      <c r="K52" s="67"/>
      <c r="L52" s="67"/>
      <c r="M52" s="67"/>
      <c r="N52" s="67"/>
      <c r="O52" s="67"/>
      <c r="P52" s="67"/>
      <c r="Q52" s="67"/>
    </row>
    <row r="53" spans="1:17" x14ac:dyDescent="0.2">
      <c r="A53" s="67"/>
      <c r="B53" s="67"/>
      <c r="C53" s="67"/>
      <c r="D53" s="67"/>
      <c r="E53" s="67"/>
      <c r="F53" s="67"/>
      <c r="G53" s="67"/>
      <c r="H53" s="67"/>
      <c r="I53" s="67"/>
      <c r="J53" s="67"/>
      <c r="K53" s="67"/>
      <c r="L53" s="67"/>
      <c r="M53" s="67"/>
      <c r="N53" s="67"/>
      <c r="O53" s="67"/>
      <c r="P53" s="67"/>
      <c r="Q53" s="67"/>
    </row>
    <row r="54" spans="1:17" x14ac:dyDescent="0.2">
      <c r="A54" s="67"/>
      <c r="B54" s="67"/>
      <c r="C54" s="67"/>
      <c r="D54" s="67"/>
      <c r="E54" s="67"/>
      <c r="F54" s="67"/>
      <c r="G54" s="67"/>
      <c r="H54" s="67"/>
      <c r="I54" s="67"/>
      <c r="J54" s="67"/>
      <c r="K54" s="67"/>
      <c r="L54" s="67"/>
      <c r="M54" s="67"/>
      <c r="N54" s="67"/>
      <c r="O54" s="67"/>
      <c r="P54" s="67"/>
      <c r="Q54" s="67"/>
    </row>
    <row r="55" spans="1:17" x14ac:dyDescent="0.2">
      <c r="A55" s="67"/>
      <c r="B55" s="67"/>
      <c r="C55" s="67"/>
      <c r="D55" s="67"/>
      <c r="E55" s="67"/>
      <c r="F55" s="67"/>
      <c r="G55" s="67"/>
      <c r="H55" s="67"/>
      <c r="I55" s="67"/>
      <c r="J55" s="67"/>
      <c r="K55" s="67"/>
      <c r="L55" s="67"/>
      <c r="M55" s="67"/>
      <c r="N55" s="67"/>
      <c r="O55" s="67"/>
      <c r="P55" s="67"/>
      <c r="Q55" s="67"/>
    </row>
    <row r="56" spans="1:17" x14ac:dyDescent="0.2">
      <c r="A56" s="67"/>
      <c r="B56" s="67"/>
      <c r="C56" s="67"/>
      <c r="D56" s="67"/>
      <c r="E56" s="67"/>
      <c r="F56" s="67"/>
      <c r="G56" s="67"/>
      <c r="H56" s="67"/>
      <c r="I56" s="67"/>
      <c r="J56" s="67"/>
      <c r="K56" s="67"/>
      <c r="L56" s="67"/>
      <c r="M56" s="67"/>
      <c r="N56" s="67"/>
      <c r="O56" s="67"/>
      <c r="P56" s="67"/>
      <c r="Q56" s="67"/>
    </row>
    <row r="57" spans="1:17" x14ac:dyDescent="0.2">
      <c r="A57" s="67"/>
      <c r="B57" s="67"/>
      <c r="C57" s="67"/>
      <c r="D57" s="67"/>
      <c r="E57" s="67"/>
      <c r="F57" s="67"/>
      <c r="G57" s="67"/>
      <c r="H57" s="67"/>
      <c r="I57" s="67"/>
      <c r="J57" s="67"/>
      <c r="K57" s="67"/>
      <c r="L57" s="67"/>
      <c r="M57" s="67"/>
      <c r="N57" s="67"/>
      <c r="O57" s="67"/>
      <c r="P57" s="67"/>
      <c r="Q57" s="67"/>
    </row>
    <row r="58" spans="1:17" x14ac:dyDescent="0.2">
      <c r="A58" s="67"/>
      <c r="B58" s="67"/>
      <c r="C58" s="67"/>
      <c r="D58" s="67"/>
      <c r="E58" s="67"/>
      <c r="F58" s="67"/>
      <c r="G58" s="67"/>
      <c r="H58" s="67"/>
      <c r="I58" s="67"/>
      <c r="J58" s="67"/>
      <c r="K58" s="67"/>
      <c r="L58" s="67"/>
      <c r="M58" s="67"/>
      <c r="N58" s="67"/>
      <c r="O58" s="67"/>
      <c r="P58" s="67"/>
      <c r="Q58" s="67"/>
    </row>
    <row r="59" spans="1:17" x14ac:dyDescent="0.2">
      <c r="A59" s="67"/>
      <c r="B59" s="67"/>
      <c r="C59" s="67"/>
      <c r="D59" s="67"/>
      <c r="E59" s="67"/>
      <c r="F59" s="67"/>
      <c r="G59" s="67"/>
      <c r="H59" s="67"/>
      <c r="I59" s="67"/>
      <c r="J59" s="67"/>
      <c r="K59" s="67"/>
      <c r="L59" s="67"/>
      <c r="M59" s="67"/>
      <c r="N59" s="67"/>
      <c r="O59" s="67"/>
      <c r="P59" s="67"/>
      <c r="Q59" s="67"/>
    </row>
    <row r="60" spans="1:17" x14ac:dyDescent="0.2">
      <c r="A60" s="67"/>
      <c r="B60" s="67"/>
      <c r="C60" s="67"/>
      <c r="D60" s="67"/>
      <c r="E60" s="67"/>
      <c r="F60" s="67"/>
      <c r="G60" s="67"/>
      <c r="H60" s="67"/>
      <c r="I60" s="67"/>
      <c r="J60" s="67"/>
      <c r="K60" s="67"/>
      <c r="L60" s="67"/>
      <c r="M60" s="67"/>
      <c r="N60" s="67"/>
      <c r="O60" s="67"/>
      <c r="P60" s="67"/>
      <c r="Q60" s="67"/>
    </row>
    <row r="61" spans="1:17" x14ac:dyDescent="0.2">
      <c r="A61" s="67"/>
      <c r="B61" s="67"/>
      <c r="C61" s="67"/>
      <c r="D61" s="67"/>
      <c r="E61" s="67"/>
      <c r="F61" s="67"/>
      <c r="G61" s="67"/>
      <c r="H61" s="67"/>
      <c r="I61" s="67"/>
      <c r="J61" s="67"/>
      <c r="K61" s="67"/>
      <c r="L61" s="67"/>
      <c r="M61" s="67"/>
      <c r="N61" s="67"/>
      <c r="O61" s="67"/>
      <c r="P61" s="67"/>
      <c r="Q61" s="67"/>
    </row>
    <row r="62" spans="1:17" x14ac:dyDescent="0.2">
      <c r="A62" s="67"/>
      <c r="B62" s="67"/>
      <c r="C62" s="67"/>
      <c r="D62" s="67"/>
      <c r="E62" s="67"/>
      <c r="F62" s="67"/>
      <c r="G62" s="67"/>
      <c r="H62" s="67"/>
      <c r="I62" s="67"/>
      <c r="J62" s="67"/>
      <c r="K62" s="67"/>
      <c r="L62" s="67"/>
      <c r="M62" s="67"/>
      <c r="N62" s="67"/>
      <c r="O62" s="67"/>
      <c r="P62" s="67"/>
      <c r="Q62" s="67"/>
    </row>
    <row r="63" spans="1:17" x14ac:dyDescent="0.2">
      <c r="A63" s="67"/>
      <c r="B63" s="67"/>
      <c r="C63" s="67"/>
      <c r="D63" s="67"/>
      <c r="E63" s="67"/>
      <c r="F63" s="67"/>
      <c r="G63" s="67"/>
      <c r="H63" s="67"/>
      <c r="I63" s="67"/>
      <c r="J63" s="67"/>
      <c r="K63" s="67"/>
      <c r="L63" s="67"/>
      <c r="M63" s="67"/>
      <c r="N63" s="67"/>
      <c r="O63" s="67"/>
      <c r="P63" s="67"/>
      <c r="Q63" s="67"/>
    </row>
    <row r="64" spans="1:17" x14ac:dyDescent="0.2">
      <c r="A64" s="67"/>
      <c r="B64" s="67"/>
      <c r="C64" s="67"/>
      <c r="D64" s="67"/>
      <c r="E64" s="67"/>
      <c r="F64" s="67"/>
      <c r="G64" s="67"/>
      <c r="H64" s="67"/>
      <c r="I64" s="67"/>
      <c r="J64" s="67"/>
      <c r="K64" s="67"/>
      <c r="L64" s="67"/>
      <c r="M64" s="67"/>
      <c r="N64" s="67"/>
      <c r="O64" s="67"/>
      <c r="P64" s="67"/>
      <c r="Q64" s="67"/>
    </row>
    <row r="65" spans="1:17" x14ac:dyDescent="0.2">
      <c r="A65" s="67"/>
      <c r="B65" s="67"/>
      <c r="C65" s="67"/>
      <c r="D65" s="67"/>
      <c r="E65" s="67"/>
      <c r="F65" s="67"/>
      <c r="G65" s="67"/>
      <c r="H65" s="67"/>
      <c r="I65" s="67"/>
      <c r="J65" s="67"/>
      <c r="K65" s="67"/>
      <c r="L65" s="67"/>
      <c r="M65" s="67"/>
      <c r="N65" s="67"/>
      <c r="O65" s="67"/>
      <c r="P65" s="67"/>
      <c r="Q65" s="67"/>
    </row>
    <row r="66" spans="1:17" x14ac:dyDescent="0.2">
      <c r="A66" s="67"/>
      <c r="B66" s="67"/>
      <c r="C66" s="67"/>
      <c r="D66" s="67"/>
      <c r="E66" s="67"/>
      <c r="F66" s="67"/>
      <c r="G66" s="67"/>
      <c r="H66" s="67"/>
      <c r="I66" s="67"/>
      <c r="J66" s="67"/>
      <c r="K66" s="67"/>
      <c r="L66" s="67"/>
      <c r="M66" s="67"/>
      <c r="N66" s="67"/>
      <c r="O66" s="67"/>
      <c r="P66" s="67"/>
      <c r="Q66" s="67"/>
    </row>
    <row r="67" spans="1:17" x14ac:dyDescent="0.2">
      <c r="A67" s="67"/>
      <c r="B67" s="67"/>
      <c r="C67" s="67"/>
      <c r="D67" s="67"/>
      <c r="E67" s="67"/>
      <c r="F67" s="67"/>
      <c r="G67" s="67"/>
      <c r="H67" s="67"/>
      <c r="I67" s="67"/>
      <c r="J67" s="67"/>
      <c r="K67" s="67"/>
      <c r="L67" s="67"/>
      <c r="M67" s="67"/>
      <c r="N67" s="67"/>
      <c r="O67" s="67"/>
      <c r="P67" s="67"/>
      <c r="Q67" s="67"/>
    </row>
    <row r="68" spans="1:17" x14ac:dyDescent="0.2">
      <c r="A68" s="67"/>
      <c r="B68" s="67"/>
      <c r="C68" s="67"/>
      <c r="D68" s="67"/>
      <c r="E68" s="67"/>
      <c r="F68" s="67"/>
      <c r="G68" s="67"/>
      <c r="H68" s="67"/>
      <c r="I68" s="67"/>
      <c r="J68" s="67"/>
      <c r="K68" s="67"/>
      <c r="L68" s="67"/>
      <c r="M68" s="67"/>
      <c r="N68" s="67"/>
      <c r="O68" s="67"/>
      <c r="P68" s="67"/>
      <c r="Q68" s="67"/>
    </row>
  </sheetData>
  <sheetProtection selectLockedCells="1"/>
  <mergeCells count="3">
    <mergeCell ref="C4:J4"/>
    <mergeCell ref="K26:L26"/>
    <mergeCell ref="C23:J23"/>
  </mergeCells>
  <hyperlinks>
    <hyperlink ref="K26:L26" location="Selection!D6" display="Back to selection"/>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5"/>
  </sheetPr>
  <dimension ref="A1:Q72"/>
  <sheetViews>
    <sheetView workbookViewId="0">
      <selection activeCell="M24" sqref="M24"/>
    </sheetView>
  </sheetViews>
  <sheetFormatPr defaultColWidth="8.69921875" defaultRowHeight="14.25" x14ac:dyDescent="0.2"/>
  <cols>
    <col min="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"Activity Levels Over Time in "&amp;B40&amp;" and "&amp;B49</f>
        <v>Activity Levels Over Time in GM and England</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2" x14ac:dyDescent="0.2">
      <c r="B17" s="99"/>
      <c r="C17" s="32"/>
      <c r="D17" s="32"/>
      <c r="E17" s="32"/>
      <c r="F17" s="32"/>
      <c r="G17" s="32"/>
      <c r="H17" s="32"/>
      <c r="I17" s="32"/>
      <c r="J17" s="32"/>
      <c r="K17" s="100"/>
    </row>
    <row r="18" spans="2:12" x14ac:dyDescent="0.2">
      <c r="B18" s="99"/>
      <c r="C18" s="32"/>
      <c r="D18" s="32"/>
      <c r="E18" s="32"/>
      <c r="F18" s="32"/>
      <c r="G18" s="32"/>
      <c r="H18" s="32"/>
      <c r="I18" s="32"/>
      <c r="J18" s="32"/>
      <c r="K18" s="100"/>
    </row>
    <row r="19" spans="2:12" x14ac:dyDescent="0.2">
      <c r="B19" s="99"/>
      <c r="C19" s="32"/>
      <c r="D19" s="32"/>
      <c r="E19" s="32"/>
      <c r="F19" s="32"/>
      <c r="G19" s="32"/>
      <c r="H19" s="32"/>
      <c r="I19" s="32"/>
      <c r="J19" s="32"/>
      <c r="K19" s="100"/>
    </row>
    <row r="20" spans="2:12" x14ac:dyDescent="0.2">
      <c r="B20" s="99"/>
      <c r="C20" s="32"/>
      <c r="D20" s="32"/>
      <c r="E20" s="32"/>
      <c r="F20" s="32"/>
      <c r="G20" s="32"/>
      <c r="H20" s="32"/>
      <c r="I20" s="32"/>
      <c r="J20" s="32"/>
      <c r="K20" s="100"/>
    </row>
    <row r="21" spans="2:12" x14ac:dyDescent="0.2">
      <c r="B21" s="99"/>
      <c r="C21" s="32"/>
      <c r="D21" s="32"/>
      <c r="E21" s="32"/>
      <c r="F21" s="32"/>
      <c r="G21" s="32"/>
      <c r="H21" s="32"/>
      <c r="I21" s="32"/>
      <c r="J21" s="32"/>
      <c r="K21" s="100"/>
    </row>
    <row r="22" spans="2:12" x14ac:dyDescent="0.2">
      <c r="B22" s="99"/>
      <c r="C22" s="32"/>
      <c r="D22" s="32"/>
      <c r="E22" s="32"/>
      <c r="F22" s="32"/>
      <c r="G22" s="32"/>
      <c r="H22" s="32"/>
      <c r="I22" s="32"/>
      <c r="J22" s="32"/>
      <c r="K22" s="100"/>
    </row>
    <row r="23" spans="2:12" x14ac:dyDescent="0.2">
      <c r="B23" s="99"/>
      <c r="C23" s="221" t="s">
        <v>314</v>
      </c>
      <c r="D23" s="221"/>
      <c r="E23" s="221"/>
      <c r="F23" s="221"/>
      <c r="G23" s="221"/>
      <c r="H23" s="221"/>
      <c r="I23" s="221"/>
      <c r="J23" s="221"/>
      <c r="K23" s="100"/>
    </row>
    <row r="24" spans="2:12" ht="15" thickBot="1" x14ac:dyDescent="0.25">
      <c r="B24" s="101"/>
      <c r="C24" s="23"/>
      <c r="D24" s="23"/>
      <c r="E24" s="23"/>
      <c r="F24" s="23"/>
      <c r="G24" s="23"/>
      <c r="H24" s="23"/>
      <c r="I24" s="23"/>
      <c r="J24" s="23"/>
      <c r="K24" s="102"/>
    </row>
    <row r="25" spans="2:12" ht="15.75" thickTop="1" thickBot="1" x14ac:dyDescent="0.25">
      <c r="B25" s="95"/>
      <c r="C25" s="95"/>
      <c r="D25" s="95"/>
      <c r="E25" s="95"/>
      <c r="F25" s="95"/>
      <c r="G25" s="95"/>
      <c r="H25" s="95"/>
      <c r="I25" s="95"/>
      <c r="J25" s="95"/>
      <c r="K25" s="95"/>
    </row>
    <row r="26" spans="2:12" ht="13.9" customHeight="1" x14ac:dyDescent="0.2">
      <c r="B26" s="103"/>
      <c r="C26" s="104"/>
      <c r="D26" s="104"/>
      <c r="E26" s="104"/>
      <c r="F26" s="104"/>
      <c r="G26" s="104"/>
      <c r="H26" s="104"/>
      <c r="I26" s="104"/>
      <c r="J26" s="104"/>
      <c r="K26" s="105"/>
    </row>
    <row r="27" spans="2:12" x14ac:dyDescent="0.2">
      <c r="B27" s="106"/>
      <c r="C27" s="222" t="str">
        <f ca="1">CONCATENATE("The percentage of people moving in ",B40, " has ", (IF(H48&gt;H41, "increased ", "decreased ")), "by ", (TEXT((ABS(H48-H41)), "0.0%")), " this compares to a ", (TEXT((ABS(H58-H51)),"0.0%")), (IF(H58&gt;H51, " increase "," decrease ")), "in ",B49,".")</f>
        <v>The percentage of people moving in GM has increased by 0.5% this compares to a 0.1% increase in England.</v>
      </c>
      <c r="D27" s="222"/>
      <c r="E27" s="222"/>
      <c r="F27" s="222"/>
      <c r="G27" s="222"/>
      <c r="H27" s="222"/>
      <c r="I27" s="222"/>
      <c r="J27" s="222"/>
      <c r="K27" s="107"/>
    </row>
    <row r="28" spans="2:12" x14ac:dyDescent="0.2">
      <c r="B28" s="106"/>
      <c r="C28" s="222"/>
      <c r="D28" s="222"/>
      <c r="E28" s="222"/>
      <c r="F28" s="222"/>
      <c r="G28" s="222"/>
      <c r="H28" s="222"/>
      <c r="I28" s="222"/>
      <c r="J28" s="222"/>
      <c r="K28" s="107"/>
    </row>
    <row r="29" spans="2:12" ht="15" thickBot="1" x14ac:dyDescent="0.25">
      <c r="B29" s="108"/>
      <c r="C29" s="109"/>
      <c r="D29" s="109"/>
      <c r="E29" s="109"/>
      <c r="F29" s="109"/>
      <c r="G29" s="109"/>
      <c r="H29" s="109"/>
      <c r="I29" s="109"/>
      <c r="J29" s="109"/>
      <c r="K29" s="110"/>
    </row>
    <row r="31" spans="2:12" x14ac:dyDescent="0.2">
      <c r="K31" s="195" t="s">
        <v>147</v>
      </c>
      <c r="L31" s="195"/>
    </row>
    <row r="34" spans="1:17" x14ac:dyDescent="0.2">
      <c r="C34" s="7" t="s">
        <v>186</v>
      </c>
    </row>
    <row r="36" spans="1:17" x14ac:dyDescent="0.2">
      <c r="B36" s="34"/>
      <c r="C36" s="34"/>
      <c r="D36" s="34"/>
      <c r="E36" s="34"/>
      <c r="F36" s="34"/>
      <c r="G36" s="34"/>
      <c r="H36" s="34"/>
      <c r="I36" s="34"/>
      <c r="J36" s="34"/>
      <c r="K36" s="34"/>
      <c r="L36" s="34"/>
      <c r="M36" s="34"/>
    </row>
    <row r="37" spans="1:17" x14ac:dyDescent="0.2">
      <c r="B37" s="34"/>
      <c r="C37" s="34"/>
      <c r="D37" s="34"/>
      <c r="E37" s="34"/>
      <c r="F37" s="34"/>
      <c r="G37" s="34"/>
      <c r="H37" s="34"/>
      <c r="I37" s="34"/>
      <c r="J37" s="34"/>
      <c r="K37" s="34"/>
      <c r="L37" s="34"/>
      <c r="M37" s="34"/>
    </row>
    <row r="38" spans="1:17" x14ac:dyDescent="0.2">
      <c r="A38" s="34"/>
      <c r="B38" s="34"/>
      <c r="C38" s="34"/>
      <c r="D38" s="34"/>
      <c r="E38" s="34"/>
      <c r="F38" s="34"/>
      <c r="G38" s="34"/>
      <c r="H38" s="34"/>
      <c r="I38" s="34"/>
      <c r="J38" s="34"/>
      <c r="K38" s="34"/>
      <c r="L38" s="34"/>
      <c r="M38" s="34"/>
      <c r="N38" s="34"/>
      <c r="O38" s="34"/>
      <c r="P38" s="34"/>
      <c r="Q38" s="34"/>
    </row>
    <row r="39" spans="1:17" x14ac:dyDescent="0.2">
      <c r="A39" s="34"/>
      <c r="B39" s="34"/>
      <c r="C39" s="34"/>
      <c r="D39" s="34"/>
      <c r="E39" s="34"/>
      <c r="F39" s="34"/>
      <c r="G39" s="34"/>
      <c r="H39" s="34"/>
      <c r="I39" s="34"/>
      <c r="J39" s="34"/>
      <c r="K39" s="34"/>
      <c r="L39" s="34"/>
      <c r="M39" s="34"/>
      <c r="N39" s="34"/>
      <c r="O39" s="34"/>
      <c r="P39" s="34"/>
      <c r="Q39" s="34"/>
    </row>
    <row r="40" spans="1:17" x14ac:dyDescent="0.2">
      <c r="A40" s="34"/>
      <c r="B40" s="34" t="str">
        <f>Selection!D7</f>
        <v>GM</v>
      </c>
      <c r="C40" s="34"/>
      <c r="D40" s="35"/>
      <c r="E40" s="34" t="s">
        <v>119</v>
      </c>
      <c r="F40" s="34" t="s">
        <v>120</v>
      </c>
      <c r="G40" s="34" t="s">
        <v>121</v>
      </c>
      <c r="H40" s="34" t="s">
        <v>99</v>
      </c>
      <c r="I40" s="34"/>
      <c r="J40" s="34"/>
      <c r="K40" s="34"/>
      <c r="L40" s="34"/>
      <c r="M40" s="34"/>
      <c r="N40" s="34"/>
      <c r="O40" s="34"/>
      <c r="P40" s="34"/>
      <c r="Q40" s="34"/>
    </row>
    <row r="41" spans="1:17" x14ac:dyDescent="0.2">
      <c r="A41" s="34"/>
      <c r="B41" s="34"/>
      <c r="C41" s="34"/>
      <c r="D41" s="36" t="s">
        <v>35</v>
      </c>
      <c r="E41" s="37">
        <f ca="1">INDIRECT(""&amp;B40&amp;"!BK3")</f>
        <v>0.28520000000000001</v>
      </c>
      <c r="F41" s="37">
        <f ca="1">INDIRECT(""&amp;B40&amp;"!AG3")</f>
        <v>0.12127418328612977</v>
      </c>
      <c r="G41" s="37">
        <f ca="1">INDIRECT(""&amp;B40&amp;"!C3")</f>
        <v>0.59354515323705681</v>
      </c>
      <c r="H41" s="38">
        <f ca="1">SUM(F41:G41)</f>
        <v>0.71481933652318652</v>
      </c>
      <c r="I41" s="34"/>
      <c r="J41" s="34"/>
      <c r="K41" s="34"/>
      <c r="L41" s="34"/>
      <c r="M41" s="34"/>
      <c r="N41" s="34"/>
      <c r="O41" s="34"/>
      <c r="P41" s="34"/>
      <c r="Q41" s="34"/>
    </row>
    <row r="42" spans="1:17" x14ac:dyDescent="0.2">
      <c r="A42" s="34"/>
      <c r="B42" s="34"/>
      <c r="C42" s="34"/>
      <c r="D42" s="36" t="s">
        <v>36</v>
      </c>
      <c r="E42" s="37">
        <f ca="1">INDIRECT(""&amp;B40&amp;"!BK4")</f>
        <v>0.27572606825876445</v>
      </c>
      <c r="F42" s="37">
        <f ca="1">INDIRECT(""&amp;B40&amp;"!AG4")</f>
        <v>0.1149</v>
      </c>
      <c r="G42" s="37">
        <f ca="1">INDIRECT(""&amp;B40&amp;"!C4")</f>
        <v>0.60929999999999995</v>
      </c>
      <c r="H42" s="38">
        <f t="shared" ref="H42:H47" ca="1" si="0">SUM(F42:G42)</f>
        <v>0.72419999999999995</v>
      </c>
      <c r="I42" s="34"/>
      <c r="J42" s="34"/>
      <c r="K42" s="34"/>
      <c r="L42" s="34"/>
      <c r="M42" s="34"/>
      <c r="N42" s="34"/>
      <c r="O42" s="34"/>
      <c r="P42" s="34"/>
      <c r="Q42" s="34"/>
    </row>
    <row r="43" spans="1:17" x14ac:dyDescent="0.2">
      <c r="A43" s="34"/>
      <c r="B43" s="34"/>
      <c r="C43" s="34"/>
      <c r="D43" s="36" t="s">
        <v>37</v>
      </c>
      <c r="E43" s="37">
        <f ca="1">INDIRECT(""&amp;B40&amp;"!BK5")</f>
        <v>0.26650000000000001</v>
      </c>
      <c r="F43" s="37">
        <f ca="1">INDIRECT(""&amp;B40&amp;"!AG5")</f>
        <v>0.109</v>
      </c>
      <c r="G43" s="37">
        <f ca="1">INDIRECT(""&amp;B40&amp;"!C5")</f>
        <v>0.61350000000000005</v>
      </c>
      <c r="H43" s="38">
        <f t="shared" ca="1" si="0"/>
        <v>0.72250000000000003</v>
      </c>
      <c r="I43" s="34"/>
      <c r="J43" s="34"/>
      <c r="K43" s="34"/>
      <c r="L43" s="34"/>
      <c r="M43" s="34"/>
      <c r="N43" s="34"/>
      <c r="O43" s="34"/>
      <c r="P43" s="34"/>
      <c r="Q43" s="34"/>
    </row>
    <row r="44" spans="1:17" x14ac:dyDescent="0.2">
      <c r="A44" s="34"/>
      <c r="B44" s="34"/>
      <c r="C44" s="34"/>
      <c r="D44" s="36" t="s">
        <v>38</v>
      </c>
      <c r="E44" s="37">
        <f ca="1">INDIRECT(""&amp;B40&amp;"!BK6")</f>
        <v>0.27074742610830277</v>
      </c>
      <c r="F44" s="37">
        <f ca="1">INDIRECT(""&amp;B40&amp;"!AG6")</f>
        <v>0.12322296757519696</v>
      </c>
      <c r="G44" s="37">
        <f ca="1">INDIRECT(""&amp;B40&amp;"!C6")</f>
        <v>0.60602960631650016</v>
      </c>
      <c r="H44" s="38">
        <f t="shared" ca="1" si="0"/>
        <v>0.72925257389169706</v>
      </c>
      <c r="I44" s="34"/>
      <c r="J44" s="34"/>
      <c r="K44" s="34"/>
      <c r="L44" s="34"/>
      <c r="M44" s="34"/>
      <c r="N44" s="34"/>
      <c r="O44" s="34"/>
      <c r="P44" s="34"/>
      <c r="Q44" s="34"/>
    </row>
    <row r="45" spans="1:17" x14ac:dyDescent="0.2">
      <c r="A45" s="34"/>
      <c r="B45" s="34"/>
      <c r="C45" s="34"/>
      <c r="D45" s="36" t="s">
        <v>39</v>
      </c>
      <c r="E45" s="37">
        <f ca="1">INDIRECT(""&amp;B40&amp;"!BK7")</f>
        <v>0.26700000000000002</v>
      </c>
      <c r="F45" s="37">
        <f ca="1">INDIRECT(""&amp;B40&amp;"!AG7")</f>
        <v>0.12640051655468471</v>
      </c>
      <c r="G45" s="37">
        <f ca="1">INDIRECT(""&amp;B40&amp;"!C7")</f>
        <v>0.60660000000000003</v>
      </c>
      <c r="H45" s="38">
        <f t="shared" ca="1" si="0"/>
        <v>0.73300051655468468</v>
      </c>
      <c r="I45" s="34"/>
      <c r="J45" s="34"/>
      <c r="K45" s="34"/>
      <c r="L45" s="34"/>
      <c r="M45" s="34"/>
      <c r="N45" s="34"/>
      <c r="O45" s="34"/>
      <c r="P45" s="34"/>
      <c r="Q45" s="34"/>
    </row>
    <row r="46" spans="1:17" x14ac:dyDescent="0.2">
      <c r="A46" s="34"/>
      <c r="B46" s="34"/>
      <c r="C46" s="34"/>
      <c r="D46" s="36" t="s">
        <v>40</v>
      </c>
      <c r="E46" s="37">
        <f ca="1">INDIRECT(""&amp;B40&amp;"!BK8")</f>
        <v>0.26690000000000003</v>
      </c>
      <c r="F46" s="37">
        <f ca="1">INDIRECT(""&amp;B40&amp;"!AG8")</f>
        <v>0.12089999999999999</v>
      </c>
      <c r="G46" s="37">
        <f ca="1">INDIRECT(""&amp;B40&amp;"!C8")</f>
        <v>0.61219999999999997</v>
      </c>
      <c r="H46" s="38">
        <f t="shared" ca="1" si="0"/>
        <v>0.73309999999999997</v>
      </c>
      <c r="I46" s="34"/>
      <c r="J46" s="34"/>
      <c r="K46" s="34"/>
      <c r="L46" s="34"/>
      <c r="M46" s="34"/>
      <c r="N46" s="34"/>
      <c r="O46" s="34"/>
      <c r="P46" s="34"/>
      <c r="Q46" s="34"/>
    </row>
    <row r="47" spans="1:17" x14ac:dyDescent="0.2">
      <c r="A47" s="34"/>
      <c r="B47" s="34"/>
      <c r="C47" s="34"/>
      <c r="D47" s="36" t="s">
        <v>41</v>
      </c>
      <c r="E47" s="37">
        <f ca="1">INDIRECT(""&amp;B40&amp;"!BK9")</f>
        <v>0.26203863773603581</v>
      </c>
      <c r="F47" s="37">
        <f ca="1">INDIRECT(""&amp;B40&amp;"!AG9")</f>
        <v>0.11840083948537654</v>
      </c>
      <c r="G47" s="37">
        <f ca="1">INDIRECT(""&amp;B40&amp;"!C9")</f>
        <v>0.6195605227785913</v>
      </c>
      <c r="H47" s="38">
        <f t="shared" ca="1" si="0"/>
        <v>0.7379613622639678</v>
      </c>
      <c r="I47" s="34"/>
      <c r="J47" s="34"/>
      <c r="K47" s="34"/>
      <c r="L47" s="34"/>
      <c r="M47" s="34"/>
      <c r="N47" s="34"/>
      <c r="O47" s="34"/>
      <c r="P47" s="34"/>
      <c r="Q47" s="34"/>
    </row>
    <row r="48" spans="1:17" x14ac:dyDescent="0.2">
      <c r="A48" s="34"/>
      <c r="B48" s="34"/>
      <c r="C48" s="34"/>
      <c r="D48" s="36" t="s">
        <v>155</v>
      </c>
      <c r="E48" s="37">
        <f ca="1">INDIRECT(""&amp;B40&amp;"!BK10")</f>
        <v>0.28050000000000003</v>
      </c>
      <c r="F48" s="37">
        <f ca="1">INDIRECT(""&amp;B40&amp;"!AG10")</f>
        <v>0.10929999999999999</v>
      </c>
      <c r="G48" s="37">
        <f ca="1">INDIRECT(""&amp;B40&amp;"!C10")</f>
        <v>0.61019999999999996</v>
      </c>
      <c r="H48" s="38">
        <f t="shared" ref="H48" ca="1" si="1">SUM(F48:G48)</f>
        <v>0.71949999999999992</v>
      </c>
      <c r="I48" s="34"/>
      <c r="J48" s="34"/>
      <c r="K48" s="34"/>
      <c r="L48" s="34"/>
      <c r="M48" s="34"/>
      <c r="N48" s="34"/>
      <c r="O48" s="34"/>
      <c r="P48" s="34"/>
      <c r="Q48" s="34"/>
    </row>
    <row r="49" spans="1:17" x14ac:dyDescent="0.2">
      <c r="A49" s="34"/>
      <c r="B49" s="34" t="str">
        <f>Selection!D12</f>
        <v>England</v>
      </c>
      <c r="C49" s="34"/>
      <c r="D49" s="35"/>
      <c r="E49" s="34"/>
      <c r="F49" s="34"/>
      <c r="G49" s="34"/>
      <c r="H49" s="34"/>
      <c r="I49" s="34"/>
      <c r="J49" s="34"/>
      <c r="K49" s="34"/>
      <c r="L49" s="34"/>
      <c r="M49" s="34"/>
      <c r="N49" s="34"/>
      <c r="O49" s="34"/>
      <c r="P49" s="34"/>
      <c r="Q49" s="34"/>
    </row>
    <row r="50" spans="1:17" x14ac:dyDescent="0.2">
      <c r="A50" s="34"/>
      <c r="B50" s="34"/>
      <c r="C50" s="34"/>
      <c r="D50" s="35"/>
      <c r="E50" s="34" t="s">
        <v>119</v>
      </c>
      <c r="F50" s="34" t="s">
        <v>120</v>
      </c>
      <c r="G50" s="34" t="s">
        <v>121</v>
      </c>
      <c r="H50" s="34" t="s">
        <v>99</v>
      </c>
      <c r="I50" s="34"/>
      <c r="J50" s="34"/>
      <c r="K50" s="34"/>
      <c r="L50" s="34"/>
      <c r="M50" s="34"/>
      <c r="N50" s="34"/>
      <c r="O50" s="34"/>
      <c r="P50" s="34"/>
      <c r="Q50" s="34"/>
    </row>
    <row r="51" spans="1:17" x14ac:dyDescent="0.2">
      <c r="A51" s="34"/>
      <c r="B51" s="34"/>
      <c r="C51" s="34"/>
      <c r="D51" s="35" t="s">
        <v>35</v>
      </c>
      <c r="E51" s="38">
        <f ca="1">INDIRECT(""&amp;B49&amp;"!BK3")</f>
        <v>0.25569999999999998</v>
      </c>
      <c r="F51" s="38">
        <f ca="1">INDIRECT(""&amp;B49&amp;"!AG3")</f>
        <v>0.1235</v>
      </c>
      <c r="G51" s="38">
        <f ca="1">INDIRECT(""&amp;B49&amp;"!C3")</f>
        <v>0.62070000000000003</v>
      </c>
      <c r="H51" s="38">
        <f ca="1">SUM(F51:G51)</f>
        <v>0.74419999999999997</v>
      </c>
      <c r="I51" s="34"/>
      <c r="J51" s="34"/>
      <c r="K51" s="34"/>
      <c r="L51" s="34"/>
      <c r="M51" s="34"/>
      <c r="N51" s="34"/>
      <c r="O51" s="34"/>
      <c r="P51" s="34"/>
      <c r="Q51" s="34"/>
    </row>
    <row r="52" spans="1:17" x14ac:dyDescent="0.2">
      <c r="A52" s="34"/>
      <c r="B52" s="34"/>
      <c r="C52" s="34"/>
      <c r="D52" s="35" t="s">
        <v>36</v>
      </c>
      <c r="E52" s="38">
        <f ca="1">INDIRECT(""&amp;B49&amp;"!BK4")</f>
        <v>0.25609999999999999</v>
      </c>
      <c r="F52" s="38">
        <f ca="1">INDIRECT(""&amp;B49&amp;"!AG4")</f>
        <v>0.1241</v>
      </c>
      <c r="G52" s="38">
        <f ca="1">INDIRECT(""&amp;B49&amp;"!C4")</f>
        <v>0.61980000000000002</v>
      </c>
      <c r="H52" s="38">
        <f t="shared" ref="H52:H57" ca="1" si="2">SUM(F52:G52)</f>
        <v>0.74390000000000001</v>
      </c>
      <c r="I52" s="34"/>
      <c r="J52" s="34"/>
      <c r="K52" s="34"/>
      <c r="L52" s="34"/>
      <c r="M52" s="34"/>
      <c r="N52" s="34"/>
      <c r="O52" s="34"/>
      <c r="P52" s="34"/>
      <c r="Q52" s="34"/>
    </row>
    <row r="53" spans="1:17" x14ac:dyDescent="0.2">
      <c r="A53" s="34"/>
      <c r="B53" s="34"/>
      <c r="C53" s="34"/>
      <c r="D53" s="35" t="s">
        <v>37</v>
      </c>
      <c r="E53" s="38">
        <f ca="1">INDIRECT(""&amp;B49&amp;"!BK5")</f>
        <v>0.25669999999999998</v>
      </c>
      <c r="F53" s="38">
        <f ca="1">INDIRECT(""&amp;B49&amp;"!AG5")</f>
        <v>0.12509999999999999</v>
      </c>
      <c r="G53" s="38">
        <f ca="1">INDIRECT(""&amp;B49&amp;"!C5")</f>
        <v>0.61819999999999997</v>
      </c>
      <c r="H53" s="38">
        <f t="shared" ca="1" si="2"/>
        <v>0.74329999999999996</v>
      </c>
      <c r="I53" s="34"/>
      <c r="J53" s="34"/>
      <c r="K53" s="34"/>
      <c r="L53" s="34"/>
      <c r="M53" s="34"/>
      <c r="N53" s="34"/>
      <c r="O53" s="34"/>
      <c r="P53" s="34"/>
      <c r="Q53" s="34"/>
    </row>
    <row r="54" spans="1:17" x14ac:dyDescent="0.2">
      <c r="A54" s="34"/>
      <c r="B54" s="34"/>
      <c r="C54" s="34"/>
      <c r="D54" s="35" t="s">
        <v>38</v>
      </c>
      <c r="E54" s="38">
        <f ca="1">INDIRECT(""&amp;B49&amp;"!BK6")</f>
        <v>0.25209999999999999</v>
      </c>
      <c r="F54" s="38">
        <f ca="1">INDIRECT(""&amp;B49&amp;"!AG6")</f>
        <v>0.12479999999999999</v>
      </c>
      <c r="G54" s="38">
        <f ca="1">INDIRECT(""&amp;B49&amp;"!C6")</f>
        <v>0.623</v>
      </c>
      <c r="H54" s="38">
        <f t="shared" ca="1" si="2"/>
        <v>0.74780000000000002</v>
      </c>
      <c r="I54" s="34"/>
      <c r="J54" s="34"/>
      <c r="K54" s="34"/>
      <c r="L54" s="34"/>
      <c r="M54" s="34"/>
      <c r="N54" s="34"/>
      <c r="O54" s="34"/>
      <c r="P54" s="34"/>
      <c r="Q54" s="34"/>
    </row>
    <row r="55" spans="1:17" x14ac:dyDescent="0.2">
      <c r="A55" s="34"/>
      <c r="B55" s="34"/>
      <c r="C55" s="34"/>
      <c r="D55" s="35" t="s">
        <v>39</v>
      </c>
      <c r="E55" s="38">
        <f ca="1">INDIRECT(""&amp;B49&amp;"!BK7")</f>
        <v>0.25069999999999998</v>
      </c>
      <c r="F55" s="38">
        <f ca="1">INDIRECT(""&amp;B49&amp;"!AG7")</f>
        <v>0.1221</v>
      </c>
      <c r="G55" s="38">
        <f ca="1">INDIRECT(""&amp;B49&amp;"!C7")</f>
        <v>0.62719999999999998</v>
      </c>
      <c r="H55" s="38">
        <f t="shared" ca="1" si="2"/>
        <v>0.74929999999999997</v>
      </c>
      <c r="I55" s="34"/>
      <c r="J55" s="34"/>
      <c r="K55" s="34"/>
      <c r="L55" s="34"/>
      <c r="M55" s="34"/>
      <c r="N55" s="34"/>
      <c r="O55" s="34"/>
      <c r="P55" s="34"/>
      <c r="Q55" s="34"/>
    </row>
    <row r="56" spans="1:17" x14ac:dyDescent="0.2">
      <c r="A56" s="34"/>
      <c r="B56" s="34"/>
      <c r="C56" s="34"/>
      <c r="D56" s="35" t="s">
        <v>40</v>
      </c>
      <c r="E56" s="38">
        <f ca="1">INDIRECT(""&amp;B49&amp;"!BK8")</f>
        <v>0.248</v>
      </c>
      <c r="F56" s="38">
        <f ca="1">INDIRECT(""&amp;B49&amp;"!AG8")</f>
        <v>0.12039999999999999</v>
      </c>
      <c r="G56" s="38">
        <f ca="1">INDIRECT(""&amp;B49&amp;"!C8")</f>
        <v>0.63160000000000005</v>
      </c>
      <c r="H56" s="38">
        <f t="shared" ca="1" si="2"/>
        <v>0.752</v>
      </c>
      <c r="I56" s="34"/>
      <c r="J56" s="34"/>
      <c r="K56" s="34"/>
      <c r="L56" s="34"/>
      <c r="M56" s="34"/>
      <c r="N56" s="34"/>
      <c r="O56" s="34"/>
      <c r="P56" s="34"/>
      <c r="Q56" s="34"/>
    </row>
    <row r="57" spans="1:17" x14ac:dyDescent="0.2">
      <c r="A57" s="34"/>
      <c r="B57" s="34"/>
      <c r="C57" s="34"/>
      <c r="D57" s="35" t="s">
        <v>41</v>
      </c>
      <c r="E57" s="38">
        <f ca="1">INDIRECT(""&amp;B49&amp;"!BK9")</f>
        <v>0.24579999999999999</v>
      </c>
      <c r="F57" s="38">
        <f ca="1">INDIRECT(""&amp;B49&amp;"!AG9")</f>
        <v>0.1215</v>
      </c>
      <c r="G57" s="38">
        <f ca="1">INDIRECT(""&amp;B49&amp;"!C9")</f>
        <v>0.63270000000000004</v>
      </c>
      <c r="H57" s="38">
        <f t="shared" ca="1" si="2"/>
        <v>0.75419999999999998</v>
      </c>
      <c r="I57" s="34"/>
      <c r="J57" s="34"/>
      <c r="K57" s="34"/>
      <c r="L57" s="34"/>
      <c r="M57" s="34"/>
      <c r="N57" s="34"/>
      <c r="O57" s="34"/>
      <c r="P57" s="34"/>
      <c r="Q57" s="34"/>
    </row>
    <row r="58" spans="1:17" x14ac:dyDescent="0.2">
      <c r="B58" s="34"/>
      <c r="C58" s="34"/>
      <c r="D58" s="36" t="s">
        <v>155</v>
      </c>
      <c r="E58" s="38">
        <f ca="1">INDIRECT(""&amp;B49&amp;"!BK10")</f>
        <v>0.2545</v>
      </c>
      <c r="F58" s="38">
        <f ca="1">INDIRECT(""&amp;B49&amp;"!AG10")</f>
        <v>0.1174</v>
      </c>
      <c r="G58" s="38">
        <f ca="1">INDIRECT(""&amp;B49&amp;"!C10")</f>
        <v>0.62809999999999999</v>
      </c>
      <c r="H58" s="38">
        <f t="shared" ref="H58" ca="1" si="3">SUM(F58:G58)</f>
        <v>0.74550000000000005</v>
      </c>
      <c r="I58" s="34"/>
      <c r="J58" s="34"/>
      <c r="K58" s="34"/>
      <c r="L58" s="34"/>
      <c r="M58" s="34"/>
    </row>
    <row r="59" spans="1:17" x14ac:dyDescent="0.2">
      <c r="B59" s="34"/>
      <c r="C59" s="34"/>
      <c r="D59" s="34"/>
      <c r="E59" s="34"/>
      <c r="F59" s="34"/>
      <c r="G59" s="34"/>
      <c r="H59" s="34"/>
      <c r="I59" s="34"/>
      <c r="J59" s="34"/>
      <c r="K59" s="34"/>
      <c r="L59" s="34"/>
      <c r="M59" s="34"/>
    </row>
    <row r="60" spans="1:17" x14ac:dyDescent="0.2">
      <c r="B60" s="34"/>
      <c r="C60" s="34"/>
      <c r="D60" s="34"/>
      <c r="E60" s="34"/>
      <c r="F60" s="34"/>
      <c r="G60" s="34"/>
      <c r="H60" s="34"/>
      <c r="I60" s="34"/>
      <c r="J60" s="34"/>
      <c r="K60" s="34"/>
      <c r="L60" s="34"/>
      <c r="M60" s="34"/>
    </row>
    <row r="61" spans="1:17" x14ac:dyDescent="0.2">
      <c r="B61" s="34"/>
      <c r="C61" s="34"/>
      <c r="D61" s="34"/>
      <c r="E61" s="34"/>
      <c r="F61" s="34"/>
      <c r="G61" s="34"/>
      <c r="H61" s="34"/>
      <c r="I61" s="34"/>
      <c r="J61" s="34"/>
      <c r="K61" s="34"/>
      <c r="L61" s="34"/>
      <c r="M61" s="34"/>
    </row>
    <row r="62" spans="1:17" x14ac:dyDescent="0.2">
      <c r="B62" s="34"/>
      <c r="C62" s="34"/>
      <c r="D62" s="34"/>
      <c r="E62" s="34"/>
      <c r="F62" s="34"/>
      <c r="G62" s="34"/>
      <c r="H62" s="34"/>
      <c r="I62" s="34"/>
      <c r="J62" s="34"/>
      <c r="K62" s="34"/>
      <c r="L62" s="34"/>
      <c r="M62" s="34"/>
    </row>
    <row r="63" spans="1:17" x14ac:dyDescent="0.2">
      <c r="B63" s="34"/>
      <c r="C63" s="34"/>
      <c r="D63" s="34"/>
      <c r="E63" s="34"/>
      <c r="F63" s="34"/>
      <c r="G63" s="34"/>
      <c r="H63" s="34"/>
      <c r="I63" s="34"/>
      <c r="J63" s="34"/>
      <c r="K63" s="34"/>
      <c r="L63" s="34"/>
      <c r="M63" s="34"/>
    </row>
    <row r="64" spans="1:17" x14ac:dyDescent="0.2">
      <c r="B64" s="34"/>
      <c r="C64" s="34"/>
      <c r="D64" s="34"/>
      <c r="E64" s="34"/>
      <c r="F64" s="34"/>
      <c r="G64" s="34"/>
      <c r="H64" s="34"/>
      <c r="I64" s="34"/>
      <c r="J64" s="34"/>
      <c r="K64" s="34"/>
      <c r="L64" s="34"/>
      <c r="M64" s="34"/>
    </row>
    <row r="65" spans="2:13" x14ac:dyDescent="0.2">
      <c r="B65" s="34"/>
      <c r="C65" s="34"/>
      <c r="D65" s="34"/>
      <c r="E65" s="34"/>
      <c r="F65" s="34"/>
      <c r="G65" s="34"/>
      <c r="H65" s="34"/>
      <c r="I65" s="34"/>
      <c r="J65" s="34"/>
      <c r="K65" s="34"/>
      <c r="L65" s="34"/>
      <c r="M65" s="34"/>
    </row>
    <row r="66" spans="2:13" x14ac:dyDescent="0.2">
      <c r="B66" s="34"/>
      <c r="C66" s="34"/>
      <c r="D66" s="34"/>
      <c r="E66" s="34"/>
      <c r="F66" s="34"/>
      <c r="G66" s="34"/>
      <c r="H66" s="34"/>
      <c r="I66" s="34"/>
      <c r="J66" s="34"/>
      <c r="K66" s="34"/>
      <c r="L66" s="34"/>
      <c r="M66" s="34"/>
    </row>
    <row r="67" spans="2:13" x14ac:dyDescent="0.2">
      <c r="B67" s="34"/>
      <c r="C67" s="34"/>
      <c r="D67" s="34"/>
      <c r="E67" s="34"/>
      <c r="F67" s="34"/>
      <c r="G67" s="34"/>
      <c r="H67" s="34"/>
      <c r="I67" s="34"/>
      <c r="J67" s="34"/>
      <c r="K67" s="34"/>
      <c r="L67" s="34"/>
      <c r="M67" s="34"/>
    </row>
    <row r="68" spans="2:13" x14ac:dyDescent="0.2">
      <c r="B68" s="34"/>
      <c r="C68" s="34"/>
      <c r="D68" s="34"/>
      <c r="E68" s="34"/>
      <c r="F68" s="34"/>
      <c r="G68" s="34"/>
      <c r="H68" s="34"/>
      <c r="I68" s="34"/>
      <c r="J68" s="34"/>
      <c r="K68" s="34"/>
      <c r="L68" s="34"/>
      <c r="M68" s="34"/>
    </row>
    <row r="69" spans="2:13" x14ac:dyDescent="0.2">
      <c r="B69" s="34"/>
      <c r="C69" s="34"/>
      <c r="D69" s="34"/>
      <c r="E69" s="34"/>
      <c r="F69" s="34"/>
      <c r="G69" s="34"/>
      <c r="H69" s="34"/>
      <c r="I69" s="34"/>
      <c r="J69" s="34"/>
      <c r="K69" s="34"/>
      <c r="L69" s="34"/>
      <c r="M69" s="34"/>
    </row>
    <row r="70" spans="2:13" x14ac:dyDescent="0.2">
      <c r="B70" s="34"/>
      <c r="C70" s="34"/>
      <c r="D70" s="34"/>
      <c r="E70" s="34"/>
      <c r="F70" s="34"/>
      <c r="G70" s="34"/>
      <c r="H70" s="34"/>
      <c r="I70" s="34"/>
      <c r="J70" s="34"/>
      <c r="K70" s="34"/>
      <c r="L70" s="34"/>
      <c r="M70" s="34"/>
    </row>
    <row r="71" spans="2:13" x14ac:dyDescent="0.2">
      <c r="B71" s="34"/>
      <c r="C71" s="34"/>
      <c r="D71" s="34"/>
      <c r="E71" s="34"/>
      <c r="F71" s="34"/>
      <c r="G71" s="34"/>
      <c r="H71" s="34"/>
      <c r="I71" s="34"/>
      <c r="J71" s="34"/>
      <c r="K71" s="34"/>
      <c r="L71" s="34"/>
      <c r="M71" s="34"/>
    </row>
    <row r="72" spans="2:13" x14ac:dyDescent="0.2">
      <c r="B72" s="34"/>
      <c r="C72" s="34"/>
      <c r="D72" s="34"/>
      <c r="E72" s="34"/>
      <c r="F72" s="34"/>
      <c r="G72" s="34"/>
      <c r="H72" s="34"/>
      <c r="I72" s="34"/>
      <c r="J72" s="34"/>
      <c r="K72" s="34"/>
      <c r="L72" s="34"/>
      <c r="M72" s="34"/>
    </row>
  </sheetData>
  <sheetProtection selectLockedCells="1"/>
  <mergeCells count="4">
    <mergeCell ref="C4:J4"/>
    <mergeCell ref="K31:L31"/>
    <mergeCell ref="C23:J23"/>
    <mergeCell ref="C27:J28"/>
  </mergeCells>
  <hyperlinks>
    <hyperlink ref="K31:L31" location="Selection!D6" display="Back to selection"/>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W90"/>
  <sheetViews>
    <sheetView showZeros="0" topLeftCell="A16" workbookViewId="0">
      <selection activeCell="K24" sqref="B2:K24"/>
    </sheetView>
  </sheetViews>
  <sheetFormatPr defaultColWidth="8.69921875" defaultRowHeight="14.25" x14ac:dyDescent="0.2"/>
  <cols>
    <col min="1" max="3" width="8.69921875" style="7"/>
    <col min="4" max="4" width="9.5" style="7" bestFit="1" customWidth="1"/>
    <col min="5" max="5" width="12.19921875" style="7" customWidth="1"/>
    <col min="6" max="9" width="8.69921875" style="7"/>
    <col min="10" max="10" width="12.5" style="7" customWidth="1"/>
    <col min="1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
        <v>343</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2" x14ac:dyDescent="0.2">
      <c r="B17" s="99"/>
      <c r="C17" s="32"/>
      <c r="D17" s="32"/>
      <c r="E17" s="32"/>
      <c r="F17" s="32"/>
      <c r="G17" s="32"/>
      <c r="H17" s="32"/>
      <c r="I17" s="32"/>
      <c r="J17" s="32"/>
      <c r="K17" s="100"/>
    </row>
    <row r="18" spans="2:12" x14ac:dyDescent="0.2">
      <c r="B18" s="99"/>
      <c r="C18" s="32"/>
      <c r="D18" s="32"/>
      <c r="E18" s="32"/>
      <c r="F18" s="32"/>
      <c r="G18" s="32"/>
      <c r="H18" s="32"/>
      <c r="I18" s="32"/>
      <c r="J18" s="32"/>
      <c r="K18" s="100"/>
    </row>
    <row r="19" spans="2:12" x14ac:dyDescent="0.2">
      <c r="B19" s="99"/>
      <c r="C19" s="32"/>
      <c r="D19" s="32"/>
      <c r="E19" s="32"/>
      <c r="F19" s="32"/>
      <c r="G19" s="32"/>
      <c r="H19" s="32"/>
      <c r="I19" s="32"/>
      <c r="J19" s="32"/>
      <c r="K19" s="100"/>
    </row>
    <row r="20" spans="2:12" x14ac:dyDescent="0.2">
      <c r="B20" s="99"/>
      <c r="C20" s="32"/>
      <c r="D20" s="32"/>
      <c r="E20" s="32"/>
      <c r="F20" s="32"/>
      <c r="G20" s="32"/>
      <c r="H20" s="32"/>
      <c r="I20" s="32"/>
      <c r="J20" s="32"/>
      <c r="K20" s="100"/>
    </row>
    <row r="21" spans="2:12" x14ac:dyDescent="0.2">
      <c r="B21" s="99"/>
      <c r="C21" s="32"/>
      <c r="D21" s="32"/>
      <c r="E21" s="32"/>
      <c r="F21" s="32"/>
      <c r="G21" s="32"/>
      <c r="H21" s="32"/>
      <c r="I21" s="32"/>
      <c r="J21" s="32"/>
      <c r="K21" s="100"/>
    </row>
    <row r="22" spans="2:12" x14ac:dyDescent="0.2">
      <c r="B22" s="99"/>
      <c r="C22" s="32"/>
      <c r="D22" s="32"/>
      <c r="E22" s="32"/>
      <c r="F22" s="32"/>
      <c r="G22" s="32"/>
      <c r="H22" s="32"/>
      <c r="I22" s="32"/>
      <c r="J22" s="32"/>
      <c r="K22" s="100"/>
    </row>
    <row r="23" spans="2:12" x14ac:dyDescent="0.2">
      <c r="B23" s="99"/>
      <c r="C23" s="221" t="s">
        <v>318</v>
      </c>
      <c r="D23" s="221"/>
      <c r="E23" s="221"/>
      <c r="F23" s="221"/>
      <c r="G23" s="221"/>
      <c r="H23" s="221"/>
      <c r="I23" s="221"/>
      <c r="J23" s="221"/>
      <c r="K23" s="100"/>
    </row>
    <row r="24" spans="2:12" ht="15" thickBot="1" x14ac:dyDescent="0.25">
      <c r="B24" s="101"/>
      <c r="C24" s="23"/>
      <c r="D24" s="23"/>
      <c r="E24" s="23"/>
      <c r="F24" s="23"/>
      <c r="G24" s="23"/>
      <c r="H24" s="23"/>
      <c r="I24" s="23"/>
      <c r="J24" s="23"/>
      <c r="K24" s="102"/>
    </row>
    <row r="25" spans="2:12" ht="15.75" thickTop="1" thickBot="1" x14ac:dyDescent="0.25"/>
    <row r="26" spans="2:12" x14ac:dyDescent="0.2">
      <c r="B26" s="103"/>
      <c r="C26" s="104"/>
      <c r="D26" s="104"/>
      <c r="E26" s="104"/>
      <c r="F26" s="104"/>
      <c r="G26" s="104"/>
      <c r="H26" s="104"/>
      <c r="I26" s="104"/>
      <c r="J26" s="104"/>
      <c r="K26" s="105"/>
    </row>
    <row r="27" spans="2:12" ht="13.9" customHeight="1" x14ac:dyDescent="0.2">
      <c r="B27" s="106"/>
      <c r="C27" s="222" t="str">
        <f ca="1">CONCATENATE("The moving rates in Greater Manchester vary from ", (TEXT((ABS(F41)),"0.0%")), " in ", F42, " to ", (TEXT((ABS(G41)),"0.0%")), " in ",G42, ". ", (COUNTIF(E42:E51,"&lt;"&amp;E40)), " boroughs in Greater Manchester have a lower rate of moving than the national average." )</f>
        <v>The moving rates in Greater Manchester vary from 67.9% in Bolton to 79.4% in Trafford. 8 boroughs in Greater Manchester have a lower rate of moving than the national average.</v>
      </c>
      <c r="D27" s="222"/>
      <c r="E27" s="222"/>
      <c r="F27" s="222"/>
      <c r="G27" s="222"/>
      <c r="H27" s="222"/>
      <c r="I27" s="222"/>
      <c r="J27" s="222"/>
      <c r="K27" s="107"/>
    </row>
    <row r="28" spans="2:12" x14ac:dyDescent="0.2">
      <c r="B28" s="106"/>
      <c r="C28" s="222"/>
      <c r="D28" s="222"/>
      <c r="E28" s="222"/>
      <c r="F28" s="222"/>
      <c r="G28" s="222"/>
      <c r="H28" s="222"/>
      <c r="I28" s="222"/>
      <c r="J28" s="222"/>
      <c r="K28" s="107"/>
    </row>
    <row r="29" spans="2:12" x14ac:dyDescent="0.2">
      <c r="B29" s="106"/>
      <c r="C29" s="222"/>
      <c r="D29" s="222"/>
      <c r="E29" s="222"/>
      <c r="F29" s="222"/>
      <c r="G29" s="222"/>
      <c r="H29" s="222"/>
      <c r="I29" s="222"/>
      <c r="J29" s="222"/>
      <c r="K29" s="107"/>
    </row>
    <row r="30" spans="2:12" ht="15" thickBot="1" x14ac:dyDescent="0.25">
      <c r="B30" s="108"/>
      <c r="C30" s="109"/>
      <c r="D30" s="109"/>
      <c r="E30" s="109"/>
      <c r="F30" s="109"/>
      <c r="G30" s="109"/>
      <c r="H30" s="109"/>
      <c r="I30" s="109"/>
      <c r="J30" s="109"/>
      <c r="K30" s="110"/>
    </row>
    <row r="32" spans="2:12" x14ac:dyDescent="0.2">
      <c r="K32" s="195" t="s">
        <v>147</v>
      </c>
      <c r="L32" s="195"/>
    </row>
    <row r="33" spans="2:21" x14ac:dyDescent="0.2">
      <c r="B33" s="67"/>
      <c r="C33" s="34"/>
      <c r="D33" s="34"/>
      <c r="E33" s="34"/>
      <c r="F33" s="34"/>
      <c r="G33" s="34"/>
      <c r="H33" s="34"/>
      <c r="I33" s="34"/>
      <c r="J33" s="34"/>
      <c r="K33" s="34"/>
      <c r="L33" s="34"/>
      <c r="M33" s="34"/>
      <c r="N33" s="34"/>
    </row>
    <row r="34" spans="2:21" x14ac:dyDescent="0.2">
      <c r="B34" s="34"/>
      <c r="C34" s="34"/>
      <c r="D34" s="34"/>
      <c r="E34" s="34"/>
      <c r="F34" s="34"/>
      <c r="G34" s="34"/>
      <c r="H34" s="34"/>
      <c r="I34" s="34"/>
      <c r="J34" s="34"/>
      <c r="K34" s="34"/>
      <c r="L34" s="34"/>
      <c r="M34" s="34"/>
      <c r="N34" s="34"/>
    </row>
    <row r="35" spans="2:21" x14ac:dyDescent="0.2">
      <c r="B35" s="34"/>
      <c r="C35" s="34"/>
      <c r="D35" s="34"/>
      <c r="E35" s="34"/>
      <c r="F35" s="34"/>
      <c r="G35" s="34"/>
      <c r="H35" s="34"/>
      <c r="I35" s="34"/>
      <c r="J35" s="34"/>
      <c r="K35" s="34"/>
      <c r="L35" s="34"/>
      <c r="M35" s="34"/>
      <c r="N35" s="34"/>
    </row>
    <row r="36" spans="2:21" x14ac:dyDescent="0.2">
      <c r="D36" s="34"/>
      <c r="E36" s="34"/>
      <c r="F36" s="34"/>
      <c r="H36" s="34"/>
      <c r="I36" s="34"/>
      <c r="J36" s="34"/>
      <c r="K36" s="34"/>
      <c r="L36" s="34"/>
      <c r="M36" s="34"/>
      <c r="N36" s="34"/>
    </row>
    <row r="37" spans="2:21" x14ac:dyDescent="0.2">
      <c r="B37" s="34"/>
      <c r="C37" s="34"/>
      <c r="D37" s="34"/>
      <c r="E37" s="34"/>
      <c r="F37" s="34"/>
      <c r="G37" s="34"/>
      <c r="H37" s="34"/>
      <c r="I37" s="34"/>
      <c r="J37" s="34"/>
      <c r="K37" s="34"/>
      <c r="L37" s="34"/>
      <c r="M37" s="34"/>
      <c r="N37" s="34"/>
    </row>
    <row r="38" spans="2:21" x14ac:dyDescent="0.2">
      <c r="B38" s="34"/>
      <c r="C38" s="34"/>
      <c r="D38" s="34"/>
      <c r="E38" s="34"/>
      <c r="F38" s="34"/>
      <c r="G38" s="34"/>
      <c r="H38" s="34"/>
      <c r="I38" s="34"/>
      <c r="J38" s="34"/>
      <c r="K38" s="34"/>
      <c r="L38" s="34"/>
      <c r="M38" s="34"/>
      <c r="N38" s="34"/>
    </row>
    <row r="39" spans="2:21" x14ac:dyDescent="0.2">
      <c r="B39" s="34"/>
      <c r="C39" s="34" t="s">
        <v>120</v>
      </c>
      <c r="D39" s="34" t="s">
        <v>121</v>
      </c>
      <c r="E39" s="34" t="s">
        <v>99</v>
      </c>
      <c r="F39" s="34"/>
      <c r="G39" s="34"/>
      <c r="H39" s="34"/>
      <c r="I39" s="34"/>
      <c r="J39" s="34"/>
      <c r="K39" s="34"/>
      <c r="L39" s="34"/>
      <c r="M39" s="34"/>
      <c r="N39" s="34"/>
    </row>
    <row r="40" spans="2:21" x14ac:dyDescent="0.2">
      <c r="B40" s="34" t="s">
        <v>107</v>
      </c>
      <c r="C40" s="37">
        <f t="shared" ref="C40:C51" ca="1" si="0">INDIRECT(""&amp;B40&amp;"!AG10")</f>
        <v>0.1174</v>
      </c>
      <c r="D40" s="37">
        <f t="shared" ref="D40:D51" ca="1" si="1">INDIRECT(""&amp;B40&amp;"!C10")</f>
        <v>0.62809999999999999</v>
      </c>
      <c r="E40" s="38">
        <f ca="1">SUM(C40:D40)</f>
        <v>0.74550000000000005</v>
      </c>
      <c r="F40" s="38">
        <f t="array" ref="F40">MIN(IF(ISNUMBER(#REF!), ABS(#REF!)))</f>
        <v>0</v>
      </c>
      <c r="G40" s="49">
        <f t="array" ref="G40">MAX( IF(ISNUMBER(#REF!),#REF!))</f>
        <v>0</v>
      </c>
      <c r="H40" s="34"/>
      <c r="I40" s="34"/>
      <c r="K40" s="34"/>
      <c r="L40" s="34"/>
      <c r="M40" s="34"/>
      <c r="N40" s="34"/>
      <c r="O40" s="34"/>
      <c r="P40" s="34"/>
      <c r="Q40" s="34"/>
      <c r="R40" s="34"/>
      <c r="S40" s="34"/>
      <c r="T40" s="34"/>
      <c r="U40" s="34"/>
    </row>
    <row r="41" spans="2:21" x14ac:dyDescent="0.2">
      <c r="B41" s="34" t="s">
        <v>108</v>
      </c>
      <c r="C41" s="37">
        <f t="shared" ca="1" si="0"/>
        <v>0.10929999999999999</v>
      </c>
      <c r="D41" s="37">
        <f t="shared" ca="1" si="1"/>
        <v>0.61019999999999996</v>
      </c>
      <c r="E41" s="38">
        <f t="shared" ref="E41:E51" ca="1" si="2">SUM(C41:D41)</f>
        <v>0.71949999999999992</v>
      </c>
      <c r="F41" s="38">
        <f ca="1">MIN(E42:E51)</f>
        <v>0.67930000000000001</v>
      </c>
      <c r="G41" s="38">
        <f ca="1">MAX(E42:E51)</f>
        <v>0.79370000000000007</v>
      </c>
      <c r="H41" s="34"/>
      <c r="I41" s="34"/>
      <c r="K41" s="34"/>
      <c r="L41" s="34"/>
      <c r="M41" s="35"/>
      <c r="N41" s="34"/>
      <c r="O41" s="34"/>
      <c r="P41" s="34"/>
      <c r="Q41" s="34"/>
      <c r="R41" s="34"/>
      <c r="S41" s="39"/>
      <c r="T41" s="37"/>
      <c r="U41" s="38"/>
    </row>
    <row r="42" spans="2:21" x14ac:dyDescent="0.2">
      <c r="B42" s="34" t="s">
        <v>109</v>
      </c>
      <c r="C42" s="37">
        <f t="shared" ca="1" si="0"/>
        <v>0.10589999999999999</v>
      </c>
      <c r="D42" s="37">
        <f t="shared" ca="1" si="1"/>
        <v>0.57340000000000002</v>
      </c>
      <c r="E42" s="38">
        <f t="shared" ca="1" si="2"/>
        <v>0.67930000000000001</v>
      </c>
      <c r="F42" s="34" t="str">
        <f ca="1">INDEX(B42:B51, MATCH((MIN(E42:E51)), E42:E51,0))</f>
        <v>Bolton</v>
      </c>
      <c r="G42" s="34" t="str">
        <f ca="1">INDEX(B42:B51, MATCH((MAX(E42:E51)), E42:E51,0))</f>
        <v>Trafford</v>
      </c>
      <c r="H42" s="34"/>
      <c r="I42" s="34"/>
      <c r="K42" s="34"/>
      <c r="L42" s="34"/>
      <c r="M42" s="34"/>
      <c r="N42" s="37"/>
      <c r="O42" s="37"/>
      <c r="P42" s="37"/>
      <c r="Q42" s="38"/>
      <c r="R42" s="34"/>
      <c r="S42" s="34"/>
      <c r="T42" s="37"/>
      <c r="U42" s="37"/>
    </row>
    <row r="43" spans="2:21" x14ac:dyDescent="0.2">
      <c r="B43" s="34" t="s">
        <v>110</v>
      </c>
      <c r="C43" s="37">
        <f t="shared" ca="1" si="0"/>
        <v>0.1012</v>
      </c>
      <c r="D43" s="37">
        <f t="shared" ca="1" si="1"/>
        <v>0.6048</v>
      </c>
      <c r="E43" s="38">
        <f t="shared" ca="1" si="2"/>
        <v>0.70599999999999996</v>
      </c>
      <c r="F43" s="34"/>
      <c r="G43" s="34"/>
      <c r="H43" s="34"/>
      <c r="I43" s="34"/>
      <c r="K43" s="34"/>
      <c r="L43" s="34"/>
      <c r="M43" s="34"/>
      <c r="N43" s="37"/>
      <c r="O43" s="37"/>
      <c r="P43" s="37"/>
      <c r="Q43" s="38"/>
      <c r="R43" s="34"/>
      <c r="S43" s="37"/>
      <c r="T43" s="37"/>
      <c r="U43" s="37"/>
    </row>
    <row r="44" spans="2:21" x14ac:dyDescent="0.2">
      <c r="B44" s="34" t="s">
        <v>111</v>
      </c>
      <c r="C44" s="37">
        <f t="shared" ca="1" si="0"/>
        <v>9.1800000000000007E-2</v>
      </c>
      <c r="D44" s="37">
        <f t="shared" ca="1" si="1"/>
        <v>0.63400000000000001</v>
      </c>
      <c r="E44" s="38">
        <f t="shared" ca="1" si="2"/>
        <v>0.7258</v>
      </c>
      <c r="F44" s="34"/>
      <c r="G44" s="34"/>
      <c r="H44" s="34"/>
      <c r="I44" s="34"/>
      <c r="K44" s="34"/>
      <c r="L44" s="34"/>
      <c r="M44" s="34"/>
      <c r="N44" s="37"/>
      <c r="O44" s="37"/>
      <c r="P44" s="37"/>
      <c r="Q44" s="38"/>
      <c r="R44" s="34"/>
      <c r="S44" s="34"/>
      <c r="T44" s="37"/>
      <c r="U44" s="37"/>
    </row>
    <row r="45" spans="2:21" x14ac:dyDescent="0.2">
      <c r="B45" s="34" t="s">
        <v>112</v>
      </c>
      <c r="C45" s="37">
        <f t="shared" ca="1" si="0"/>
        <v>0.12659999999999999</v>
      </c>
      <c r="D45" s="37">
        <f t="shared" ca="1" si="1"/>
        <v>0.57509999999999994</v>
      </c>
      <c r="E45" s="38">
        <f t="shared" ca="1" si="2"/>
        <v>0.70169999999999999</v>
      </c>
      <c r="F45" s="34"/>
      <c r="G45" s="34"/>
      <c r="H45" s="34"/>
      <c r="I45" s="34"/>
      <c r="K45" s="34"/>
      <c r="L45" s="34"/>
      <c r="M45" s="34"/>
      <c r="N45" s="37"/>
      <c r="O45" s="37"/>
      <c r="P45" s="37"/>
      <c r="Q45" s="38"/>
      <c r="R45" s="34"/>
      <c r="S45" s="34"/>
      <c r="T45" s="37"/>
      <c r="U45" s="37"/>
    </row>
    <row r="46" spans="2:21" x14ac:dyDescent="0.2">
      <c r="B46" s="34" t="s">
        <v>113</v>
      </c>
      <c r="C46" s="37">
        <f t="shared" ca="1" si="0"/>
        <v>0.1111</v>
      </c>
      <c r="D46" s="37">
        <f t="shared" ca="1" si="1"/>
        <v>0.5746</v>
      </c>
      <c r="E46" s="38">
        <f t="shared" ca="1" si="2"/>
        <v>0.68569999999999998</v>
      </c>
      <c r="F46" s="34"/>
      <c r="G46" s="34"/>
      <c r="H46" s="34"/>
      <c r="I46" s="34"/>
      <c r="K46" s="34"/>
      <c r="L46" s="34"/>
      <c r="M46" s="34"/>
      <c r="N46" s="37"/>
      <c r="O46" s="37"/>
      <c r="P46" s="37"/>
      <c r="Q46" s="38"/>
      <c r="R46" s="34"/>
      <c r="S46" s="34"/>
      <c r="T46" s="37"/>
      <c r="U46" s="37"/>
    </row>
    <row r="47" spans="2:21" x14ac:dyDescent="0.2">
      <c r="B47" s="34" t="s">
        <v>114</v>
      </c>
      <c r="C47" s="37">
        <f t="shared" ca="1" si="0"/>
        <v>0.10920000000000001</v>
      </c>
      <c r="D47" s="37">
        <f t="shared" ca="1" si="1"/>
        <v>0.63939999999999997</v>
      </c>
      <c r="E47" s="38">
        <f t="shared" ca="1" si="2"/>
        <v>0.74859999999999993</v>
      </c>
      <c r="F47" s="34"/>
      <c r="G47" s="34"/>
      <c r="H47" s="34"/>
      <c r="I47" s="34"/>
      <c r="K47" s="34"/>
      <c r="L47" s="34"/>
      <c r="M47" s="34"/>
      <c r="N47" s="34"/>
      <c r="O47" s="34"/>
      <c r="P47" s="34"/>
      <c r="Q47" s="34"/>
      <c r="R47" s="34"/>
      <c r="S47" s="34"/>
      <c r="T47" s="37"/>
      <c r="U47" s="37"/>
    </row>
    <row r="48" spans="2:21" x14ac:dyDescent="0.2">
      <c r="B48" s="34" t="s">
        <v>115</v>
      </c>
      <c r="C48" s="37">
        <f t="shared" ca="1" si="0"/>
        <v>0.1118</v>
      </c>
      <c r="D48" s="37">
        <f t="shared" ca="1" si="1"/>
        <v>0.62960000000000005</v>
      </c>
      <c r="E48" s="38">
        <f t="shared" ca="1" si="2"/>
        <v>0.74140000000000006</v>
      </c>
      <c r="F48" s="34"/>
      <c r="G48" s="34"/>
      <c r="H48" s="34"/>
      <c r="I48" s="34"/>
      <c r="K48" s="34"/>
      <c r="L48" s="34"/>
      <c r="M48" s="35"/>
      <c r="N48" s="34"/>
      <c r="O48" s="34"/>
      <c r="P48" s="34"/>
      <c r="Q48" s="34"/>
      <c r="R48" s="34"/>
      <c r="S48" s="38"/>
      <c r="T48" s="37"/>
      <c r="U48" s="37"/>
    </row>
    <row r="49" spans="2:23" x14ac:dyDescent="0.2">
      <c r="B49" s="34" t="s">
        <v>116</v>
      </c>
      <c r="C49" s="37">
        <f t="shared" ca="1" si="0"/>
        <v>0.1268</v>
      </c>
      <c r="D49" s="37">
        <f t="shared" ca="1" si="1"/>
        <v>0.57750000000000001</v>
      </c>
      <c r="E49" s="38">
        <f t="shared" ca="1" si="2"/>
        <v>0.70430000000000004</v>
      </c>
      <c r="F49" s="34"/>
      <c r="G49" s="34"/>
      <c r="H49" s="34"/>
      <c r="I49" s="34"/>
      <c r="K49" s="34"/>
      <c r="L49" s="34"/>
      <c r="M49" s="34"/>
      <c r="N49" s="37"/>
      <c r="O49" s="37"/>
      <c r="P49" s="37"/>
      <c r="Q49" s="38"/>
      <c r="R49" s="34"/>
      <c r="S49" s="34"/>
      <c r="T49" s="37"/>
      <c r="U49" s="37"/>
    </row>
    <row r="50" spans="2:23" x14ac:dyDescent="0.2">
      <c r="B50" s="34" t="s">
        <v>117</v>
      </c>
      <c r="C50" s="37">
        <f t="shared" ca="1" si="0"/>
        <v>0.1226</v>
      </c>
      <c r="D50" s="37">
        <f t="shared" ca="1" si="1"/>
        <v>0.67110000000000003</v>
      </c>
      <c r="E50" s="38">
        <f t="shared" ca="1" si="2"/>
        <v>0.79370000000000007</v>
      </c>
      <c r="F50" s="34"/>
      <c r="G50" s="34"/>
      <c r="H50" s="34"/>
      <c r="I50" s="34"/>
      <c r="K50" s="34"/>
      <c r="L50" s="34"/>
      <c r="M50" s="34"/>
      <c r="N50" s="37"/>
      <c r="O50" s="37"/>
      <c r="P50" s="37"/>
      <c r="Q50" s="38"/>
      <c r="R50" s="34"/>
      <c r="S50" s="34"/>
      <c r="T50" s="37"/>
      <c r="U50" s="37"/>
    </row>
    <row r="51" spans="2:23" x14ac:dyDescent="0.2">
      <c r="B51" s="34" t="s">
        <v>118</v>
      </c>
      <c r="C51" s="37">
        <f t="shared" ca="1" si="0"/>
        <v>0.1095</v>
      </c>
      <c r="D51" s="37">
        <f t="shared" ca="1" si="1"/>
        <v>0.5917</v>
      </c>
      <c r="E51" s="38">
        <f t="shared" ca="1" si="2"/>
        <v>0.70120000000000005</v>
      </c>
      <c r="F51" s="34"/>
      <c r="G51" s="34"/>
      <c r="H51" s="34"/>
      <c r="I51" s="34"/>
      <c r="K51" s="34"/>
      <c r="L51" s="34"/>
      <c r="M51" s="34"/>
      <c r="N51" s="37"/>
      <c r="O51" s="37"/>
      <c r="P51" s="37"/>
      <c r="Q51" s="38"/>
      <c r="R51" s="34"/>
      <c r="S51" s="34"/>
      <c r="T51" s="37"/>
      <c r="U51" s="37"/>
    </row>
    <row r="52" spans="2:23" x14ac:dyDescent="0.2">
      <c r="B52" s="34"/>
      <c r="C52" s="34"/>
      <c r="D52" s="34"/>
      <c r="E52" s="34"/>
      <c r="F52" s="34"/>
      <c r="G52" s="34"/>
      <c r="H52" s="34"/>
      <c r="I52" s="34"/>
      <c r="J52" s="34"/>
      <c r="K52" s="34"/>
      <c r="M52" s="34"/>
      <c r="N52" s="34"/>
      <c r="O52" s="34"/>
      <c r="P52" s="37"/>
      <c r="Q52" s="37"/>
      <c r="R52" s="37"/>
      <c r="S52" s="38"/>
      <c r="T52" s="34"/>
      <c r="U52" s="34"/>
      <c r="V52" s="37"/>
      <c r="W52" s="37"/>
    </row>
    <row r="53" spans="2:23" x14ac:dyDescent="0.2">
      <c r="B53" s="34"/>
      <c r="C53" s="34"/>
      <c r="D53" s="34"/>
      <c r="E53" s="34"/>
      <c r="F53" s="34"/>
      <c r="G53" s="34"/>
      <c r="H53" s="34"/>
      <c r="I53" s="34"/>
      <c r="J53" s="34"/>
      <c r="K53" s="34"/>
      <c r="M53" s="34"/>
      <c r="N53" s="34"/>
      <c r="O53" s="34"/>
      <c r="P53" s="37"/>
      <c r="Q53" s="37"/>
      <c r="R53" s="37"/>
      <c r="S53" s="38"/>
      <c r="T53" s="34"/>
      <c r="U53" s="34"/>
      <c r="V53" s="37"/>
      <c r="W53" s="37"/>
    </row>
    <row r="54" spans="2:23" x14ac:dyDescent="0.2">
      <c r="B54" s="34"/>
      <c r="C54" s="34"/>
      <c r="D54" s="34"/>
      <c r="E54" s="34"/>
      <c r="F54" s="34"/>
      <c r="G54" s="34"/>
      <c r="H54" s="34"/>
      <c r="I54" s="34"/>
      <c r="J54" s="34"/>
      <c r="K54" s="34"/>
      <c r="M54" s="34"/>
      <c r="N54" s="34"/>
      <c r="O54" s="34"/>
      <c r="P54" s="34"/>
      <c r="Q54" s="34"/>
      <c r="R54" s="34"/>
      <c r="S54" s="34"/>
      <c r="T54" s="34"/>
      <c r="U54" s="34"/>
      <c r="V54" s="37"/>
      <c r="W54" s="37"/>
    </row>
    <row r="55" spans="2:23" x14ac:dyDescent="0.2">
      <c r="B55" s="34"/>
      <c r="C55" s="34"/>
      <c r="D55" s="34"/>
      <c r="E55" s="34"/>
      <c r="F55" s="34"/>
      <c r="G55" s="34"/>
      <c r="H55" s="34"/>
      <c r="I55" s="34"/>
      <c r="J55" s="34"/>
      <c r="K55" s="34"/>
      <c r="M55" s="34"/>
      <c r="N55" s="34"/>
      <c r="O55" s="35"/>
      <c r="P55" s="34"/>
      <c r="Q55" s="34"/>
      <c r="R55" s="34"/>
      <c r="S55" s="34"/>
      <c r="T55" s="34"/>
      <c r="U55" s="34"/>
      <c r="V55" s="37"/>
      <c r="W55" s="37"/>
    </row>
    <row r="56" spans="2:23" x14ac:dyDescent="0.2">
      <c r="B56" s="34"/>
      <c r="C56" s="34"/>
      <c r="D56" s="34"/>
      <c r="E56" s="34"/>
      <c r="F56" s="34"/>
      <c r="G56" s="34"/>
      <c r="H56" s="34"/>
      <c r="I56" s="34"/>
      <c r="J56" s="34"/>
      <c r="K56" s="34"/>
      <c r="M56" s="34"/>
      <c r="N56" s="34"/>
      <c r="O56" s="34"/>
      <c r="P56" s="37"/>
      <c r="Q56" s="37"/>
      <c r="R56" s="37"/>
      <c r="S56" s="38"/>
      <c r="T56" s="34"/>
      <c r="U56" s="34"/>
      <c r="V56" s="37"/>
      <c r="W56" s="37"/>
    </row>
    <row r="57" spans="2:23" x14ac:dyDescent="0.2">
      <c r="B57" s="34"/>
      <c r="C57" s="34"/>
      <c r="D57" s="34"/>
      <c r="E57" s="34"/>
      <c r="F57" s="34"/>
      <c r="G57" s="34"/>
      <c r="H57" s="34"/>
      <c r="I57" s="34"/>
      <c r="J57" s="34"/>
      <c r="K57" s="34"/>
      <c r="M57" s="34"/>
      <c r="N57" s="34"/>
      <c r="O57" s="34"/>
      <c r="P57" s="37"/>
      <c r="Q57" s="37"/>
      <c r="R57" s="37"/>
      <c r="S57" s="38"/>
      <c r="T57" s="34"/>
      <c r="U57" s="34"/>
      <c r="V57" s="37"/>
      <c r="W57" s="37"/>
    </row>
    <row r="58" spans="2:23" x14ac:dyDescent="0.2">
      <c r="B58" s="34"/>
      <c r="C58" s="34"/>
      <c r="D58" s="34"/>
      <c r="E58" s="34"/>
      <c r="F58" s="34"/>
      <c r="G58" s="34"/>
      <c r="H58" s="34"/>
      <c r="I58" s="34"/>
      <c r="J58" s="34"/>
      <c r="K58" s="34"/>
      <c r="M58" s="34"/>
      <c r="N58" s="34"/>
      <c r="O58" s="34"/>
      <c r="P58" s="37"/>
      <c r="Q58" s="37"/>
      <c r="R58" s="37"/>
      <c r="S58" s="38"/>
      <c r="T58" s="34"/>
      <c r="U58" s="34"/>
      <c r="V58" s="37"/>
      <c r="W58" s="37"/>
    </row>
    <row r="59" spans="2:23" x14ac:dyDescent="0.2">
      <c r="B59" s="34"/>
      <c r="C59" s="34"/>
      <c r="D59" s="34"/>
      <c r="E59" s="34"/>
      <c r="F59" s="34"/>
      <c r="G59" s="34"/>
      <c r="H59" s="34"/>
      <c r="I59" s="34"/>
      <c r="J59" s="34"/>
      <c r="K59" s="34"/>
      <c r="M59" s="34"/>
      <c r="N59" s="34"/>
      <c r="O59" s="34"/>
      <c r="P59" s="37"/>
      <c r="Q59" s="37"/>
      <c r="R59" s="37"/>
      <c r="S59" s="38"/>
      <c r="T59" s="34"/>
      <c r="U59" s="34"/>
      <c r="V59" s="37"/>
      <c r="W59" s="37"/>
    </row>
    <row r="60" spans="2:23" x14ac:dyDescent="0.2">
      <c r="B60" s="34"/>
      <c r="C60" s="34"/>
      <c r="D60" s="34"/>
      <c r="E60" s="34"/>
      <c r="F60" s="34"/>
      <c r="G60" s="34"/>
      <c r="H60" s="34"/>
      <c r="I60" s="34"/>
      <c r="J60" s="34"/>
      <c r="K60" s="34"/>
      <c r="M60" s="34"/>
      <c r="N60" s="34"/>
      <c r="O60" s="34"/>
      <c r="P60" s="37"/>
      <c r="Q60" s="37"/>
      <c r="R60" s="37"/>
      <c r="S60" s="38"/>
      <c r="T60" s="34"/>
      <c r="U60" s="34"/>
      <c r="V60" s="37"/>
      <c r="W60" s="37"/>
    </row>
    <row r="61" spans="2:23" x14ac:dyDescent="0.2">
      <c r="B61" s="34"/>
      <c r="C61" s="34"/>
      <c r="D61" s="34"/>
      <c r="E61" s="34"/>
      <c r="F61" s="34"/>
      <c r="G61" s="34"/>
      <c r="H61" s="34"/>
      <c r="I61" s="34"/>
      <c r="J61" s="34"/>
      <c r="K61" s="34"/>
      <c r="M61" s="34"/>
      <c r="N61" s="34"/>
      <c r="O61" s="34"/>
      <c r="P61" s="34"/>
      <c r="Q61" s="34"/>
      <c r="R61" s="34"/>
      <c r="S61" s="34"/>
      <c r="T61" s="34"/>
      <c r="U61" s="34"/>
      <c r="V61" s="37"/>
      <c r="W61" s="37"/>
    </row>
    <row r="62" spans="2:23" x14ac:dyDescent="0.2">
      <c r="B62" s="34"/>
      <c r="C62" s="34"/>
      <c r="D62" s="34"/>
      <c r="E62" s="34"/>
      <c r="F62" s="34"/>
      <c r="G62" s="34"/>
      <c r="H62" s="34"/>
      <c r="I62" s="34"/>
      <c r="J62" s="34"/>
      <c r="K62" s="34"/>
      <c r="M62" s="34"/>
      <c r="N62" s="34"/>
      <c r="O62" s="35"/>
      <c r="P62" s="34"/>
      <c r="Q62" s="34"/>
      <c r="R62" s="34"/>
      <c r="S62" s="34"/>
      <c r="T62" s="34"/>
      <c r="U62" s="34"/>
      <c r="V62" s="37"/>
      <c r="W62" s="37"/>
    </row>
    <row r="63" spans="2:23" x14ac:dyDescent="0.2">
      <c r="B63" s="34"/>
      <c r="C63" s="34"/>
      <c r="D63" s="34"/>
      <c r="E63" s="34"/>
      <c r="F63" s="34"/>
      <c r="G63" s="34"/>
      <c r="H63" s="34"/>
      <c r="I63" s="34"/>
      <c r="J63" s="34"/>
      <c r="K63" s="34"/>
      <c r="M63" s="34"/>
      <c r="N63" s="34"/>
      <c r="O63" s="34"/>
      <c r="P63" s="37"/>
      <c r="Q63" s="37"/>
      <c r="R63" s="37"/>
      <c r="S63" s="38"/>
      <c r="T63" s="34"/>
      <c r="U63" s="34"/>
      <c r="V63" s="37"/>
      <c r="W63" s="37"/>
    </row>
    <row r="64" spans="2:23" x14ac:dyDescent="0.2">
      <c r="B64" s="34"/>
      <c r="C64" s="34"/>
      <c r="D64" s="34"/>
      <c r="E64" s="34"/>
      <c r="F64" s="34"/>
      <c r="G64" s="34"/>
      <c r="H64" s="34"/>
      <c r="I64" s="34"/>
      <c r="J64" s="34"/>
      <c r="K64" s="34"/>
      <c r="M64" s="34"/>
      <c r="N64" s="34"/>
      <c r="O64" s="34"/>
      <c r="P64" s="37"/>
      <c r="Q64" s="37"/>
      <c r="R64" s="37"/>
      <c r="S64" s="38"/>
      <c r="T64" s="34"/>
      <c r="U64" s="34"/>
      <c r="V64" s="37"/>
      <c r="W64" s="37"/>
    </row>
    <row r="65" spans="2:23" x14ac:dyDescent="0.2">
      <c r="B65" s="34"/>
      <c r="C65" s="34"/>
      <c r="D65" s="34"/>
      <c r="E65" s="34"/>
      <c r="F65" s="34"/>
      <c r="G65" s="34"/>
      <c r="H65" s="34"/>
      <c r="I65" s="34"/>
      <c r="J65" s="34"/>
      <c r="K65" s="34"/>
      <c r="M65" s="34"/>
      <c r="N65" s="34"/>
      <c r="O65" s="34"/>
      <c r="P65" s="37"/>
      <c r="Q65" s="37"/>
      <c r="R65" s="37"/>
      <c r="S65" s="38"/>
      <c r="T65" s="34"/>
      <c r="U65" s="34"/>
      <c r="V65" s="37"/>
      <c r="W65" s="37"/>
    </row>
    <row r="66" spans="2:23" x14ac:dyDescent="0.2">
      <c r="B66" s="34"/>
      <c r="C66" s="34"/>
      <c r="D66" s="34"/>
      <c r="E66" s="34"/>
      <c r="F66" s="34"/>
      <c r="G66" s="34"/>
      <c r="H66" s="34"/>
      <c r="I66" s="34"/>
      <c r="J66" s="34"/>
      <c r="K66" s="34"/>
      <c r="M66" s="34"/>
      <c r="N66" s="34"/>
      <c r="O66" s="34"/>
      <c r="P66" s="37"/>
      <c r="Q66" s="37"/>
      <c r="R66" s="37"/>
      <c r="S66" s="38"/>
      <c r="T66" s="34"/>
      <c r="U66" s="34"/>
      <c r="V66" s="37"/>
      <c r="W66" s="37"/>
    </row>
    <row r="67" spans="2:23" x14ac:dyDescent="0.2">
      <c r="B67" s="34"/>
      <c r="C67" s="34"/>
      <c r="D67" s="34"/>
      <c r="E67" s="34"/>
      <c r="F67" s="34"/>
      <c r="G67" s="34"/>
      <c r="H67" s="34"/>
      <c r="I67" s="34"/>
      <c r="J67" s="34"/>
      <c r="K67" s="34"/>
      <c r="M67" s="34"/>
      <c r="N67" s="34"/>
      <c r="O67" s="34"/>
      <c r="P67" s="37"/>
      <c r="Q67" s="37"/>
      <c r="R67" s="37"/>
      <c r="S67" s="38"/>
      <c r="T67" s="34"/>
      <c r="U67" s="34"/>
      <c r="V67" s="37"/>
      <c r="W67" s="37"/>
    </row>
    <row r="68" spans="2:23" x14ac:dyDescent="0.2">
      <c r="B68" s="34"/>
      <c r="C68" s="34"/>
      <c r="D68" s="34"/>
      <c r="E68" s="34"/>
      <c r="F68" s="34"/>
      <c r="G68" s="34"/>
      <c r="H68" s="34"/>
      <c r="I68" s="34"/>
      <c r="J68" s="34"/>
      <c r="K68" s="34"/>
      <c r="M68" s="34"/>
      <c r="N68" s="34"/>
      <c r="O68" s="34"/>
      <c r="P68" s="34"/>
      <c r="Q68" s="34"/>
      <c r="R68" s="34"/>
      <c r="S68" s="34"/>
      <c r="T68" s="34"/>
      <c r="U68" s="34"/>
      <c r="V68" s="37"/>
      <c r="W68" s="37"/>
    </row>
    <row r="69" spans="2:23" x14ac:dyDescent="0.2">
      <c r="B69" s="34"/>
      <c r="C69" s="34"/>
      <c r="D69" s="34"/>
      <c r="E69" s="34"/>
      <c r="F69" s="34"/>
      <c r="G69" s="34"/>
      <c r="H69" s="34"/>
      <c r="I69" s="34"/>
      <c r="J69" s="34"/>
      <c r="K69" s="34"/>
      <c r="M69" s="34"/>
      <c r="N69" s="34"/>
      <c r="O69" s="35"/>
      <c r="P69" s="34"/>
      <c r="Q69" s="34"/>
      <c r="R69" s="34"/>
      <c r="S69" s="34"/>
      <c r="T69" s="34"/>
      <c r="U69" s="34"/>
      <c r="V69" s="37"/>
      <c r="W69" s="37"/>
    </row>
    <row r="70" spans="2:23" x14ac:dyDescent="0.2">
      <c r="B70" s="34"/>
      <c r="C70" s="34"/>
      <c r="D70" s="34"/>
      <c r="E70" s="34"/>
      <c r="F70" s="34"/>
      <c r="G70" s="34"/>
      <c r="H70" s="34"/>
      <c r="I70" s="34"/>
      <c r="J70" s="34"/>
      <c r="K70" s="34"/>
      <c r="M70" s="34"/>
      <c r="N70" s="34"/>
      <c r="O70" s="34"/>
      <c r="P70" s="37"/>
      <c r="Q70" s="37"/>
      <c r="R70" s="37"/>
      <c r="S70" s="38"/>
      <c r="T70" s="34"/>
      <c r="U70" s="34"/>
      <c r="V70" s="37"/>
      <c r="W70" s="37"/>
    </row>
    <row r="71" spans="2:23" x14ac:dyDescent="0.2">
      <c r="B71" s="34"/>
      <c r="C71" s="34"/>
      <c r="D71" s="34"/>
      <c r="E71" s="34"/>
      <c r="F71" s="34"/>
      <c r="G71" s="34"/>
      <c r="H71" s="34"/>
      <c r="I71" s="34"/>
      <c r="J71" s="34"/>
      <c r="K71" s="34"/>
      <c r="M71" s="34"/>
      <c r="N71" s="34"/>
      <c r="O71" s="34"/>
      <c r="P71" s="37"/>
      <c r="Q71" s="37"/>
      <c r="R71" s="37"/>
      <c r="S71" s="38"/>
      <c r="T71" s="34"/>
      <c r="U71" s="34"/>
      <c r="V71" s="37"/>
      <c r="W71" s="37"/>
    </row>
    <row r="72" spans="2:23" x14ac:dyDescent="0.2">
      <c r="B72" s="34"/>
      <c r="C72" s="34"/>
      <c r="D72" s="34"/>
      <c r="E72" s="34"/>
      <c r="F72" s="34"/>
      <c r="G72" s="34"/>
      <c r="H72" s="34"/>
      <c r="I72" s="34"/>
      <c r="J72" s="34"/>
      <c r="K72" s="34"/>
      <c r="M72" s="34"/>
      <c r="N72" s="34"/>
      <c r="O72" s="34"/>
      <c r="P72" s="37"/>
      <c r="Q72" s="37"/>
      <c r="R72" s="37"/>
      <c r="S72" s="38"/>
      <c r="T72" s="34"/>
      <c r="U72" s="34"/>
      <c r="V72" s="37"/>
      <c r="W72" s="37"/>
    </row>
    <row r="73" spans="2:23" x14ac:dyDescent="0.2">
      <c r="B73" s="34"/>
      <c r="C73" s="34"/>
      <c r="D73" s="34"/>
      <c r="E73" s="34"/>
      <c r="F73" s="34"/>
      <c r="G73" s="34"/>
      <c r="H73" s="34"/>
      <c r="I73" s="34"/>
      <c r="J73" s="34"/>
      <c r="K73" s="34"/>
      <c r="M73" s="34"/>
      <c r="N73" s="34"/>
      <c r="O73" s="34"/>
      <c r="P73" s="37"/>
      <c r="Q73" s="37"/>
      <c r="R73" s="37"/>
      <c r="S73" s="38"/>
      <c r="T73" s="34"/>
      <c r="U73" s="34"/>
      <c r="V73" s="37"/>
      <c r="W73" s="37"/>
    </row>
    <row r="74" spans="2:23" x14ac:dyDescent="0.2">
      <c r="B74" s="34"/>
      <c r="C74" s="34"/>
      <c r="D74" s="34"/>
      <c r="E74" s="34"/>
      <c r="F74" s="34"/>
      <c r="G74" s="34"/>
      <c r="H74" s="34"/>
      <c r="I74" s="34"/>
      <c r="J74" s="34"/>
      <c r="K74" s="34"/>
      <c r="M74" s="34"/>
      <c r="N74" s="34"/>
      <c r="O74" s="34"/>
      <c r="P74" s="37"/>
      <c r="Q74" s="37"/>
      <c r="R74" s="37"/>
      <c r="S74" s="38"/>
      <c r="T74" s="34"/>
      <c r="U74" s="34"/>
      <c r="V74" s="37"/>
      <c r="W74" s="37"/>
    </row>
    <row r="75" spans="2:23" x14ac:dyDescent="0.2">
      <c r="B75" s="34"/>
      <c r="C75" s="34"/>
      <c r="D75" s="34"/>
      <c r="E75" s="34"/>
      <c r="F75" s="34"/>
      <c r="G75" s="34"/>
      <c r="H75" s="34"/>
      <c r="I75" s="34"/>
      <c r="J75" s="34"/>
      <c r="K75" s="34"/>
      <c r="M75" s="34"/>
      <c r="N75" s="34"/>
      <c r="O75" s="34"/>
      <c r="P75" s="34"/>
      <c r="Q75" s="34"/>
      <c r="R75" s="34"/>
      <c r="S75" s="34"/>
      <c r="T75" s="34"/>
      <c r="U75" s="34"/>
      <c r="V75" s="37"/>
      <c r="W75" s="37"/>
    </row>
    <row r="76" spans="2:23" x14ac:dyDescent="0.2">
      <c r="B76" s="34"/>
      <c r="C76" s="34"/>
      <c r="D76" s="34"/>
      <c r="E76" s="34"/>
      <c r="F76" s="34"/>
      <c r="G76" s="34"/>
      <c r="H76" s="34"/>
      <c r="I76" s="34"/>
      <c r="J76" s="34"/>
      <c r="K76" s="34"/>
      <c r="M76" s="34"/>
      <c r="N76" s="34"/>
      <c r="O76" s="35"/>
      <c r="P76" s="34"/>
      <c r="Q76" s="34"/>
      <c r="R76" s="34"/>
      <c r="S76" s="34"/>
      <c r="T76" s="34"/>
      <c r="U76" s="34"/>
      <c r="V76" s="37"/>
      <c r="W76" s="37"/>
    </row>
    <row r="77" spans="2:23" x14ac:dyDescent="0.2">
      <c r="B77" s="34"/>
      <c r="C77" s="34"/>
      <c r="D77" s="34"/>
      <c r="E77" s="34"/>
      <c r="F77" s="34"/>
      <c r="G77" s="34"/>
      <c r="H77" s="34"/>
      <c r="I77" s="34"/>
      <c r="J77" s="34"/>
      <c r="K77" s="34"/>
      <c r="M77" s="34"/>
      <c r="N77" s="34"/>
      <c r="O77" s="34"/>
      <c r="P77" s="37"/>
      <c r="Q77" s="37"/>
      <c r="R77" s="37"/>
      <c r="S77" s="38"/>
      <c r="T77" s="34"/>
      <c r="U77" s="34"/>
      <c r="V77" s="37"/>
      <c r="W77" s="37"/>
    </row>
    <row r="78" spans="2:23" x14ac:dyDescent="0.2">
      <c r="B78" s="34"/>
      <c r="C78" s="34"/>
      <c r="D78" s="34"/>
      <c r="E78" s="34"/>
      <c r="F78" s="34"/>
      <c r="G78" s="34"/>
      <c r="H78" s="34"/>
      <c r="I78" s="34"/>
      <c r="J78" s="34"/>
      <c r="K78" s="34"/>
      <c r="M78" s="34"/>
      <c r="N78" s="34"/>
      <c r="O78" s="34"/>
      <c r="P78" s="37"/>
      <c r="Q78" s="37"/>
      <c r="R78" s="37"/>
      <c r="S78" s="38"/>
      <c r="T78" s="34"/>
      <c r="U78" s="34"/>
      <c r="V78" s="37"/>
      <c r="W78" s="37"/>
    </row>
    <row r="79" spans="2:23" x14ac:dyDescent="0.2">
      <c r="B79" s="34"/>
      <c r="C79" s="34"/>
      <c r="D79" s="34"/>
      <c r="E79" s="34"/>
      <c r="F79" s="34"/>
      <c r="G79" s="34"/>
      <c r="H79" s="34"/>
      <c r="I79" s="34"/>
      <c r="J79" s="34"/>
      <c r="K79" s="34"/>
      <c r="M79" s="34"/>
      <c r="N79" s="34"/>
      <c r="O79" s="34"/>
      <c r="P79" s="37"/>
      <c r="Q79" s="37"/>
      <c r="R79" s="37"/>
      <c r="S79" s="38"/>
      <c r="T79" s="34"/>
      <c r="U79" s="34"/>
      <c r="V79" s="37"/>
      <c r="W79" s="37"/>
    </row>
    <row r="80" spans="2:23" x14ac:dyDescent="0.2">
      <c r="B80" s="34"/>
      <c r="C80" s="34"/>
      <c r="D80" s="34"/>
      <c r="E80" s="34"/>
      <c r="F80" s="34"/>
      <c r="G80" s="34"/>
      <c r="H80" s="34"/>
      <c r="I80" s="34"/>
      <c r="J80" s="34"/>
      <c r="K80" s="34"/>
      <c r="M80" s="34"/>
      <c r="N80" s="34"/>
      <c r="O80" s="34"/>
      <c r="P80" s="37"/>
      <c r="Q80" s="37"/>
      <c r="R80" s="37"/>
      <c r="S80" s="38"/>
      <c r="T80" s="34"/>
      <c r="U80" s="34"/>
      <c r="V80" s="37"/>
      <c r="W80" s="37"/>
    </row>
    <row r="81" spans="2:23" x14ac:dyDescent="0.2">
      <c r="B81" s="34"/>
      <c r="C81" s="34"/>
      <c r="D81" s="34"/>
      <c r="E81" s="34"/>
      <c r="F81" s="34"/>
      <c r="G81" s="34"/>
      <c r="H81" s="34"/>
      <c r="I81" s="34"/>
      <c r="J81" s="34"/>
      <c r="K81" s="34"/>
      <c r="M81" s="34"/>
      <c r="N81" s="34"/>
      <c r="O81" s="34"/>
      <c r="P81" s="37"/>
      <c r="Q81" s="37"/>
      <c r="R81" s="37"/>
      <c r="S81" s="38"/>
      <c r="T81" s="34"/>
      <c r="U81" s="34"/>
      <c r="V81" s="37"/>
      <c r="W81" s="37"/>
    </row>
    <row r="82" spans="2:23" x14ac:dyDescent="0.2">
      <c r="B82" s="34"/>
      <c r="C82" s="34"/>
      <c r="D82" s="34"/>
      <c r="E82" s="34"/>
      <c r="F82" s="34"/>
      <c r="G82" s="34"/>
      <c r="H82" s="34"/>
      <c r="I82" s="34"/>
      <c r="J82" s="34"/>
      <c r="K82" s="34"/>
      <c r="M82" s="34"/>
      <c r="N82" s="34"/>
      <c r="O82" s="35"/>
      <c r="P82" s="34"/>
      <c r="Q82" s="34"/>
      <c r="R82" s="34"/>
      <c r="S82" s="34"/>
      <c r="T82" s="34"/>
      <c r="U82" s="34"/>
      <c r="V82" s="34"/>
      <c r="W82" s="34"/>
    </row>
    <row r="83" spans="2:23" x14ac:dyDescent="0.2">
      <c r="B83" s="34"/>
      <c r="C83" s="34"/>
      <c r="D83" s="34"/>
      <c r="E83" s="34"/>
      <c r="F83" s="34"/>
      <c r="G83" s="34"/>
      <c r="H83" s="34"/>
      <c r="I83" s="34"/>
      <c r="J83" s="34"/>
      <c r="K83" s="34"/>
      <c r="M83" s="34"/>
      <c r="N83" s="34"/>
      <c r="O83" s="35"/>
      <c r="P83" s="34"/>
      <c r="Q83" s="34"/>
      <c r="R83" s="34"/>
      <c r="S83" s="34"/>
      <c r="T83" s="34"/>
      <c r="U83" s="34"/>
      <c r="V83" s="34"/>
      <c r="W83" s="34"/>
    </row>
    <row r="84" spans="2:23" x14ac:dyDescent="0.2">
      <c r="B84" s="34"/>
      <c r="C84" s="34"/>
      <c r="D84" s="34"/>
      <c r="E84" s="34"/>
      <c r="F84" s="34"/>
      <c r="G84" s="34"/>
      <c r="H84" s="34"/>
      <c r="I84" s="34"/>
      <c r="J84" s="34"/>
      <c r="K84" s="34"/>
      <c r="M84" s="34"/>
      <c r="N84" s="34"/>
      <c r="O84" s="34"/>
      <c r="P84" s="37"/>
      <c r="Q84" s="37"/>
      <c r="R84" s="37"/>
      <c r="S84" s="38"/>
      <c r="T84" s="34"/>
      <c r="U84" s="34"/>
      <c r="V84" s="34"/>
      <c r="W84" s="34"/>
    </row>
    <row r="85" spans="2:23" x14ac:dyDescent="0.2">
      <c r="B85" s="34"/>
      <c r="C85" s="34"/>
      <c r="D85" s="34"/>
      <c r="E85" s="34"/>
      <c r="F85" s="34"/>
      <c r="G85" s="34"/>
      <c r="H85" s="34"/>
      <c r="I85" s="34"/>
      <c r="J85" s="34"/>
      <c r="K85" s="34"/>
      <c r="M85" s="34"/>
      <c r="N85" s="34"/>
      <c r="O85" s="34"/>
      <c r="P85" s="37"/>
      <c r="Q85" s="37"/>
      <c r="R85" s="37"/>
      <c r="S85" s="38"/>
      <c r="T85" s="34"/>
      <c r="U85" s="37"/>
      <c r="V85" s="34"/>
      <c r="W85" s="34"/>
    </row>
    <row r="86" spans="2:23" x14ac:dyDescent="0.2">
      <c r="B86" s="34"/>
      <c r="C86" s="34"/>
      <c r="D86" s="34"/>
      <c r="E86" s="34"/>
      <c r="F86" s="34"/>
      <c r="G86" s="34"/>
      <c r="H86" s="34"/>
      <c r="I86" s="34"/>
      <c r="J86" s="34"/>
      <c r="K86" s="34"/>
      <c r="M86" s="34"/>
      <c r="N86" s="34"/>
      <c r="O86" s="34"/>
      <c r="P86" s="37"/>
      <c r="Q86" s="37"/>
      <c r="R86" s="37"/>
      <c r="S86" s="38"/>
      <c r="T86" s="34"/>
      <c r="U86" s="34"/>
      <c r="V86" s="34"/>
      <c r="W86" s="34"/>
    </row>
    <row r="87" spans="2:23" x14ac:dyDescent="0.2">
      <c r="M87" s="34"/>
      <c r="N87" s="34"/>
      <c r="O87" s="34"/>
      <c r="P87" s="37"/>
      <c r="Q87" s="37"/>
      <c r="R87" s="37"/>
      <c r="S87" s="38"/>
      <c r="T87" s="34"/>
      <c r="U87" s="34"/>
      <c r="V87" s="34"/>
      <c r="W87" s="34"/>
    </row>
    <row r="88" spans="2:23" x14ac:dyDescent="0.2">
      <c r="B88" s="34"/>
      <c r="C88" s="34"/>
      <c r="D88" s="35"/>
      <c r="E88" s="38"/>
      <c r="F88" s="38"/>
      <c r="G88" s="38"/>
      <c r="H88" s="38"/>
      <c r="I88" s="34"/>
      <c r="J88" s="34"/>
      <c r="K88" s="34"/>
      <c r="L88" s="34"/>
      <c r="M88" s="34"/>
      <c r="N88" s="34"/>
    </row>
    <row r="89" spans="2:23" x14ac:dyDescent="0.2">
      <c r="B89" s="34"/>
      <c r="C89" s="34"/>
      <c r="D89" s="35"/>
      <c r="E89" s="38"/>
      <c r="F89" s="38"/>
      <c r="G89" s="38"/>
      <c r="H89" s="38"/>
      <c r="I89" s="34"/>
      <c r="J89" s="34"/>
      <c r="K89" s="34"/>
      <c r="L89" s="34"/>
      <c r="M89" s="34"/>
      <c r="N89" s="34"/>
    </row>
    <row r="90" spans="2:23" x14ac:dyDescent="0.2">
      <c r="D90" s="22"/>
    </row>
  </sheetData>
  <sheetProtection selectLockedCells="1"/>
  <mergeCells count="4">
    <mergeCell ref="C4:J4"/>
    <mergeCell ref="C23:J23"/>
    <mergeCell ref="C27:J29"/>
    <mergeCell ref="K32:L32"/>
  </mergeCells>
  <hyperlinks>
    <hyperlink ref="K32:L32" location="Selection!D6" display="Back to selection"/>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S62"/>
  <sheetViews>
    <sheetView showZeros="0" workbookViewId="0">
      <selection activeCell="C27" sqref="C27:J28"/>
    </sheetView>
  </sheetViews>
  <sheetFormatPr defaultColWidth="8.69921875" defaultRowHeight="14.25" x14ac:dyDescent="0.2"/>
  <cols>
    <col min="1" max="4" width="8.69921875" style="7"/>
    <col min="5" max="5" width="12.19921875" style="7" customWidth="1"/>
    <col min="6" max="9" width="8.69921875" style="7"/>
    <col min="10" max="10" width="12.5" style="7" customWidth="1"/>
    <col min="11" max="12" width="8.69921875" style="7"/>
    <col min="13" max="13" width="8.8984375" style="7" bestFit="1" customWidth="1"/>
    <col min="14"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"Inactivity Across "&amp;D41&amp;" Groups in "&amp;B41&amp;" Over Time"</f>
        <v>Inactivity Across Ethnicity Groups in GM Over Time</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9" x14ac:dyDescent="0.2">
      <c r="B17" s="99"/>
      <c r="C17" s="32"/>
      <c r="D17" s="32"/>
      <c r="E17" s="32"/>
      <c r="F17" s="32"/>
      <c r="G17" s="32"/>
      <c r="H17" s="32"/>
      <c r="I17" s="32"/>
      <c r="J17" s="32"/>
      <c r="K17" s="100"/>
    </row>
    <row r="18" spans="2:19" x14ac:dyDescent="0.2">
      <c r="B18" s="99"/>
      <c r="C18" s="32"/>
      <c r="D18" s="32"/>
      <c r="E18" s="32"/>
      <c r="F18" s="32"/>
      <c r="G18" s="32"/>
      <c r="H18" s="32"/>
      <c r="I18" s="32"/>
      <c r="J18" s="32"/>
      <c r="K18" s="100"/>
      <c r="S18" s="37"/>
    </row>
    <row r="19" spans="2:19" x14ac:dyDescent="0.2">
      <c r="B19" s="99"/>
      <c r="C19" s="32"/>
      <c r="D19" s="32"/>
      <c r="E19" s="32"/>
      <c r="F19" s="32"/>
      <c r="G19" s="32"/>
      <c r="H19" s="32"/>
      <c r="I19" s="32"/>
      <c r="J19" s="32"/>
      <c r="K19" s="100"/>
      <c r="S19" s="37"/>
    </row>
    <row r="20" spans="2:19" x14ac:dyDescent="0.2">
      <c r="B20" s="99"/>
      <c r="C20" s="32"/>
      <c r="D20" s="32"/>
      <c r="E20" s="32"/>
      <c r="F20" s="32"/>
      <c r="G20" s="32"/>
      <c r="H20" s="32"/>
      <c r="I20" s="32"/>
      <c r="J20" s="32"/>
      <c r="K20" s="100"/>
      <c r="S20" s="34"/>
    </row>
    <row r="21" spans="2:19" x14ac:dyDescent="0.2">
      <c r="B21" s="99"/>
      <c r="C21" s="32"/>
      <c r="D21" s="32"/>
      <c r="E21" s="32"/>
      <c r="F21" s="32"/>
      <c r="G21" s="32"/>
      <c r="H21" s="32"/>
      <c r="I21" s="32"/>
      <c r="J21" s="32"/>
      <c r="K21" s="100"/>
      <c r="S21" s="34"/>
    </row>
    <row r="22" spans="2:19" x14ac:dyDescent="0.2">
      <c r="B22" s="99"/>
      <c r="C22" s="32"/>
      <c r="D22" s="32"/>
      <c r="E22" s="32"/>
      <c r="F22" s="32"/>
      <c r="G22" s="32"/>
      <c r="H22" s="32"/>
      <c r="I22" s="32"/>
      <c r="J22" s="32"/>
      <c r="K22" s="100"/>
      <c r="S22" s="34"/>
    </row>
    <row r="23" spans="2:19" x14ac:dyDescent="0.2">
      <c r="B23" s="99"/>
      <c r="C23" s="221" t="str">
        <f>CONCATENATE("Source: Sport England Active Lives Survey, ", IF(D41="Work Status", "May 2018/19", "November 2015/16"), " to May 2019/20, adults 16+")</f>
        <v>Source: Sport England Active Lives Survey, November 2015/16 to May 2019/20, adults 16+</v>
      </c>
      <c r="D23" s="221"/>
      <c r="E23" s="221"/>
      <c r="F23" s="221"/>
      <c r="G23" s="221"/>
      <c r="H23" s="221"/>
      <c r="I23" s="221"/>
      <c r="J23" s="221"/>
      <c r="K23" s="100"/>
      <c r="L23" s="34"/>
    </row>
    <row r="24" spans="2:19" ht="15" thickBot="1" x14ac:dyDescent="0.25">
      <c r="B24" s="101"/>
      <c r="C24" s="23"/>
      <c r="D24" s="23"/>
      <c r="E24" s="23"/>
      <c r="F24" s="23"/>
      <c r="G24" s="23"/>
      <c r="H24" s="23"/>
      <c r="I24" s="23"/>
      <c r="J24" s="23"/>
      <c r="K24" s="102"/>
    </row>
    <row r="25" spans="2:19" ht="15.75" thickTop="1" thickBot="1" x14ac:dyDescent="0.25"/>
    <row r="26" spans="2:19" x14ac:dyDescent="0.2">
      <c r="B26" s="103"/>
      <c r="C26" s="104"/>
      <c r="D26" s="104"/>
      <c r="E26" s="104"/>
      <c r="F26" s="104"/>
      <c r="G26" s="104"/>
      <c r="H26" s="104"/>
      <c r="I26" s="104"/>
      <c r="J26" s="104"/>
      <c r="K26" s="105"/>
    </row>
    <row r="27" spans="2:19" ht="13.9" customHeight="1" x14ac:dyDescent="0.2">
      <c r="B27" s="106"/>
      <c r="C27" s="223" t="str">
        <f>IF(D41="Ethnicity","Due to the nature of the ethnicity breakdown we do not calculate an inactivity ethnicity gap.",(IFERROR(CONCATENATE("The inactivity ",(LOWER(D41))," gap in ",B41," is ",(TEXT((ABS(J43)),"0.0%")),(CONCATENATE(IF(J41&lt;0.1%,", the gap has remained the same since baseline.",(IF((ABS(J53))&gt;(ABS(J43)),(CONCATENATE(", this has shrunk since baseline by ",(TEXT(J41,"0.0%")))),(CONCATENATE(", this has widened since baseline by ",(TEXT(J41,"0.0%")),".")))))))),"Due to insufficient survey numbers the inequality gap could not be calculated.")))</f>
        <v>Due to the nature of the ethnicity breakdown we do not calculate an inactivity ethnicity gap.</v>
      </c>
      <c r="D27" s="223"/>
      <c r="E27" s="223"/>
      <c r="F27" s="223"/>
      <c r="G27" s="223"/>
      <c r="H27" s="223"/>
      <c r="I27" s="223"/>
      <c r="J27" s="223"/>
      <c r="K27" s="107"/>
    </row>
    <row r="28" spans="2:19" ht="13.9" customHeight="1" x14ac:dyDescent="0.2">
      <c r="B28" s="106"/>
      <c r="C28" s="223"/>
      <c r="D28" s="223"/>
      <c r="E28" s="223"/>
      <c r="F28" s="223"/>
      <c r="G28" s="223"/>
      <c r="H28" s="223"/>
      <c r="I28" s="223"/>
      <c r="J28" s="223"/>
      <c r="K28" s="107"/>
    </row>
    <row r="29" spans="2:19" ht="13.9" customHeight="1" x14ac:dyDescent="0.2">
      <c r="B29" s="106"/>
      <c r="C29" s="223" t="str">
        <f>IF(D41="Gender", IF(ISNA(J43),"",IF(OR(J43&lt;0,J53&lt;0),CONCATENATE("This gap has inverted since baseline",(IF(AND(D41="Gender",E43&lt;E42)," women are now more active than men.", " men are more active than women."))),"")),"")</f>
        <v/>
      </c>
      <c r="D29" s="223"/>
      <c r="E29" s="223"/>
      <c r="F29" s="223"/>
      <c r="G29" s="223"/>
      <c r="H29" s="223"/>
      <c r="I29" s="223"/>
      <c r="J29" s="223"/>
      <c r="K29" s="107"/>
    </row>
    <row r="30" spans="2:19" ht="15" thickBot="1" x14ac:dyDescent="0.25">
      <c r="B30" s="108"/>
      <c r="C30" s="109"/>
      <c r="D30" s="109"/>
      <c r="E30" s="109"/>
      <c r="F30" s="109"/>
      <c r="G30" s="109"/>
      <c r="H30" s="109"/>
      <c r="I30" s="109"/>
      <c r="J30" s="109"/>
      <c r="K30" s="110"/>
    </row>
    <row r="32" spans="2:19" x14ac:dyDescent="0.2">
      <c r="K32" s="195" t="s">
        <v>147</v>
      </c>
      <c r="L32" s="195"/>
    </row>
    <row r="33" spans="2:19" x14ac:dyDescent="0.2">
      <c r="B33" s="91"/>
      <c r="C33" s="91"/>
      <c r="D33" s="91"/>
      <c r="E33" s="91"/>
      <c r="F33" s="91"/>
      <c r="G33" s="91"/>
      <c r="H33" s="91"/>
      <c r="I33" s="91"/>
      <c r="J33" s="91"/>
      <c r="K33" s="91"/>
      <c r="L33" s="91"/>
      <c r="M33" s="91"/>
      <c r="N33" s="91"/>
      <c r="O33" s="91"/>
      <c r="P33" s="91"/>
      <c r="Q33" s="91"/>
      <c r="R33" s="91"/>
      <c r="S33" s="91"/>
    </row>
    <row r="34" spans="2:19" x14ac:dyDescent="0.2">
      <c r="B34" s="92"/>
      <c r="C34" s="91"/>
      <c r="D34" s="91"/>
      <c r="E34" s="91"/>
      <c r="F34" s="91"/>
      <c r="G34" s="91"/>
      <c r="H34" s="91"/>
      <c r="I34" s="91"/>
      <c r="J34" s="91"/>
      <c r="K34" s="91"/>
      <c r="L34" s="91"/>
      <c r="M34" s="91"/>
      <c r="N34" s="91"/>
      <c r="O34" s="91"/>
      <c r="P34" s="91"/>
      <c r="Q34" s="91"/>
      <c r="R34" s="91"/>
      <c r="S34" s="91"/>
    </row>
    <row r="35" spans="2:19" x14ac:dyDescent="0.2">
      <c r="B35" s="34"/>
      <c r="C35" s="33"/>
      <c r="D35" s="33"/>
      <c r="E35" s="33"/>
      <c r="F35" s="33"/>
      <c r="G35" s="33"/>
      <c r="I35" s="33"/>
      <c r="J35" s="34"/>
      <c r="K35" s="34"/>
      <c r="L35" s="34"/>
      <c r="M35" s="34"/>
      <c r="N35" s="34"/>
      <c r="O35" s="34"/>
    </row>
    <row r="36" spans="2:19" x14ac:dyDescent="0.2">
      <c r="B36" s="33"/>
      <c r="C36" s="33"/>
      <c r="D36" s="33"/>
      <c r="E36" s="33"/>
      <c r="F36" s="33"/>
      <c r="G36" s="33"/>
      <c r="H36" s="33"/>
      <c r="I36" s="33"/>
      <c r="J36" s="34"/>
      <c r="K36" s="34"/>
      <c r="L36" s="34"/>
      <c r="M36" s="34"/>
      <c r="N36" s="34"/>
      <c r="O36" s="34"/>
    </row>
    <row r="37" spans="2:19" x14ac:dyDescent="0.2">
      <c r="B37" s="34"/>
      <c r="C37" s="34"/>
      <c r="D37" s="34"/>
      <c r="E37" s="34"/>
      <c r="F37" s="34"/>
      <c r="G37" s="34"/>
      <c r="H37" s="34"/>
      <c r="I37" s="34"/>
      <c r="J37" s="34"/>
      <c r="K37" s="34"/>
      <c r="L37" s="34"/>
      <c r="M37" s="34"/>
      <c r="N37" s="34"/>
      <c r="O37" s="34"/>
    </row>
    <row r="38" spans="2:19" x14ac:dyDescent="0.2">
      <c r="B38" s="34"/>
      <c r="C38" s="34"/>
      <c r="D38" s="34"/>
      <c r="E38" s="34"/>
      <c r="F38" s="34"/>
      <c r="G38" s="34"/>
      <c r="H38" s="34"/>
      <c r="I38" s="34"/>
      <c r="J38" s="34"/>
      <c r="K38" s="34"/>
      <c r="L38" s="34"/>
      <c r="M38" s="34"/>
      <c r="N38" s="34"/>
      <c r="O38" s="34"/>
    </row>
    <row r="39" spans="2:19" x14ac:dyDescent="0.2">
      <c r="B39" s="34"/>
      <c r="C39" s="34"/>
      <c r="D39" s="34"/>
      <c r="E39" s="34"/>
      <c r="F39" s="34"/>
      <c r="G39" s="34"/>
      <c r="H39" s="34"/>
      <c r="I39" s="34"/>
      <c r="J39" s="34"/>
      <c r="K39" s="34"/>
      <c r="L39" s="34"/>
      <c r="M39" s="34"/>
      <c r="N39" s="34"/>
      <c r="O39" s="34"/>
    </row>
    <row r="40" spans="2:19" x14ac:dyDescent="0.2">
      <c r="B40" s="34"/>
      <c r="C40" s="34"/>
      <c r="D40" s="34" t="s">
        <v>317</v>
      </c>
      <c r="E40" s="34"/>
      <c r="F40" s="34"/>
      <c r="G40" s="34"/>
      <c r="H40" s="34"/>
      <c r="I40" s="34"/>
      <c r="J40" s="34" t="s">
        <v>144</v>
      </c>
      <c r="K40" s="34"/>
      <c r="L40" s="34"/>
      <c r="N40" s="34"/>
      <c r="O40" s="34"/>
    </row>
    <row r="41" spans="2:19" x14ac:dyDescent="0.2">
      <c r="B41" s="34" t="str">
        <f>Selection!D7</f>
        <v>GM</v>
      </c>
      <c r="C41" s="34"/>
      <c r="D41" s="35" t="str">
        <f>Selection!D18</f>
        <v>Ethnicity</v>
      </c>
      <c r="E41" s="34" t="s">
        <v>119</v>
      </c>
      <c r="F41" s="34" t="s">
        <v>120</v>
      </c>
      <c r="G41" s="34" t="s">
        <v>121</v>
      </c>
      <c r="H41" s="34" t="s">
        <v>99</v>
      </c>
      <c r="I41" s="34"/>
      <c r="J41" s="37">
        <f ca="1">ABS(ABS(J43)-ABS(J53))</f>
        <v>0.10789228661199118</v>
      </c>
      <c r="K41" s="37"/>
      <c r="L41" s="38"/>
      <c r="N41" s="34"/>
      <c r="O41" s="34"/>
    </row>
    <row r="42" spans="2:19" x14ac:dyDescent="0.2">
      <c r="B42" s="34"/>
      <c r="C42" s="34"/>
      <c r="D42" s="34" t="str">
        <f>(IF(D41="Age","16-34",IF(D41="Gender","Male",IF(D41="Socio-Economic","NS-SEC 1-2",IF(D41="Disability","No LT Limiting Disability",IF(D41="Ethnicity", "White British", IF(D41= "Work Status", "Working full or part time",0)))))))</f>
        <v>White British</v>
      </c>
      <c r="E42" s="37">
        <f ca="1">(IF(D42="16-34",(INDIRECT(""&amp;B41&amp;"!BO10")),IF(D42="NS-SEC 1-2",(INDIRECT(""&amp;B41&amp;"!CD10")),IF(D42="No LT Limiting Disability",(INDIRECT(""&amp;B41&amp;"!BV10")),IF(D42="Male",(INDIRECT(""&amp;B41&amp;"!BM10")),IF(D42="White British",(INDIRECT(""&amp;B41&amp;"!BW10")),IF(D42="Working full or part time",(INDIRECT(""&amp;B41&amp;"!CH10")),"")))))))</f>
        <v>0.25792704646842401</v>
      </c>
      <c r="F42" s="37">
        <f ca="1">(IF(D42="16-34",(INDIRECT(""&amp;B41&amp;"!AK10")),IF(D42="NS-SEC 1-2",(INDIRECT(""&amp;B41&amp;"!AZ10")),IF(D42="No LT Limiting Disability",(INDIRECT(""&amp;B41&amp;"!AQ10")),IF(D42="Male",(INDIRECT(""&amp;B41&amp;"!AI10")),IF(D42="White British",(INDIRECT(""&amp;B41&amp;"!AS10")),IF(D42="Working full or part time",(INDIRECT(""&amp;B41&amp;"!BD10")),"")))))))</f>
        <v>0.10590082164363969</v>
      </c>
      <c r="G42" s="37">
        <f ca="1">(IF(D42="16-34",(INDIRECT(""&amp;B41&amp;"!G10")),IF(D42="NS-SEC 1-2",(INDIRECT(""&amp;B41&amp;"!V10")),IF(D42="No LT Limiting Disability",(INDIRECT(""&amp;B41&amp;"!M10")),IF(D42="Male",(INDIRECT(""&amp;B41&amp;"!E10")),IF(D42="White British",(INDIRECT(""&amp;B41&amp;"!O10")),IF(D42="Working full or part time",(INDIRECT(""&amp;B41&amp;"!Z10")),"")))))))</f>
        <v>0.63617213188793498</v>
      </c>
      <c r="H42" s="38">
        <f ca="1">SUM(F42,G42)</f>
        <v>0.74207295353157465</v>
      </c>
      <c r="I42" s="34"/>
      <c r="J42" s="34" t="s">
        <v>145</v>
      </c>
      <c r="K42" s="37"/>
      <c r="L42" s="37"/>
      <c r="N42" s="34"/>
      <c r="O42" s="34"/>
    </row>
    <row r="43" spans="2:19" x14ac:dyDescent="0.2">
      <c r="B43" s="34"/>
      <c r="C43" s="34"/>
      <c r="D43" s="34" t="str">
        <f>(IF(D41="Age","35-54",IF(D41="Gender","Female",IF(D41="Socio-Economic","NS-SEC 3-5",IF(D41="Disability","LT Limiting Disability",IF(D41="Ethnicity","White Other",IF(D41= "Work Status", "Unemployed",0)))))))</f>
        <v>White Other</v>
      </c>
      <c r="E43" s="37">
        <f ca="1">(IF(D43="35-54",(INDIRECT(""&amp;B41&amp;"!BP10")),IF(D43="NS-SEC 3-5",(INDIRECT(""&amp;B41&amp;"!CE10")),IF(D43="LT Limiting Disability",(INDIRECT(""&amp;B41&amp;"!BU10")),IF(D43="Female",(INDIRECT(""&amp;B41&amp;"!BN10")),IF(D43="White Other",(INDIRECT(""&amp;B41&amp;"!BX10")),IF(D43="Unemployed",(INDIRECT(""&amp;B41&amp;"!CI10")),"")))))))</f>
        <v>0.23451185293009758</v>
      </c>
      <c r="F43" s="37">
        <f ca="1">(IF(D43="35-54",(INDIRECT(""&amp;B41&amp;"!AL10")),IF(D43="NS-SEC 3-5",(INDIRECT(""&amp;B41&amp;"!BA10")),IF(D43="LT Limiting Disability",(INDIRECT(""&amp;B41&amp;"!AR10")),IF(D43="Female",(INDIRECT(""&amp;B41&amp;"!AJ10")),IF(D43="White Other",(INDIRECT(""&amp;B41&amp;"!AT10")),IF(D43="Unemployed",(INDIRECT(""&amp;B41&amp;"!BE10")),"")))))))</f>
        <v>0.10553845521285696</v>
      </c>
      <c r="G43" s="37">
        <f ca="1">(IF(D43="35-54",(INDIRECT(""&amp;B41&amp;"!H10")),IF(D43="NS-SEC 3-5",(INDIRECT(""&amp;B41&amp;"!W10")),IF(D43="LT Limiting Disability",(INDIRECT(""&amp;B41&amp;"!N10")),IF(D43="Female",(INDIRECT(""&amp;B41&amp;"!F10")),IF(D43="White Other",(INDIRECT(""&amp;B41&amp;"!P10")),IF(D43="Unemployed",(INDIRECT(""&amp;B41&amp;"!AA10")),"")))))))</f>
        <v>0.65994969185704566</v>
      </c>
      <c r="H43" s="38">
        <f ca="1">SUM(F43,G43)</f>
        <v>0.76548814706990265</v>
      </c>
      <c r="I43" s="34"/>
      <c r="J43" s="37">
        <f ca="1">IFERROR(IF(AND(E45="",E44="",E43&gt;0, E42&gt;0),E43-E42,IF(AND(E45="",E44&gt;0, E42&gt;0),E44-E42,IF(AND(E45&gt;0,E42&gt;0),E45-E42,NA()))), NA())</f>
        <v>0.20377288633640128</v>
      </c>
      <c r="K43" s="38"/>
      <c r="N43" s="34"/>
      <c r="O43" s="34"/>
    </row>
    <row r="44" spans="2:19" ht="15" x14ac:dyDescent="0.25">
      <c r="B44" s="34"/>
      <c r="C44" s="34"/>
      <c r="D44" s="37" t="str">
        <f>(IF(D41="Age","55-74",IF(D41="Gender","",IF(D41="Socio-Economic","NS-SEC 6-8",IF(D41="Disability","",IF(D41="Ethnicity", "South Asian",IF(D41= "Work Status", "Retired",0)))))))</f>
        <v>South Asian</v>
      </c>
      <c r="E44" s="37">
        <f ca="1">(IF(D44="55-74",(INDIRECT(""&amp;B41&amp;"!BQ10")),IF(D44="NS-SEC 6-8",(INDIRECT(""&amp;B41&amp;"!CF10")),IF(D44="South Asian",(INDIRECT(""&amp;B41&amp;"!BY10")),IF(D44="Retired",(INDIRECT(""&amp;B41&amp;"!CJ10")),"")))))</f>
        <v>0.38795953446431936</v>
      </c>
      <c r="F44" s="37">
        <f ca="1">(IF(D44="55-74",(INDIRECT(""&amp;B41&amp;"!AM10")),IF(D44="NS-SEC 6-8",(INDIRECT(""&amp;B41&amp;"!BB10")),IF(D44="South Asian",(INDIRECT(""&amp;B41&amp;"!AU10")),IF(D44="Retired",(INDIRECT(""&amp;B41&amp;"!BF10")),"")))))</f>
        <v>0.1362181357723973</v>
      </c>
      <c r="G44" s="37">
        <f ca="1">(IF(D44="55-74",(INDIRECT(""&amp;B41&amp;"!I10")),IF(D44="NS-SEC 6-8",(INDIRECT(""&amp;B41&amp;"!X10")),IF(D44="South Asian",(INDIRECT(""&amp;B41&amp;"!Q10")),IF(D44="Retired",(INDIRECT(""&amp;B41&amp;"!AB10")),"")))))</f>
        <v>0.47582232976328326</v>
      </c>
      <c r="H44" s="38">
        <f ca="1">SUM(F44,G44)</f>
        <v>0.61204046553568059</v>
      </c>
      <c r="I44" s="34"/>
      <c r="J44" s="34"/>
      <c r="K44" s="37"/>
      <c r="L44" s="90"/>
      <c r="N44" s="34"/>
      <c r="O44" s="34"/>
    </row>
    <row r="45" spans="2:19" x14ac:dyDescent="0.2">
      <c r="B45" s="34"/>
      <c r="C45" s="34"/>
      <c r="D45" s="34" t="str">
        <f>(IF(D41="Age","75+",IF(D41="Gender","",IF(D41="Socio-Economic","",IF(D41="Disability","",IF(D41="Ethnicity", "Black",IF(D41= "Work Status", "Looking after house/children",0)))))))</f>
        <v>Black</v>
      </c>
      <c r="E45" s="37">
        <f ca="1">(IF(D45="75+",(INDIRECT(""&amp;B41&amp;"!BR10")),IF(D45="Black",(INDIRECT(""&amp;B41&amp;"!BZ10")),IF(D45="Looking after house/children",(INDIRECT(""&amp;B41&amp;"!CK10")),""))))</f>
        <v>0.4616999328048253</v>
      </c>
      <c r="F45" s="37">
        <f ca="1">(IF(D45="75+",(INDIRECT(""&amp;B41&amp;"!AN10")),IF(D45="Black",(INDIRECT(""&amp;B41&amp;"!AV10")),IF(D45="Looking after house/children",(INDIRECT(""&amp;B41&amp;"!BG10")),""))))</f>
        <v>8.7100265400702467E-2</v>
      </c>
      <c r="G45" s="37">
        <f ca="1">(IF(D45="75+",(INDIRECT(""&amp;B41&amp;"!J10")),IF(D45="Black",(INDIRECT(""&amp;B41&amp;"!R10")),IF(D45="Looking after house/children",(INDIRECT(""&amp;B41&amp;"!AC10")),""))))</f>
        <v>0.45119980179447194</v>
      </c>
      <c r="H45" s="38">
        <f ca="1">SUM(F45,G45)</f>
        <v>0.53830006719517443</v>
      </c>
      <c r="I45" s="34"/>
      <c r="J45" s="34"/>
      <c r="K45" s="37"/>
      <c r="L45" s="34"/>
      <c r="N45" s="37"/>
      <c r="O45" s="34"/>
    </row>
    <row r="46" spans="2:19" x14ac:dyDescent="0.2">
      <c r="B46" s="34"/>
      <c r="C46" s="34"/>
      <c r="D46" s="37" t="str">
        <f>(IF(D41="Age","",IF(D41="Gender","",IF(D41="Socio-Economic","",IF(D41="Disability","",IF(D41="Ethnicity", "Chinese",IF(D41= "Work Status", "Long term sick or disabled",0)))))))</f>
        <v>Chinese</v>
      </c>
      <c r="E46" s="37">
        <f ca="1">IF(D46="Chinese",(INDIRECT(""&amp;B41&amp;"!CA10")),IF(D46="Long term sick or disabled",(INDIRECT(""&amp;B41&amp;"!Cl10")),""))</f>
        <v>0.2902565754492758</v>
      </c>
      <c r="F46" s="37">
        <f ca="1">IF(D46="Chinese",(INDIRECT(""&amp;B41&amp;"!AW10")),IF(D46="Long term sick or disabled",(INDIRECT(""&amp;B41&amp;"!BH10")),""))</f>
        <v>0</v>
      </c>
      <c r="G46" s="37">
        <f ca="1">IF(D46="Chinese",(INDIRECT(""&amp;B41&amp;"!S10")),IF(D46="Long term sick or disabled",(INDIRECT(""&amp;B41&amp;"!AD10")),""))</f>
        <v>0.56517470628188027</v>
      </c>
      <c r="H46" s="38">
        <f t="shared" ref="H46:H48" ca="1" si="0">SUM(F46,G46)</f>
        <v>0.56517470628188027</v>
      </c>
      <c r="I46" s="34"/>
      <c r="J46" s="34"/>
      <c r="K46" s="37"/>
      <c r="L46" s="34"/>
      <c r="N46" s="37"/>
      <c r="O46" s="34"/>
    </row>
    <row r="47" spans="2:19" x14ac:dyDescent="0.2">
      <c r="B47" s="34"/>
      <c r="C47" s="34"/>
      <c r="D47" s="37" t="str">
        <f>(IF(D41="Age","",IF(D41="Gender","",IF(D41="Socio-Economic","",IF(D41="Disability","",IF(D41="Ethnicity", "Mixed",IF(D41= "Work Status", "Student",0)))))))</f>
        <v>Mixed</v>
      </c>
      <c r="E47" s="37">
        <f ca="1">IF(D47="Mixed",(INDIRECT(""&amp;B41&amp;"!CB10")),IF(D47="Student",(INDIRECT(""&amp;B41&amp;"!CM10")),""))</f>
        <v>0.22791204366454973</v>
      </c>
      <c r="F47" s="37">
        <f ca="1">IF(D47="Mixed",(INDIRECT(""&amp;B41&amp;"!AX10")),IF(D47="Student",(INDIRECT(""&amp;B41&amp;"!BI10")),""))</f>
        <v>0</v>
      </c>
      <c r="G47" s="37">
        <f ca="1">IF(D47="Mixed",(INDIRECT(""&amp;B41&amp;"!T10")),IF(D47="Student",(INDIRECT(""&amp;B41&amp;"!AE10")),""))</f>
        <v>0.66430434204867961</v>
      </c>
      <c r="H47" s="38">
        <f t="shared" ca="1" si="0"/>
        <v>0.66430434204867961</v>
      </c>
      <c r="I47" s="34"/>
      <c r="J47" s="34"/>
      <c r="K47" s="37"/>
      <c r="L47" s="34"/>
      <c r="N47" s="37"/>
      <c r="O47" s="34"/>
    </row>
    <row r="48" spans="2:19" x14ac:dyDescent="0.2">
      <c r="B48" s="34"/>
      <c r="C48" s="34"/>
      <c r="D48" s="37" t="str">
        <f>(IF(D41="Age","",IF(D41="Gender","",IF(D41="Socio-Economic","",IF(D41="Disability","",IF(D41="Ethnicity", "Other",IF(D41= "Work Status", "Other Work Status",0)))))))</f>
        <v>Other</v>
      </c>
      <c r="E48" s="37">
        <f ca="1">IF(D48="Other",(INDIRECT(""&amp;B41&amp;"!CC10")),IF(D48="Other Work Status",(INDIRECT(""&amp;B41&amp;"!CN10")),""))</f>
        <v>0.45939382382357347</v>
      </c>
      <c r="F48" s="37">
        <f ca="1">IF(D48="Other",(INDIRECT(""&amp;B41&amp;"!AY10")),IF(D48="Other Work Status",(INDIRECT(""&amp;B41&amp;"!BJ10")),""))</f>
        <v>0</v>
      </c>
      <c r="G48" s="37">
        <f ca="1">IF(D48="Other",(INDIRECT(""&amp;B41&amp;"!U10")),IF(D48="Other Work Status",(INDIRECT(""&amp;B41&amp;"!AF10")),""))</f>
        <v>0.42995591049085363</v>
      </c>
      <c r="H48" s="38">
        <f t="shared" ca="1" si="0"/>
        <v>0.42995591049085363</v>
      </c>
      <c r="I48" s="34"/>
      <c r="J48" s="34"/>
      <c r="K48" s="37"/>
      <c r="L48" s="34"/>
      <c r="M48" s="37"/>
      <c r="N48" s="37"/>
      <c r="O48" s="34"/>
    </row>
    <row r="49" spans="2:15" x14ac:dyDescent="0.2">
      <c r="B49" s="34"/>
      <c r="C49" s="34"/>
      <c r="D49" s="35"/>
      <c r="E49" s="34"/>
      <c r="F49" s="34"/>
      <c r="G49" s="34"/>
      <c r="H49" s="34"/>
      <c r="I49" s="34"/>
      <c r="J49" s="34"/>
      <c r="K49" s="34"/>
      <c r="N49" s="34"/>
      <c r="O49" s="34"/>
    </row>
    <row r="50" spans="2:15" x14ac:dyDescent="0.2">
      <c r="B50" s="34"/>
      <c r="C50" s="34"/>
      <c r="D50" s="35" t="str">
        <f>IF(D51= "Work Status", "May 18/19", "Nov 15/16")</f>
        <v>Nov 15/16</v>
      </c>
      <c r="E50" s="34"/>
      <c r="F50" s="34"/>
      <c r="G50" s="34"/>
      <c r="H50" s="34"/>
      <c r="I50" s="34"/>
      <c r="J50" s="34"/>
      <c r="K50" s="34"/>
      <c r="M50" s="34"/>
      <c r="N50" s="34"/>
      <c r="O50" s="34"/>
    </row>
    <row r="51" spans="2:15" x14ac:dyDescent="0.2">
      <c r="B51" s="34" t="str">
        <f>Selection!D7</f>
        <v>GM</v>
      </c>
      <c r="C51" s="34"/>
      <c r="D51" s="35" t="str">
        <f>Selection!D18</f>
        <v>Ethnicity</v>
      </c>
      <c r="E51" s="34" t="s">
        <v>119</v>
      </c>
      <c r="F51" s="34" t="s">
        <v>120</v>
      </c>
      <c r="G51" s="34" t="s">
        <v>121</v>
      </c>
      <c r="H51" s="34" t="s">
        <v>99</v>
      </c>
      <c r="I51" s="34"/>
      <c r="J51" s="34"/>
      <c r="M51" s="34"/>
      <c r="N51" s="34"/>
      <c r="O51" s="34"/>
    </row>
    <row r="52" spans="2:15" x14ac:dyDescent="0.2">
      <c r="B52" s="34"/>
      <c r="C52" s="34"/>
      <c r="D52" s="34" t="str">
        <f>(IF(D51="Age","16-34",IF(D51="Gender","Male",IF(D51="Socio-Economic","NS-SEC 1-2",IF(D51="Disability","No LT Limiting Disability",IF(D51="Ethnicity", "White British", IF(D51= "Work Status", "Working full or part time",0)))))))</f>
        <v>White British</v>
      </c>
      <c r="E52" s="37">
        <f ca="1">(IF(D52="16-34",(INDIRECT(""&amp;B51&amp;"!BO3")),IF(D52="NS-SEC 1-2",(INDIRECT(""&amp;B51&amp;"!CD3")),IF(D52="No LT Limiting Disability",(INDIRECT(""&amp;B51&amp;"!BV3")),IF(D52="Male",(INDIRECT(""&amp;B51&amp;"!BM3")),IF(D52="White British",(INDIRECT(""&amp;B51&amp;"!BW3")),IF(D52="Working full or part time",(INDIRECT(""&amp;B51&amp;"!CH3")),"")))))))</f>
        <v>0.27448645077355166</v>
      </c>
      <c r="F52" s="37">
        <f ca="1">(IF(D52="16-34",(INDIRECT(""&amp;B51&amp;"!AK3")),IF(D52="NS-SEC 1-2",(INDIRECT(""&amp;B51&amp;"!AZ3")),IF(D52="No LT Limiting Disability",(INDIRECT(""&amp;B51&amp;"!AQ3")),IF(D52="Male",(INDIRECT(""&amp;B51&amp;"!AI3")),IF(D52="White British",(INDIRECT(""&amp;B51&amp;"!AS3")),IF(D52="Working full or part time",(INDIRECT(""&amp;B51&amp;"!BD3")),"")))))))</f>
        <v>0.12247662414758667</v>
      </c>
      <c r="G52" s="37">
        <f ca="1">(IF(D52="16-34",(INDIRECT(""&amp;B51&amp;"!G3")),IF(D52="NS-SEC 1-2",(INDIRECT(""&amp;B51&amp;"!V3")),IF(D52="No LT Limiting Disability",(INDIRECT(""&amp;B51&amp;"!M3")),IF(D52="Male",(INDIRECT(""&amp;B51&amp;"!E3")),IF(D52="White British",(INDIRECT(""&amp;B51&amp;"!O3")),IF(D52="Working full or part time",(INDIRECT(""&amp;B51&amp;"!Z3")),"")))))))</f>
        <v>0.60303692507886897</v>
      </c>
      <c r="H52" s="38">
        <f ca="1">SUM(F52:G52)</f>
        <v>0.72551354922645561</v>
      </c>
      <c r="I52" s="34"/>
      <c r="J52" s="34" t="s">
        <v>145</v>
      </c>
      <c r="K52" s="34"/>
      <c r="M52" s="34"/>
      <c r="N52" s="34"/>
      <c r="O52" s="34"/>
    </row>
    <row r="53" spans="2:15" x14ac:dyDescent="0.2">
      <c r="B53" s="34"/>
      <c r="C53" s="34"/>
      <c r="D53" s="34" t="str">
        <f>(IF(D51="Age","35-54",IF(D51="Gender","Female",IF(D51="Socio-Economic","NS-SEC 3-5",IF(D51="Disability","LT Limiting Disability",IF(D51="Ethnicity","White Other",IF(D51= "Work Status", "Unemployed",0)))))))</f>
        <v>White Other</v>
      </c>
      <c r="E53" s="37">
        <f ca="1">(IF(D53="35-54",(INDIRECT(""&amp;B51&amp;"!BP3")),IF(D53="NS-SEC 3-5",(INDIRECT(""&amp;B51&amp;"!CE3")),IF(D53="LT Limiting Disability",(INDIRECT(""&amp;B51&amp;"!BU3")),IF(D53="Female",(INDIRECT(""&amp;B51&amp;"!BN3")),IF(D53="White Other",(INDIRECT(""&amp;B51&amp;"!BX3")),IF(D53="Unemployed",(INDIRECT(""&amp;B51&amp;"!CI3")),"")))))))</f>
        <v>0.24034390770252326</v>
      </c>
      <c r="F53" s="37">
        <f ca="1">(IF(D53="35-54",(INDIRECT(""&amp;B51&amp;"!AL3")),IF(D53="NS-SEC 3-5",(INDIRECT(""&amp;B51&amp;"!BA3")),IF(D53="LT Limiting Disability",(INDIRECT(""&amp;B51&amp;"!AR3")),IF(D53="Female",(INDIRECT(""&amp;B51&amp;"!AJ3")),IF(D53="White Other",(INDIRECT(""&amp;B51&amp;"!AT3")),IF(D53="Unemployed",(INDIRECT(""&amp;B51&amp;"!BE3")),"")))))))</f>
        <v>0.12308579474122761</v>
      </c>
      <c r="G53" s="37">
        <f ca="1">(IF(D53="35-54",(INDIRECT(""&amp;B51&amp;"!H3")),IF(D53="NS-SEC 3-5",(INDIRECT(""&amp;B51&amp;"!W3")),IF(D53="LT Limiting Disability",(INDIRECT(""&amp;B51&amp;"!N3")),IF(D53="Female",(INDIRECT(""&amp;B51&amp;"!F3")),IF(D53="White Other",(INDIRECT(""&amp;B51&amp;"!P3")),IF(D53="Unemployed",(INDIRECT(""&amp;B51&amp;"!AA3")),"")))))))</f>
        <v>0.63657029755625028</v>
      </c>
      <c r="H53" s="38">
        <f t="shared" ref="H53:H54" ca="1" si="1">SUM(F53:G53)</f>
        <v>0.75965609229747788</v>
      </c>
      <c r="I53" s="34"/>
      <c r="J53" s="37">
        <f ca="1">IFERROR(IF(E52=0, NA(), IF(AND(E55="",E54="",E53&gt;0),E53-E52, IF(AND(E55="", E54&gt;0),E54-E52, IF(E55&gt;0, E55-E52,"")))),NA())</f>
        <v>9.5880599724410098E-2</v>
      </c>
      <c r="K53" s="34"/>
      <c r="M53" s="34"/>
      <c r="N53" s="34"/>
      <c r="O53" s="34"/>
    </row>
    <row r="54" spans="2:15" x14ac:dyDescent="0.2">
      <c r="B54" s="34"/>
      <c r="C54" s="34"/>
      <c r="D54" s="37" t="str">
        <f>(IF(D51="Age","55-74",IF(D51="Gender","",IF(D51="Socio-Economic","NS-SEC 6-8",IF(D51="Disability","",IF(D51="Ethnicity", "South Asian",IF(D51= "Work Status", "Retired",0)))))))</f>
        <v>South Asian</v>
      </c>
      <c r="E54" s="37">
        <f ca="1">(IF(D54="55-74",(INDIRECT(""&amp;B51&amp;"!BQ3")),IF(D54="NS-SEC 6-8",(INDIRECT(""&amp;B51&amp;"!CF3")),IF(D54="South Asian",(INDIRECT(""&amp;B51&amp;"!BY3")),IF(D54="Retired",(INDIRECT(""&amp;B51&amp;"!CJ3")),"")))))</f>
        <v>0.31119229432838003</v>
      </c>
      <c r="F54" s="37">
        <f ca="1">(IF(D54="55-74",(INDIRECT(""&amp;B51&amp;"!AM3")),IF(D54="NS-SEC 6-8",(INDIRECT(""&amp;B51&amp;"!BB3")),IF(D54="South Asian",(INDIRECT(""&amp;B51&amp;"!AU3")),IF(D54="Retired",(INDIRECT(""&amp;B51&amp;"!BF3")),"")))))</f>
        <v>0.12433155192032926</v>
      </c>
      <c r="G54" s="37">
        <f ca="1">(IF(D54="55-74",(INDIRECT(""&amp;B51&amp;"!I3")),IF(D54="NS-SEC 6-8",(INDIRECT(""&amp;B51&amp;"!X3")),IF(D54="South Asian",(INDIRECT(""&amp;B51&amp;"!Q3")),IF(D54="Retired",(INDIRECT(""&amp;B51&amp;"!AB3")),"")))))</f>
        <v>0.56447615375128979</v>
      </c>
      <c r="H54" s="38">
        <f t="shared" ca="1" si="1"/>
        <v>0.68880770567161909</v>
      </c>
      <c r="I54" s="34"/>
      <c r="J54" s="34"/>
      <c r="K54" s="34"/>
      <c r="L54" s="34"/>
      <c r="M54" s="34"/>
      <c r="N54" s="34"/>
      <c r="O54" s="34"/>
    </row>
    <row r="55" spans="2:15" x14ac:dyDescent="0.2">
      <c r="B55" s="34"/>
      <c r="C55" s="34"/>
      <c r="D55" s="34" t="str">
        <f>(IF(D51="Age","75+",IF(D51="Gender","",IF(D51="Socio-Economic","",IF(D51="Disability","",IF(D51="Ethnicity", "Black",IF(D51= "Work Status", "Looking after house/children",0)))))))</f>
        <v>Black</v>
      </c>
      <c r="E55" s="37">
        <f ca="1">(IF(D55="75+",(INDIRECT(""&amp;B51&amp;"!BR3")),IF(D55="Black",(INDIRECT(""&amp;B51&amp;"!BZ3")),IF(D55="Looking after house/children",(INDIRECT(""&amp;B51&amp;"!CK3")),""))))</f>
        <v>0.37036705049796176</v>
      </c>
      <c r="F55" s="37">
        <f ca="1">(IF(D55="75+",(INDIRECT(""&amp;B51&amp;"!AN3")),IF(D55="Black",(INDIRECT(""&amp;B51&amp;"!AV3")),IF(D55="Looking after house/children",(INDIRECT(""&amp;B51&amp;"!BG3")),""))))</f>
        <v>0</v>
      </c>
      <c r="G55" s="37">
        <f ca="1">(IF(D55="75+",(INDIRECT(""&amp;B51&amp;"!J3")),IF(D55="Black",(INDIRECT(""&amp;B51&amp;"!R3")),IF(D55="Looking after house/children",(INDIRECT(""&amp;B51&amp;"!AC3")),""))))</f>
        <v>0.50882067292621136</v>
      </c>
      <c r="H55" s="38">
        <f ca="1">SUM(F45,G45)</f>
        <v>0.53830006719517443</v>
      </c>
      <c r="I55" s="34"/>
      <c r="J55" s="34"/>
      <c r="K55" s="34"/>
      <c r="L55" s="34"/>
      <c r="M55" s="34"/>
      <c r="N55" s="34"/>
      <c r="O55" s="34"/>
    </row>
    <row r="56" spans="2:15" x14ac:dyDescent="0.2">
      <c r="B56" s="34"/>
      <c r="C56" s="34"/>
      <c r="D56" s="37" t="str">
        <f>(IF(D51="Age","",IF(D51="Gender","",IF(D51="Socio-Economic","",IF(D51="Disability","",IF(D51="Ethnicity", "Chinese",IF(D51= "Work Status", "Long term sick or disabled",0)))))))</f>
        <v>Chinese</v>
      </c>
      <c r="E56" s="37">
        <f ca="1">IF(D56="Chinese",(INDIRECT(""&amp;B51&amp;"!CA3")),IF(D56="Long term sick or disabled",(INDIRECT(""&amp;B51&amp;"!Cl3")),""))</f>
        <v>0.46304899568934182</v>
      </c>
      <c r="F56" s="37">
        <f ca="1">IF(D56="Chinese",(INDIRECT(""&amp;B51&amp;"!AW3")),IF(D56="Long term sick or disabled",(INDIRECT(""&amp;B51&amp;"!BH3")),""))</f>
        <v>0</v>
      </c>
      <c r="G56" s="37">
        <f ca="1">IF(D56="Chinese",(INDIRECT(""&amp;B51&amp;"!S3")),IF(D56="Long term sick or disabled",(INDIRECT(""&amp;B51&amp;"!AD3")),""))</f>
        <v>0.40122575806746846</v>
      </c>
      <c r="H56" s="38">
        <f t="shared" ref="H56:H58" ca="1" si="2">SUM(F46,G46)</f>
        <v>0.56517470628188027</v>
      </c>
      <c r="I56" s="34"/>
      <c r="J56" s="34"/>
      <c r="K56" s="34"/>
      <c r="M56" s="34"/>
      <c r="N56" s="34"/>
      <c r="O56" s="34"/>
    </row>
    <row r="57" spans="2:15" x14ac:dyDescent="0.2">
      <c r="B57" s="34"/>
      <c r="C57" s="34"/>
      <c r="D57" s="37" t="str">
        <f>(IF(D51="Age","",IF(D51="Gender","",IF(D51="Socio-Economic","",IF(D51="Disability","",IF(D51="Ethnicity", "Mixed",IF(D51= "Work Status", "Student",0)))))))</f>
        <v>Mixed</v>
      </c>
      <c r="E57" s="37">
        <f ca="1">IF(D57="Mixed",(INDIRECT(""&amp;B51&amp;"!CB3")),IF(D57="Student",(INDIRECT(""&amp;B51&amp;"!CM3")),""))</f>
        <v>0.26741989559591312</v>
      </c>
      <c r="F57" s="37">
        <f ca="1">IF(D57="Mixed",(INDIRECT(""&amp;B51&amp;"!AX3")),IF(D57="Student",(INDIRECT(""&amp;B51&amp;"!BI3")),""))</f>
        <v>0</v>
      </c>
      <c r="G57" s="37">
        <f ca="1">IF(D57="Mixed",(INDIRECT(""&amp;B51&amp;"!T3")),IF(D57="Student",(INDIRECT(""&amp;B51&amp;"!AE3")),""))</f>
        <v>0.66594707585075186</v>
      </c>
      <c r="H57" s="38">
        <f t="shared" ca="1" si="2"/>
        <v>0.66430434204867961</v>
      </c>
      <c r="I57" s="34"/>
      <c r="J57" s="34"/>
      <c r="K57" s="34"/>
      <c r="L57" s="34"/>
      <c r="M57" s="34"/>
      <c r="N57" s="34"/>
      <c r="O57" s="34"/>
    </row>
    <row r="58" spans="2:15" x14ac:dyDescent="0.2">
      <c r="B58" s="34"/>
      <c r="C58" s="34"/>
      <c r="D58" s="37" t="str">
        <f>(IF(D51="Age","",IF(D51="Gender","",IF(D51="Socio-Economic","",IF(D51="Disability","",IF(D51="Ethnicity", "Other",IF(D51= "Work Status", "Other Work Status",0)))))))</f>
        <v>Other</v>
      </c>
      <c r="E58" s="37">
        <f ca="1">IF(D58="Other",(INDIRECT(""&amp;B51&amp;"!CC3")),IF(D58="Other Work Status",(INDIRECT(""&amp;B51&amp;"!CN3")),""))</f>
        <v>0.41643493752234273</v>
      </c>
      <c r="F58" s="37">
        <f ca="1">IF(D58="Other",(INDIRECT(""&amp;B51&amp;"!AY3")),IF(D58="Other Work Status",(INDIRECT(""&amp;B51&amp;"!BJ3")),""))</f>
        <v>8.1783837408066912E-2</v>
      </c>
      <c r="G58" s="37">
        <f ca="1">IF(D58="Other",(INDIRECT(""&amp;B51&amp;"!U3")),IF(D58="Other Work Status",(INDIRECT(""&amp;B51&amp;"!AF3")),""))</f>
        <v>0.50178122506959022</v>
      </c>
      <c r="H58" s="38">
        <f t="shared" ca="1" si="2"/>
        <v>0.42995591049085363</v>
      </c>
      <c r="I58" s="34"/>
      <c r="J58" s="34"/>
      <c r="K58" s="34"/>
      <c r="L58" s="34"/>
      <c r="M58" s="34"/>
      <c r="N58" s="34"/>
      <c r="O58" s="34"/>
    </row>
    <row r="59" spans="2:15" x14ac:dyDescent="0.2">
      <c r="B59" s="34"/>
      <c r="C59" s="34"/>
      <c r="D59" s="34"/>
      <c r="E59" s="34"/>
      <c r="F59" s="34"/>
      <c r="G59" s="34"/>
      <c r="H59" s="34"/>
      <c r="I59" s="34"/>
      <c r="J59" s="34"/>
      <c r="K59" s="34"/>
      <c r="L59" s="34"/>
      <c r="M59" s="34"/>
      <c r="N59" s="34"/>
      <c r="O59" s="34"/>
    </row>
    <row r="60" spans="2:15" x14ac:dyDescent="0.2">
      <c r="B60" s="34"/>
      <c r="C60" s="34"/>
      <c r="D60" s="34"/>
      <c r="E60" s="34"/>
      <c r="F60" s="34"/>
      <c r="G60" s="34"/>
      <c r="H60" s="34"/>
      <c r="I60" s="34"/>
      <c r="J60" s="34"/>
      <c r="K60" s="34"/>
      <c r="L60" s="34"/>
      <c r="M60" s="34"/>
      <c r="N60" s="34"/>
      <c r="O60" s="34"/>
    </row>
    <row r="61" spans="2:15" x14ac:dyDescent="0.2">
      <c r="B61" s="34"/>
      <c r="C61" s="34"/>
      <c r="D61" s="34"/>
      <c r="E61" s="34"/>
      <c r="F61" s="34"/>
      <c r="G61" s="34"/>
      <c r="H61" s="34"/>
      <c r="I61" s="34"/>
      <c r="J61" s="34"/>
      <c r="K61" s="34"/>
      <c r="L61" s="34"/>
      <c r="M61" s="34"/>
      <c r="N61" s="34"/>
      <c r="O61" s="34"/>
    </row>
    <row r="62" spans="2:15" x14ac:dyDescent="0.2">
      <c r="B62" s="34"/>
      <c r="C62" s="34"/>
      <c r="D62" s="34"/>
      <c r="E62" s="34"/>
      <c r="F62" s="34"/>
      <c r="G62" s="34"/>
      <c r="H62" s="34"/>
      <c r="I62" s="34"/>
      <c r="J62" s="34"/>
      <c r="K62" s="34"/>
      <c r="L62" s="34"/>
      <c r="M62" s="34"/>
      <c r="N62" s="34"/>
      <c r="O62" s="34"/>
    </row>
  </sheetData>
  <sheetProtection selectLockedCells="1"/>
  <mergeCells count="5">
    <mergeCell ref="C4:J4"/>
    <mergeCell ref="K32:L32"/>
    <mergeCell ref="C23:J23"/>
    <mergeCell ref="C27:J28"/>
    <mergeCell ref="C29:J29"/>
  </mergeCells>
  <hyperlinks>
    <hyperlink ref="K32:L32" location="Selection!D6" display="Back to selection"/>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N95"/>
  <sheetViews>
    <sheetView showZeros="0" workbookViewId="0">
      <selection activeCell="C26" sqref="C26:J27"/>
    </sheetView>
  </sheetViews>
  <sheetFormatPr defaultColWidth="8.69921875" defaultRowHeight="14.25" x14ac:dyDescent="0.2"/>
  <cols>
    <col min="1" max="4" width="8.69921875" style="7"/>
    <col min="5" max="5" width="12.19921875" style="7" customWidth="1"/>
    <col min="6" max="9" width="8.69921875" style="7"/>
    <col min="10" max="10" width="12.5" style="7" customWidth="1"/>
    <col min="1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"Inactivity Across "&amp;D46&amp;" Groups in "&amp;B46&amp;" Over Time"</f>
        <v>Inactivity Across Ethnicity Groups in GM Over Time</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1" x14ac:dyDescent="0.2">
      <c r="B17" s="99"/>
      <c r="C17" s="32"/>
      <c r="D17" s="32"/>
      <c r="E17" s="32"/>
      <c r="F17" s="32"/>
      <c r="G17" s="32"/>
      <c r="H17" s="32"/>
      <c r="I17" s="32"/>
      <c r="J17" s="32"/>
      <c r="K17" s="100"/>
    </row>
    <row r="18" spans="2:11" x14ac:dyDescent="0.2">
      <c r="B18" s="99"/>
      <c r="C18" s="32"/>
      <c r="D18" s="32"/>
      <c r="E18" s="32"/>
      <c r="F18" s="32"/>
      <c r="G18" s="32"/>
      <c r="H18" s="32"/>
      <c r="I18" s="32"/>
      <c r="J18" s="32"/>
      <c r="K18" s="100"/>
    </row>
    <row r="19" spans="2:11" x14ac:dyDescent="0.2">
      <c r="B19" s="99"/>
      <c r="C19" s="32"/>
      <c r="D19" s="32"/>
      <c r="E19" s="32"/>
      <c r="F19" s="32"/>
      <c r="G19" s="32"/>
      <c r="H19" s="32"/>
      <c r="I19" s="32"/>
      <c r="J19" s="32"/>
      <c r="K19" s="100"/>
    </row>
    <row r="20" spans="2:11" x14ac:dyDescent="0.2">
      <c r="B20" s="99"/>
      <c r="C20" s="32"/>
      <c r="D20" s="32"/>
      <c r="E20" s="32"/>
      <c r="F20" s="32"/>
      <c r="G20" s="32"/>
      <c r="H20" s="32"/>
      <c r="I20" s="32"/>
      <c r="J20" s="32"/>
      <c r="K20" s="100"/>
    </row>
    <row r="21" spans="2:11" x14ac:dyDescent="0.2">
      <c r="B21" s="99"/>
      <c r="C21" s="32"/>
      <c r="D21" s="32"/>
      <c r="E21" s="32"/>
      <c r="F21" s="32"/>
      <c r="G21" s="32"/>
      <c r="H21" s="32"/>
      <c r="I21" s="32"/>
      <c r="J21" s="32"/>
      <c r="K21" s="100"/>
    </row>
    <row r="22" spans="2:11" x14ac:dyDescent="0.2">
      <c r="B22" s="99"/>
      <c r="C22" s="32"/>
      <c r="D22" s="32"/>
      <c r="E22" s="32"/>
      <c r="F22" s="32"/>
      <c r="G22" s="32"/>
      <c r="H22" s="32"/>
      <c r="I22" s="32"/>
      <c r="J22" s="32"/>
      <c r="K22" s="100"/>
    </row>
    <row r="23" spans="2:11" x14ac:dyDescent="0.2">
      <c r="B23" s="99"/>
      <c r="C23" s="221" t="s">
        <v>314</v>
      </c>
      <c r="D23" s="221"/>
      <c r="E23" s="221"/>
      <c r="F23" s="221"/>
      <c r="G23" s="221"/>
      <c r="H23" s="221"/>
      <c r="I23" s="221"/>
      <c r="J23" s="221"/>
      <c r="K23" s="100"/>
    </row>
    <row r="24" spans="2:11" ht="15" thickBot="1" x14ac:dyDescent="0.25">
      <c r="B24" s="101"/>
      <c r="C24" s="23"/>
      <c r="D24" s="23"/>
      <c r="E24" s="23"/>
      <c r="F24" s="23"/>
      <c r="G24" s="23"/>
      <c r="H24" s="23"/>
      <c r="I24" s="23"/>
      <c r="J24" s="23"/>
      <c r="K24" s="102"/>
    </row>
    <row r="25" spans="2:11" ht="15" thickTop="1" x14ac:dyDescent="0.2"/>
    <row r="26" spans="2:11" x14ac:dyDescent="0.2">
      <c r="B26" s="99"/>
      <c r="C26" s="223" t="str">
        <f ca="1">IFERROR(CONCATENATE("The inactivity ", (LOWER(D46)), " gap in ", B46, " is ", (TEXT((ABS(J41)),"0.0%")), (CONCATENATE(IF(J39&lt;0.1%, ", the gap has remained the same since baseline.", (IF(J90&gt;J41, (CONCATENATE(", this has shrunk since baseline by ", (TEXT(J41, "0.0%")))), (CONCATENATE(", this has widened since baseline by ", (TEXT(J41,"0.0%")),".")))))))), "Due to insufficient survey numbers the inequality gap could not be calculated.")</f>
        <v>Due to insufficient survey numbers the inequality gap could not be calculated.</v>
      </c>
      <c r="D26" s="223"/>
      <c r="E26" s="223"/>
      <c r="F26" s="223"/>
      <c r="G26" s="223"/>
      <c r="H26" s="223"/>
      <c r="I26" s="223"/>
      <c r="J26" s="223"/>
      <c r="K26" s="100"/>
    </row>
    <row r="27" spans="2:11" x14ac:dyDescent="0.2">
      <c r="B27" s="99"/>
      <c r="C27" s="223"/>
      <c r="D27" s="223"/>
      <c r="E27" s="223"/>
      <c r="F27" s="223"/>
      <c r="G27" s="223"/>
      <c r="H27" s="223"/>
      <c r="I27" s="223"/>
      <c r="J27" s="223"/>
      <c r="K27" s="100"/>
    </row>
    <row r="28" spans="2:11" x14ac:dyDescent="0.2">
      <c r="B28" s="99"/>
      <c r="C28" s="224" t="str">
        <f>IF(D46="Gender", IF(ISNA(J48),"",IF(OR(J48&lt;0,K55&lt;0),CONCATENATE("This gap has inverted since baseline",(IF(AND(D46="Gender",E48&lt;E47)," women are now more active than men.", " men are more active than women."))),"")),"")</f>
        <v/>
      </c>
      <c r="D28" s="224"/>
      <c r="E28" s="224"/>
      <c r="F28" s="224"/>
      <c r="G28" s="224"/>
      <c r="H28" s="224"/>
      <c r="I28" s="224"/>
      <c r="J28" s="224"/>
      <c r="K28" s="100"/>
    </row>
    <row r="29" spans="2:11" x14ac:dyDescent="0.2">
      <c r="B29" s="99"/>
      <c r="C29" s="225" t="str">
        <f>IF(NOT(OR(B46="GM", B46="England")), (CONCATENATE("In comparision the inactivity ",(LOWER(K54))," gap in GM is ",(TEXT((ABS(M55)),"0.0%")),", this has ",(IF(M60&gt;M55,(CONCATENATE("shrunk since baseline by ", (TEXT((ABS(M52)),"0.0%")),".")),(CONCATENATE("grown since baseline by  ",(TEXT((ABS(M52)),"0.0%")),".")))))), "")</f>
        <v/>
      </c>
      <c r="D29" s="225"/>
      <c r="E29" s="225"/>
      <c r="F29" s="225"/>
      <c r="G29" s="225"/>
      <c r="H29" s="225"/>
      <c r="I29" s="225"/>
      <c r="J29" s="225"/>
      <c r="K29" s="100"/>
    </row>
    <row r="30" spans="2:11" x14ac:dyDescent="0.2">
      <c r="B30" s="99"/>
      <c r="C30" s="225"/>
      <c r="D30" s="225"/>
      <c r="E30" s="225"/>
      <c r="F30" s="225"/>
      <c r="G30" s="225"/>
      <c r="H30" s="225"/>
      <c r="I30" s="225"/>
      <c r="J30" s="225"/>
      <c r="K30" s="100"/>
    </row>
    <row r="31" spans="2:11" x14ac:dyDescent="0.2">
      <c r="B31" s="99"/>
      <c r="C31" s="221"/>
      <c r="D31" s="221"/>
      <c r="E31" s="221"/>
      <c r="F31" s="221"/>
      <c r="G31" s="221"/>
      <c r="H31" s="221"/>
      <c r="I31" s="221"/>
      <c r="J31" s="221"/>
      <c r="K31" s="100"/>
    </row>
    <row r="33" spans="2:14" x14ac:dyDescent="0.2">
      <c r="K33" s="195" t="s">
        <v>147</v>
      </c>
      <c r="L33" s="195"/>
    </row>
    <row r="34" spans="2:14" x14ac:dyDescent="0.2">
      <c r="B34" s="34"/>
      <c r="C34" s="34"/>
      <c r="D34" s="34"/>
      <c r="E34" s="34"/>
      <c r="F34" s="34"/>
      <c r="G34" s="34"/>
      <c r="H34" s="34"/>
      <c r="I34" s="34"/>
      <c r="J34" s="34"/>
      <c r="K34" s="34"/>
      <c r="L34" s="34"/>
      <c r="M34" s="34"/>
      <c r="N34" s="34"/>
    </row>
    <row r="35" spans="2:14" x14ac:dyDescent="0.2">
      <c r="B35" s="34"/>
      <c r="C35" s="34"/>
      <c r="D35" s="34"/>
      <c r="E35" s="34"/>
      <c r="F35" s="34"/>
      <c r="G35" s="34"/>
      <c r="H35" s="34"/>
      <c r="I35" s="34"/>
      <c r="J35" s="34"/>
      <c r="K35" s="34"/>
      <c r="L35" s="34"/>
      <c r="M35" s="34"/>
      <c r="N35" s="34"/>
    </row>
    <row r="36" spans="2:14" x14ac:dyDescent="0.2">
      <c r="B36" s="34"/>
      <c r="C36" s="34"/>
      <c r="D36" s="34"/>
      <c r="E36" s="34"/>
      <c r="F36" s="34"/>
      <c r="G36" s="34"/>
      <c r="H36" s="34"/>
      <c r="I36" s="34"/>
      <c r="J36" s="34"/>
      <c r="K36" s="34"/>
      <c r="L36" s="34"/>
      <c r="M36" s="34"/>
      <c r="N36" s="34"/>
    </row>
    <row r="37" spans="2:14" x14ac:dyDescent="0.2">
      <c r="B37" s="34"/>
      <c r="C37" s="34"/>
      <c r="D37" s="34"/>
      <c r="E37" s="34"/>
      <c r="F37" s="34"/>
      <c r="G37" s="34"/>
      <c r="H37" s="34"/>
      <c r="I37" s="34"/>
      <c r="J37" s="34"/>
      <c r="K37" s="34"/>
      <c r="L37" s="34"/>
      <c r="M37" s="34"/>
      <c r="N37" s="34"/>
    </row>
    <row r="38" spans="2:14" x14ac:dyDescent="0.2">
      <c r="B38" s="34"/>
      <c r="C38" s="34"/>
      <c r="D38" s="34" t="s">
        <v>317</v>
      </c>
      <c r="E38" s="34"/>
      <c r="F38" s="34"/>
      <c r="G38" s="34"/>
      <c r="H38" s="34"/>
      <c r="I38" s="34"/>
      <c r="J38" s="34" t="s">
        <v>144</v>
      </c>
      <c r="K38" s="34"/>
      <c r="L38" s="34"/>
      <c r="M38" s="34"/>
      <c r="N38" s="34"/>
    </row>
    <row r="39" spans="2:14" x14ac:dyDescent="0.2">
      <c r="B39" s="34" t="str">
        <f>Selection!D7</f>
        <v>GM</v>
      </c>
      <c r="C39" s="34"/>
      <c r="D39" s="35" t="str">
        <f>Selection!D18</f>
        <v>Ethnicity</v>
      </c>
      <c r="E39" s="34" t="s">
        <v>119</v>
      </c>
      <c r="F39" s="34" t="s">
        <v>120</v>
      </c>
      <c r="G39" s="34" t="s">
        <v>121</v>
      </c>
      <c r="H39" s="34" t="s">
        <v>99</v>
      </c>
      <c r="I39" s="34"/>
      <c r="J39" s="39" t="e">
        <f ca="1">ABS(ABS(J41)-ABS(J90))</f>
        <v>#N/A</v>
      </c>
      <c r="K39" s="34"/>
      <c r="L39" s="34"/>
      <c r="M39" s="34"/>
      <c r="N39" s="34"/>
    </row>
    <row r="40" spans="2:14" x14ac:dyDescent="0.2">
      <c r="B40" s="34"/>
      <c r="C40" s="34"/>
      <c r="D40" s="34">
        <f>(IF(D39="Age","16-34",IF(D39="Gender","Male",IF(D39="Socio-Economic","NS-SEC 1-2",IF(D39="Disability","No LT Limiting Disability",0)))))</f>
        <v>0</v>
      </c>
      <c r="E40" s="37" t="str">
        <f ca="1">(IF(D40="16-34",(INDIRECT(""&amp;B39&amp;"!BO10")),IF(D40="NS-SEC 1-2",(INDIRECT(""&amp;B39&amp;"!CD10")),IF(D40="No LT Limiting Disability",(INDIRECT(""&amp;B39&amp;"!BV10")),IF(D40="Male",(INDIRECT(""&amp;B39&amp;"!BM10")),IF(D40="White British",(INDIRECT(""&amp;B39&amp;"!BW10")),IF(D40="Working full or part time",(INDIRECT(""&amp;B39&amp;"!CH10")),"")))))))</f>
        <v/>
      </c>
      <c r="F40" s="37" t="str">
        <f ca="1">(IF(D40="16-34",(INDIRECT(""&amp;B39&amp;"!AK10")),IF(D40="NS-SEC 1-2",(INDIRECT(""&amp;B39&amp;"!AZ10")),IF(D40="No LT Limiting Disability",(INDIRECT(""&amp;B39&amp;"!AQ10")),IF(D40="Male",(INDIRECT(""&amp;B39&amp;"!AI10")),IF(D40="White British",(INDIRECT(""&amp;B39&amp;"!AS10")),IF(D40="Working full or part time",(INDIRECT(""&amp;B39&amp;"!BD10")),"")))))))</f>
        <v/>
      </c>
      <c r="G40" s="37" t="str">
        <f ca="1">(IF(D40="16-34",(INDIRECT(""&amp;B39&amp;"!G10")),IF(D40="NS-SEC 1-2",(INDIRECT(""&amp;B39&amp;"!V10")),IF(D40="No LT Limiting Disability",(INDIRECT(""&amp;B39&amp;"!M10")),IF(D40="Male",(INDIRECT(""&amp;B39&amp;"!E10")),IF(D40="White British",(INDIRECT(""&amp;B39&amp;"!O10")),IF(D40="Working full or part time",(INDIRECT(""&amp;B39&amp;"!Z10")),"")))))))</f>
        <v/>
      </c>
      <c r="H40" s="38">
        <f ca="1">SUM(F40,G40)</f>
        <v>0</v>
      </c>
      <c r="I40" s="34"/>
      <c r="J40" s="34" t="s">
        <v>145</v>
      </c>
      <c r="K40" s="34"/>
      <c r="L40" s="34"/>
      <c r="M40" s="34"/>
      <c r="N40" s="34"/>
    </row>
    <row r="41" spans="2:14" x14ac:dyDescent="0.2">
      <c r="B41" s="34"/>
      <c r="C41" s="34"/>
      <c r="D41" s="34">
        <f>(IF(D39="Age","35-54",IF(D39="Gender","Female",IF(D39="Socio-Economic","NS-SEC 3-5",IF(D39="Disability","LT Limiting Disability",0)))))</f>
        <v>0</v>
      </c>
      <c r="E41" s="37" t="str">
        <f ca="1">(IF(D41="35-54",(INDIRECT(""&amp;B39&amp;"!BP10")),IF(D41="NS-SEC 3-5",(INDIRECT(""&amp;B39&amp;"!CE10")),IF(D41="LT Limiting Disability",(INDIRECT(""&amp;B39&amp;"!BU10")),IF(D41="Female",(INDIRECT(""&amp;B39&amp;"!BN10")),IF(D41="White Other",(INDIRECT(""&amp;B39&amp;"!BX10")),IF(D41="Unemployed",(INDIRECT(""&amp;B39&amp;"!CI10")),"")))))))</f>
        <v/>
      </c>
      <c r="F41" s="37" t="str">
        <f ca="1">(IF(D41="35-54",(INDIRECT(""&amp;B39&amp;"!AL10")),IF(D41="NS-SEC 3-5",(INDIRECT(""&amp;B39&amp;"!BA10")),IF(D41="LT Limiting Disability",(INDIRECT(""&amp;B39&amp;"!AR10")),IF(D41="Female",(INDIRECT(""&amp;B39&amp;"!AJ10")),IF(D41="White Other",(INDIRECT(""&amp;B39&amp;"!AT10")),IF(D41="Unemployed",(INDIRECT(""&amp;B39&amp;"!BE10")),"")))))))</f>
        <v/>
      </c>
      <c r="G41" s="37" t="str">
        <f ca="1">(IF(D41="35-54",(INDIRECT(""&amp;B39&amp;"!H10")),IF(D41="NS-SEC 3-5",(INDIRECT(""&amp;B39&amp;"!W10")),IF(D41="LT Limiting Disability",(INDIRECT(""&amp;B39&amp;"!N10")),IF(D41="Female",(INDIRECT(""&amp;B39&amp;"!F10")),IF(D41="White Other",(INDIRECT(""&amp;B39&amp;"!P10")),IF(D41="Unemployed",(INDIRECT(""&amp;B39&amp;"!AA10")),"")))))))</f>
        <v/>
      </c>
      <c r="H41" s="38">
        <f ca="1">SUM(F41,G41)</f>
        <v>0</v>
      </c>
      <c r="I41" s="34"/>
      <c r="J41" s="37" t="e">
        <f ca="1">IFERROR(IF(AND(E43="",E42="",E41&gt;0, E40&gt;0),E41-E40,IF(AND(E43="",E42&gt;0, E40&gt;0),E42-E40,IF(AND(E43&gt;0,E40&gt;0),E43-E40,NA()))), NA())</f>
        <v>#N/A</v>
      </c>
      <c r="K41" s="34"/>
      <c r="L41" s="34"/>
      <c r="M41" s="34"/>
      <c r="N41" s="34"/>
    </row>
    <row r="42" spans="2:14" x14ac:dyDescent="0.2">
      <c r="B42" s="34"/>
      <c r="C42" s="34"/>
      <c r="D42" s="34">
        <f>(IF(D39="Age","55-74",IF(D39="Gender","",IF(D39="Socio-Economic","NS-SEC 6-8",IF(D39="Disability","",0)))))</f>
        <v>0</v>
      </c>
      <c r="E42" s="37" t="str">
        <f ca="1">(IF(D42="55-74",(INDIRECT(""&amp;B39&amp;"!BQ10")),IF(D42="NS-SEC 6-8",(INDIRECT(""&amp;B39&amp;"!CF10")),"")))</f>
        <v/>
      </c>
      <c r="F42" s="37" t="str">
        <f ca="1">(IF(D42="55-74",(INDIRECT(""&amp;B39&amp;"!AM10")),IF(D42="NS-SEC 6-8",(INDIRECT(""&amp;B39&amp;"!BB10")),"")))</f>
        <v/>
      </c>
      <c r="G42" s="37" t="str">
        <f ca="1">(IF(D42="55-74",(INDIRECT(""&amp;B39&amp;"!I10")),IF(D42="NS-SEC 6-8",(INDIRECT(""&amp;B39&amp;"!X10")),"")))</f>
        <v/>
      </c>
      <c r="H42" s="38">
        <f ca="1">SUM(F42,G42)</f>
        <v>0</v>
      </c>
      <c r="I42" s="34"/>
      <c r="J42" s="34"/>
      <c r="K42" s="34"/>
      <c r="L42" s="34"/>
      <c r="M42" s="34"/>
      <c r="N42" s="34"/>
    </row>
    <row r="43" spans="2:14" x14ac:dyDescent="0.2">
      <c r="B43" s="34"/>
      <c r="C43" s="34"/>
      <c r="D43" s="34">
        <f>(IF(D39="Age","75+",IF(D39="Gender","",IF(D39="Socio-Economic","",IF(D39="Disability","",0)))))</f>
        <v>0</v>
      </c>
      <c r="E43" s="37" t="str">
        <f ca="1">(IF(D43="75+",(INDIRECT(""&amp;B39&amp;"!BR10")),""))</f>
        <v/>
      </c>
      <c r="F43" s="37" t="str">
        <f ca="1">(IF(D43="75+",(INDIRECT(""&amp;B39&amp;"!AN10")),""))</f>
        <v/>
      </c>
      <c r="G43" s="37" t="str">
        <f ca="1">(IF(D43="75+",(INDIRECT(""&amp;B39&amp;"!J10")),""))</f>
        <v/>
      </c>
      <c r="H43" s="38">
        <f ca="1">SUM(F43,G43)</f>
        <v>0</v>
      </c>
      <c r="I43" s="34"/>
      <c r="J43" s="34"/>
      <c r="K43" s="34"/>
      <c r="L43" s="34"/>
      <c r="M43" s="34"/>
      <c r="N43" s="34"/>
    </row>
    <row r="44" spans="2:14" x14ac:dyDescent="0.2">
      <c r="B44" s="34"/>
      <c r="C44" s="34"/>
      <c r="D44" s="34"/>
      <c r="E44" s="37"/>
      <c r="F44" s="37"/>
      <c r="G44" s="37"/>
      <c r="H44" s="38"/>
      <c r="I44" s="34"/>
      <c r="J44" s="34"/>
      <c r="K44" s="34"/>
      <c r="L44" s="34"/>
      <c r="M44" s="34"/>
      <c r="N44" s="34"/>
    </row>
    <row r="45" spans="2:14" x14ac:dyDescent="0.2">
      <c r="B45" s="34"/>
      <c r="C45" s="34"/>
      <c r="D45" s="34" t="s">
        <v>192</v>
      </c>
      <c r="E45" s="34"/>
      <c r="F45" s="34"/>
      <c r="G45" s="34"/>
      <c r="H45" s="34"/>
      <c r="I45" s="34"/>
      <c r="J45" s="34" t="s">
        <v>144</v>
      </c>
      <c r="K45" s="34"/>
      <c r="L45" s="34"/>
      <c r="M45" s="34"/>
      <c r="N45" s="34"/>
    </row>
    <row r="46" spans="2:14" x14ac:dyDescent="0.2">
      <c r="B46" s="34" t="str">
        <f>Selection!D7</f>
        <v>GM</v>
      </c>
      <c r="C46" s="34"/>
      <c r="D46" s="35" t="str">
        <f>Selection!D18</f>
        <v>Ethnicity</v>
      </c>
      <c r="E46" s="34" t="s">
        <v>119</v>
      </c>
      <c r="F46" s="34" t="s">
        <v>120</v>
      </c>
      <c r="G46" s="34" t="s">
        <v>121</v>
      </c>
      <c r="H46" s="34" t="s">
        <v>99</v>
      </c>
      <c r="I46" s="34"/>
      <c r="J46" s="39" t="e">
        <f ca="1">ABS(ABS(J48)-ABS(J90))</f>
        <v>#N/A</v>
      </c>
      <c r="K46" s="37"/>
      <c r="L46" s="38"/>
      <c r="M46" s="34"/>
      <c r="N46" s="34"/>
    </row>
    <row r="47" spans="2:14" x14ac:dyDescent="0.2">
      <c r="B47" s="34"/>
      <c r="C47" s="34"/>
      <c r="D47" s="34">
        <f>(IF(D46="Age","16-34",IF(D46="Gender","Male",IF(D46="Socio-Economic","NS-SEC 1-2",IF(D46="Disability","No LT Limiting Disability",0)))))</f>
        <v>0</v>
      </c>
      <c r="E47" s="37" t="str">
        <f ca="1">(IF(D47="16-34",(INDIRECT(""&amp;B46&amp;"!BO9")),IF(D47="NS-SEC 1-2",(INDIRECT(""&amp;B46&amp;"!CD9")),IF(D47="No LT Limiting Disability",(INDIRECT(""&amp;B46&amp;"!BV9")),IF(D47="Male",(INDIRECT(""&amp;B46&amp;"!BM9")),IF(D47="White British",(INDIRECT(""&amp;B46&amp;"!BW9")),IF(D47="Working full or part time",(INDIRECT(""&amp;B46&amp;"!CH9")),"")))))))</f>
        <v/>
      </c>
      <c r="F47" s="37" t="str">
        <f ca="1">(IF(D47="16-34",(INDIRECT(""&amp;B46&amp;"!AK9")),IF(D47="NS-SEC 1-2",(INDIRECT(""&amp;B46&amp;"!AZ9")),IF(D47="No LT Limiting Disability",(INDIRECT(""&amp;B46&amp;"!AQ9")),IF(D47="Male",(INDIRECT(""&amp;B46&amp;"!AI9")),IF(D47="White British",(INDIRECT(""&amp;B46&amp;"!AS9")),IF(D47="Working full or part time",(INDIRECT(""&amp;B46&amp;"!BD9")),"")))))))</f>
        <v/>
      </c>
      <c r="G47" s="37" t="str">
        <f ca="1">(IF(D47="16-34",(INDIRECT(""&amp;B46&amp;"!G9")),IF(D47="NS-SEC 1-2",(INDIRECT(""&amp;B46&amp;"!V9")),IF(D47="No LT Limiting Disability",(INDIRECT(""&amp;B46&amp;"!M9")),IF(D47="Male",(INDIRECT(""&amp;B46&amp;"!E9")),IF(D47="White British",(INDIRECT(""&amp;B46&amp;"!O9")),IF(D47="Working full or part time",(INDIRECT(""&amp;B46&amp;"!Z9")),"")))))))</f>
        <v/>
      </c>
      <c r="H47" s="38">
        <f ca="1">SUM(F47,G47)</f>
        <v>0</v>
      </c>
      <c r="I47" s="34"/>
      <c r="J47" s="34" t="s">
        <v>145</v>
      </c>
      <c r="K47" s="37"/>
      <c r="L47" s="37"/>
      <c r="M47" s="34"/>
      <c r="N47" s="34"/>
    </row>
    <row r="48" spans="2:14" x14ac:dyDescent="0.2">
      <c r="B48" s="34"/>
      <c r="C48" s="34"/>
      <c r="D48" s="34">
        <f>(IF(D46="Age","35-54",IF(D46="Gender","Female",IF(D46="Socio-Economic","NS-SEC 3-5",IF(D46="Disability","LT Limiting Disability",0)))))</f>
        <v>0</v>
      </c>
      <c r="E48" s="37" t="str">
        <f ca="1">(IF(D48="35-54",(INDIRECT(""&amp;B46&amp;"!BP9")),IF(D48="NS-SEC 3-5",(INDIRECT(""&amp;B46&amp;"!CE9")),IF(D48="LT Limiting Disability",(INDIRECT(""&amp;B46&amp;"!BU9")),IF(D48="Female",(INDIRECT(""&amp;B46&amp;"!BN9")),IF(D48="White Other",(INDIRECT(""&amp;B46&amp;"!BX9")),IF(D48="Unemployed",(INDIRECT(""&amp;B46&amp;"!CI9")),"")))))))</f>
        <v/>
      </c>
      <c r="F48" s="37" t="str">
        <f ca="1">(IF(D48="35-54",(INDIRECT(""&amp;B46&amp;"!AL9")),IF(D48="NS-SEC 3-5",(INDIRECT(""&amp;B46&amp;"!BA9")),IF(D48="LT Limiting Disability",(INDIRECT(""&amp;B46&amp;"!AR9")),IF(D48="Female",(INDIRECT(""&amp;B46&amp;"!AJ9")),IF(D48="White Other",(INDIRECT(""&amp;B46&amp;"!AT9")),IF(D48="Unemployed",(INDIRECT(""&amp;B46&amp;"!BE9")),"")))))))</f>
        <v/>
      </c>
      <c r="G48" s="37" t="str">
        <f ca="1">(IF(D48="35-54",(INDIRECT(""&amp;B46&amp;"!H9")),IF(D48="NS-SEC 3-5",(INDIRECT(""&amp;B46&amp;"!W9")),IF(D48="LT Limiting Disability",(INDIRECT(""&amp;B46&amp;"!N9")),IF(D48="Female",(INDIRECT(""&amp;B46&amp;"!F9")),IF(D48="White Other",(INDIRECT(""&amp;B46&amp;"!P9")),IF(D48="Unemployed",(INDIRECT(""&amp;B46&amp;"!AA9")),"")))))))</f>
        <v/>
      </c>
      <c r="H48" s="38">
        <f ca="1">SUM(F48,G48)</f>
        <v>0</v>
      </c>
      <c r="I48" s="34"/>
      <c r="J48" s="37" t="e">
        <f t="array" aca="1" ref="J48" ca="1">IFERROR(IF(AND(E50="",E49="",E48&gt;0, E47&gt;0),E48-E47,IF(AND(E50="",E49&gt;0, E47&gt;0),E49-E47,IF(AND(E50&gt;0,E47&gt;0),E50-E47,NA()))), NA())</f>
        <v>#N/A</v>
      </c>
      <c r="K48" s="37"/>
      <c r="L48" s="37"/>
      <c r="M48" s="34"/>
      <c r="N48" s="34"/>
    </row>
    <row r="49" spans="2:14" x14ac:dyDescent="0.2">
      <c r="B49" s="34"/>
      <c r="C49" s="34"/>
      <c r="D49" s="34">
        <f>(IF(D46="Age","55-74",IF(D46="Gender","",IF(D46="Socio-Economic","NS-SEC 6-8",IF(D46="Disability","",0)))))</f>
        <v>0</v>
      </c>
      <c r="E49" s="37" t="str">
        <f ca="1">(IF(D49="55-74",(INDIRECT(""&amp;B46&amp;"!BQ9")),IF(D49="NS-SEC 6-8",(INDIRECT(""&amp;B46&amp;"!CF9")),"")))</f>
        <v/>
      </c>
      <c r="F49" s="37" t="str">
        <f ca="1">(IF(D49="55-74",(INDIRECT(""&amp;B46&amp;"!AM9")),IF(D49="NS-SEC 6-8",(INDIRECT(""&amp;B46&amp;"!BB9")),"")))</f>
        <v/>
      </c>
      <c r="G49" s="37" t="str">
        <f ca="1">(IF(D49="55-74",(INDIRECT(""&amp;B46&amp;"!I9")),IF(D49="NS-SEC 6-8",(INDIRECT(""&amp;B46&amp;"!X9")),"")))</f>
        <v/>
      </c>
      <c r="H49" s="38">
        <f ca="1">SUM(F49,G49)</f>
        <v>0</v>
      </c>
      <c r="I49" s="34"/>
      <c r="J49" s="34"/>
      <c r="K49" s="37"/>
      <c r="L49" s="37"/>
      <c r="M49" s="34"/>
      <c r="N49" s="34"/>
    </row>
    <row r="50" spans="2:14" x14ac:dyDescent="0.2">
      <c r="B50" s="34"/>
      <c r="C50" s="34"/>
      <c r="D50" s="34">
        <f>(IF(D46="Age","75+",IF(D46="Gender","",IF(D46="Socio-Economic","",IF(D46="Disability","",0)))))</f>
        <v>0</v>
      </c>
      <c r="E50" s="37" t="str">
        <f ca="1">(IF(D50="75+",(INDIRECT(""&amp;B46&amp;"!BR9")),""))</f>
        <v/>
      </c>
      <c r="F50" s="37" t="str">
        <f ca="1">(IF(D50="75+",(INDIRECT(""&amp;B46&amp;"!AN9")),""))</f>
        <v/>
      </c>
      <c r="G50" s="37" t="str">
        <f ca="1">(IF(D50="75+",(INDIRECT(""&amp;B46&amp;"!J9")),""))</f>
        <v/>
      </c>
      <c r="H50" s="38">
        <f ca="1">SUM(F50,G50)</f>
        <v>0</v>
      </c>
      <c r="I50" s="34"/>
      <c r="J50" s="34"/>
      <c r="K50" s="37" t="e">
        <f ca="1">IF(AND(E50="",E49="",E48&gt;0),E48-E47,"")</f>
        <v>#VALUE!</v>
      </c>
      <c r="L50" s="37"/>
      <c r="M50" s="37"/>
      <c r="N50" s="37"/>
    </row>
    <row r="51" spans="2:14" x14ac:dyDescent="0.2">
      <c r="B51" s="34"/>
      <c r="C51" s="34"/>
      <c r="D51" s="34"/>
      <c r="E51" s="37"/>
      <c r="F51" s="37"/>
      <c r="G51" s="37"/>
      <c r="H51" s="38"/>
      <c r="I51" s="34"/>
      <c r="J51" s="34"/>
      <c r="K51" s="37"/>
      <c r="L51" s="37"/>
      <c r="M51" s="37"/>
      <c r="N51" s="37"/>
    </row>
    <row r="52" spans="2:14" x14ac:dyDescent="0.2">
      <c r="B52" s="34"/>
      <c r="C52" s="34"/>
      <c r="D52" s="34" t="s">
        <v>187</v>
      </c>
      <c r="E52" s="34"/>
      <c r="F52" s="34"/>
      <c r="G52" s="34"/>
      <c r="H52" s="34"/>
      <c r="I52" s="34"/>
      <c r="J52" s="34"/>
      <c r="K52" s="37"/>
      <c r="L52" s="37"/>
      <c r="M52" s="37">
        <f ca="1">M60-M55</f>
        <v>0</v>
      </c>
      <c r="N52" s="37"/>
    </row>
    <row r="53" spans="2:14" x14ac:dyDescent="0.2">
      <c r="B53" s="34" t="str">
        <f>Selection!D7</f>
        <v>GM</v>
      </c>
      <c r="C53" s="34"/>
      <c r="D53" s="35" t="str">
        <f>Selection!D18</f>
        <v>Ethnicity</v>
      </c>
      <c r="E53" s="34" t="s">
        <v>119</v>
      </c>
      <c r="F53" s="34" t="s">
        <v>120</v>
      </c>
      <c r="G53" s="34" t="s">
        <v>121</v>
      </c>
      <c r="H53" s="34" t="s">
        <v>99</v>
      </c>
      <c r="I53" s="34"/>
      <c r="J53" s="34" t="s">
        <v>108</v>
      </c>
      <c r="K53" s="34" t="s">
        <v>192</v>
      </c>
      <c r="L53" s="34"/>
      <c r="M53" s="34"/>
      <c r="N53" s="37"/>
    </row>
    <row r="54" spans="2:14" x14ac:dyDescent="0.2">
      <c r="B54" s="34"/>
      <c r="C54" s="34"/>
      <c r="D54" s="34">
        <f>(IF(D46="Age","16-34",IF(D46="Gender","Male",IF(D46="Socio-Economic","NS-SEC 1-2",IF(D46="Disability","No LT Limiting Disability",0)))))</f>
        <v>0</v>
      </c>
      <c r="E54" s="37" t="str">
        <f ca="1">(IF(D54="16-34",(INDIRECT(""&amp;B53&amp;"!BO8")),IF(D54="NS-SEC 1-2",(INDIRECT(""&amp;B53&amp;"!CD8")),IF(D54="No LT Limiting Disability",(INDIRECT(""&amp;B53&amp;"!BV8")),IF(D54="Male",(INDIRECT(""&amp;B53&amp;"!BM8")),IF(D54="White British",(INDIRECT(""&amp;B53&amp;"!BW8")),IF(D54="Working full or part time",(INDIRECT(""&amp;B53&amp;"!CH8")),"")))))))</f>
        <v/>
      </c>
      <c r="F54" s="37" t="str">
        <f ca="1">(IF(D54="16-34",(INDIRECT(""&amp;B53&amp;"!AK8")),IF(D54="NS-SEC 1-2",(INDIRECT(""&amp;B53&amp;"!AZ8")),IF(D54="No LT Limiting Disability",(INDIRECT(""&amp;B53&amp;"!AQ8")),IF(D54="Male",(INDIRECT(""&amp;B53&amp;"!AI8")),IF(D54="White British",(INDIRECT(""&amp;B53&amp;"!AS8")),IF(D54="Working full or part time",(INDIRECT(""&amp;B53&amp;"!BD8")),"")))))))</f>
        <v/>
      </c>
      <c r="G54" s="37" t="str">
        <f ca="1">(IF(D54="16-34",(INDIRECT(""&amp;B53&amp;"!G8")),IF(D54="NS-SEC 1-2",(INDIRECT(""&amp;B53&amp;"!V8")),IF(D54="No LT Limiting Disability",(INDIRECT(""&amp;B53&amp;"!M8")),IF(D54="Male",(INDIRECT(""&amp;B53&amp;"!E8")),IF(D54="White British",(INDIRECT(""&amp;B53&amp;"!O8")),IF(D54="Working full or part time",(INDIRECT(""&amp;B53&amp;"!Z8")),"")))))))</f>
        <v/>
      </c>
      <c r="H54" s="38">
        <f ca="1">SUM(F47,G47)</f>
        <v>0</v>
      </c>
      <c r="I54" s="34"/>
      <c r="K54" s="35" t="str">
        <f>Selection!D18</f>
        <v>Ethnicity</v>
      </c>
      <c r="L54" s="34" t="s">
        <v>119</v>
      </c>
      <c r="N54" s="37"/>
    </row>
    <row r="55" spans="2:14" x14ac:dyDescent="0.2">
      <c r="B55" s="34"/>
      <c r="C55" s="34"/>
      <c r="D55" s="34">
        <f>(IF(D46="Age","35-54",IF(D46="Gender","Female",IF(D46="Socio-Economic","NS-SEC 3-5",IF(D46="Disability","LT Limiting Disability",0)))))</f>
        <v>0</v>
      </c>
      <c r="E55" s="37" t="str">
        <f ca="1">(IF(D55="35-54",(INDIRECT(""&amp;B53&amp;"!BP8")),IF(D55="NS-SEC 3-5",(INDIRECT(""&amp;B53&amp;"!CE8")),IF(D55="LT Limiting Disability",(INDIRECT(""&amp;B53&amp;"!BU8")),IF(D55="Female",(INDIRECT(""&amp;B53&amp;"!BN8")),IF(D55="White Other",(INDIRECT(""&amp;B53&amp;"!BX8")),IF(D55="Unemployed",(INDIRECT(""&amp;B53&amp;"!CI8")),"")))))))</f>
        <v/>
      </c>
      <c r="F55" s="37" t="str">
        <f ca="1">(IF(D55="35-54",(INDIRECT(""&amp;B53&amp;"!AL8")),IF(D55="NS-SEC 3-5",(INDIRECT(""&amp;B53&amp;"!BA8")),IF(D55="LT Limiting Disability",(INDIRECT(""&amp;B53&amp;"!AR8")),IF(D55="Female",(INDIRECT(""&amp;B53&amp;"!AJ8")),IF(D55="White Other",(INDIRECT(""&amp;B53&amp;"!AT8")),IF(D55="Unemployed",(INDIRECT(""&amp;B53&amp;"!BE8")),"")))))))</f>
        <v/>
      </c>
      <c r="G55" s="37" t="str">
        <f ca="1">(IF(D55="35-54",(INDIRECT(""&amp;B53&amp;"!H8")),IF(D55="NS-SEC 3-5",(INDIRECT(""&amp;B53&amp;"!W8")),IF(D55="LT Limiting Disability",(INDIRECT(""&amp;B53&amp;"!N8")),IF(D55="Female",(INDIRECT(""&amp;B53&amp;"!F8")),IF(D55="White Other",(INDIRECT(""&amp;B53&amp;"!P8")),IF(D55="Unemployed",(INDIRECT(""&amp;B53&amp;"!AA8")),"")))))))</f>
        <v/>
      </c>
      <c r="H55" s="38">
        <f ca="1">SUM(F48,G48)</f>
        <v>0</v>
      </c>
      <c r="I55" s="34"/>
      <c r="K55" s="34">
        <f>(IF(K54="Age","16-34",IF(K54="Gender","Male",IF(K54="Socio-Economic","NS-SEC 1-2",IF(K54="Disability","No LT Limiting Disability",0)))))</f>
        <v>0</v>
      </c>
      <c r="L55" s="37">
        <f ca="1">(IF(K55="16-34",(INDIRECT(""&amp;J53&amp;"!BO9")),IF(K55="NS-SEC 1-2",(INDIRECT(""&amp;J53&amp;"!CD9")),IF(K55="No LT Limiting Disability",(INDIRECT(""&amp;J53&amp;"!BV9")),IF(K55="Male",(INDIRECT(""&amp;J53&amp;"!BM9")),)))))</f>
        <v>0</v>
      </c>
      <c r="M55" s="37">
        <f ca="1">L56-L55</f>
        <v>0</v>
      </c>
      <c r="N55" s="37"/>
    </row>
    <row r="56" spans="2:14" x14ac:dyDescent="0.2">
      <c r="B56" s="34"/>
      <c r="C56" s="34"/>
      <c r="D56" s="34">
        <f>(IF(D46="Age","55-74",IF(D46="Gender","",IF(D46="Socio-Economic","NS-SEC 6-8",IF(D46="Disability","",0)))))</f>
        <v>0</v>
      </c>
      <c r="E56" s="37" t="str">
        <f ca="1">(IF(D49="55-74",(INDIRECT(""&amp;B53&amp;"!BQ8")),IF(D49="NS-SEC 6-8",(INDIRECT(""&amp;B53&amp;"!CF8")),"")))</f>
        <v/>
      </c>
      <c r="F56" s="37" t="str">
        <f ca="1">(IF(D49="55-74",(INDIRECT(""&amp;B53&amp;"!AM8")),IF(D49="NS-SEC 6-8",(INDIRECT(""&amp;B53&amp;"!BB8")),"")))</f>
        <v/>
      </c>
      <c r="G56" s="37" t="str">
        <f ca="1">(IF(D49="55-74",(INDIRECT(""&amp;B53&amp;"!I8")),IF(D49="NS-SEC 6-8",(INDIRECT(""&amp;B53&amp;"!X8")),"")))</f>
        <v/>
      </c>
      <c r="H56" s="38">
        <f ca="1">SUM(F49,G49)</f>
        <v>0</v>
      </c>
      <c r="I56" s="34"/>
      <c r="K56" s="34">
        <f>(IF(K54="Age","75+",IF(K54="Gender","Female",IF(K54="Socio-Economic","NS-SEC 6-8",IF(K54="Disability","LT Limiting Disability",0)))))</f>
        <v>0</v>
      </c>
      <c r="L56" s="49">
        <f ca="1">(IF(K56="75+",(INDIRECT(""&amp;J53&amp;"!BR9")),IF(K56="NS-SEC 6-8",(INDIRECT(""&amp;J53&amp;"!CF9")),IF(K56="LT Limiting Disability",(INDIRECT(""&amp;J53&amp;"!BU9")),IF(K56="Female",(INDIRECT(""&amp;J53&amp;"!BN9")),)))))</f>
        <v>0</v>
      </c>
      <c r="M56" s="37"/>
      <c r="N56" s="37"/>
    </row>
    <row r="57" spans="2:14" x14ac:dyDescent="0.2">
      <c r="B57" s="34"/>
      <c r="C57" s="34"/>
      <c r="D57" s="34">
        <f>(IF(D46="Age","75+",IF(D46="Gender","",IF(D46="Socio-Economic","",IF(D46="Disability","",0)))))</f>
        <v>0</v>
      </c>
      <c r="E57" s="37" t="str">
        <f ca="1">(IF(D50="75+",(INDIRECT(""&amp;B53&amp;"!BR8")),""))</f>
        <v/>
      </c>
      <c r="F57" s="37" t="str">
        <f ca="1">(IF(D50="75+",(INDIRECT(""&amp;B53&amp;"!AN8")),""))</f>
        <v/>
      </c>
      <c r="G57" s="37" t="str">
        <f ca="1">(IF(D50="75+",(INDIRECT(""&amp;B53&amp;"!J8")),""))</f>
        <v/>
      </c>
      <c r="H57" s="38">
        <f ca="1">SUM(F50,G50)</f>
        <v>0</v>
      </c>
      <c r="I57" s="34"/>
      <c r="J57" s="34"/>
      <c r="K57" s="37"/>
      <c r="L57" s="37"/>
      <c r="M57" s="37"/>
      <c r="N57" s="37"/>
    </row>
    <row r="58" spans="2:14" x14ac:dyDescent="0.2">
      <c r="B58" s="34"/>
      <c r="C58" s="34"/>
      <c r="D58" s="34"/>
      <c r="E58" s="37"/>
      <c r="F58" s="37"/>
      <c r="G58" s="37"/>
      <c r="H58" s="38"/>
      <c r="I58" s="34"/>
      <c r="J58" s="34" t="s">
        <v>108</v>
      </c>
      <c r="K58" s="34" t="s">
        <v>193</v>
      </c>
      <c r="L58" s="34"/>
      <c r="M58" s="34"/>
      <c r="N58" s="37"/>
    </row>
    <row r="59" spans="2:14" x14ac:dyDescent="0.2">
      <c r="B59" s="34"/>
      <c r="C59" s="34"/>
      <c r="D59" s="34" t="s">
        <v>188</v>
      </c>
      <c r="E59" s="34"/>
      <c r="F59" s="34"/>
      <c r="G59" s="34"/>
      <c r="H59" s="34"/>
      <c r="I59" s="34"/>
      <c r="K59" s="35" t="str">
        <f>Selection!D18</f>
        <v>Ethnicity</v>
      </c>
      <c r="L59" s="34" t="s">
        <v>119</v>
      </c>
      <c r="N59" s="37"/>
    </row>
    <row r="60" spans="2:14" x14ac:dyDescent="0.2">
      <c r="B60" s="34" t="str">
        <f>Selection!D7</f>
        <v>GM</v>
      </c>
      <c r="C60" s="34"/>
      <c r="D60" s="35" t="str">
        <f>Selection!D18</f>
        <v>Ethnicity</v>
      </c>
      <c r="E60" s="34" t="s">
        <v>119</v>
      </c>
      <c r="F60" s="34" t="s">
        <v>120</v>
      </c>
      <c r="G60" s="34" t="s">
        <v>121</v>
      </c>
      <c r="H60" s="34" t="s">
        <v>99</v>
      </c>
      <c r="I60" s="34"/>
      <c r="K60" s="34">
        <f>(IF(K59="Age","16-34",IF(K59="Gender","Male",IF(K59="Socio-Economic","NS-SEC 1-2",IF(K59="Disability","No LT Limiting Disability",0)))))</f>
        <v>0</v>
      </c>
      <c r="L60" s="37">
        <f ca="1">(IF(K60="16-34",(INDIRECT(""&amp;J58&amp;"!BO3")),IF(K60="NS-SEC 1-2",(INDIRECT(""&amp;J58&amp;"!CD3")),IF(K60="No LT Limiting Disability",(INDIRECT(""&amp;J58&amp;"!BV3")),IF(K60="Male",(INDIRECT(""&amp;J58&amp;"!BM3")),)))))</f>
        <v>0</v>
      </c>
      <c r="M60" s="37">
        <f ca="1">L61-L60</f>
        <v>0</v>
      </c>
      <c r="N60" s="37"/>
    </row>
    <row r="61" spans="2:14" x14ac:dyDescent="0.2">
      <c r="B61" s="34"/>
      <c r="C61" s="34"/>
      <c r="D61" s="34">
        <f>(IF(D60="Age","16-34",IF(D60="Gender","Male",IF(D60="Socio-Economic","NS-SEC 1-2",IF(D60="Disability","No LT Limiting Disability",0)))))</f>
        <v>0</v>
      </c>
      <c r="E61" s="37" t="str">
        <f ca="1">(IF(D61="16-34",(INDIRECT(""&amp;B60&amp;"!BO7")),IF(D61="NS-SEC 1-2",(INDIRECT(""&amp;B60&amp;"!CD7")),IF(D61="No LT Limiting Disability",(INDIRECT(""&amp;B60&amp;"!BV7")),IF(D61="Male",(INDIRECT(""&amp;B60&amp;"!BM7")),IF(D61="White British",(INDIRECT(""&amp;B60&amp;"!BW7")),IF(D61="Working full or part time",(INDIRECT(""&amp;B60&amp;"!CH7")),"")))))))</f>
        <v/>
      </c>
      <c r="F61" s="37" t="str">
        <f ca="1">(IF(D61="16-34",(INDIRECT(""&amp;B60&amp;"!AK7")),IF(D61="NS-SEC 1-2",(INDIRECT(""&amp;B60&amp;"!AZ7")),IF(D61="No LT Limiting Disability",(INDIRECT(""&amp;B60&amp;"!AQ7")),IF(D61="Male",(INDIRECT(""&amp;B60&amp;"!AI7")),IF(D61="White British",(INDIRECT(""&amp;B60&amp;"!AS7")),IF(D61="Working full or part time",(INDIRECT(""&amp;B60&amp;"!BD7")),"")))))))</f>
        <v/>
      </c>
      <c r="G61" s="37" t="str">
        <f ca="1">(IF(D61="16-34",(INDIRECT(""&amp;B60&amp;"!G7")),IF(D61="NS-SEC 1-2",(INDIRECT(""&amp;B60&amp;"!V7")),IF(D61="No LT Limiting Disability",(INDIRECT(""&amp;B60&amp;"!M7")),IF(D61="Male",(INDIRECT(""&amp;B60&amp;"!E7")),IF(D61="White British",(INDIRECT(""&amp;B60&amp;"!O7")),IF(D61="Working full or part time",(INDIRECT(""&amp;B60&amp;"!Z7")),"")))))))</f>
        <v/>
      </c>
      <c r="H61" s="38">
        <f ca="1">SUM(F47,G47)</f>
        <v>0</v>
      </c>
      <c r="I61" s="34"/>
      <c r="K61" s="34">
        <f>(IF(K59="Age","75+",IF(K59="Gender","Female",IF(K59="Socio-Economic","NS-SEC 6-8",IF(K59="Disability","LT Limiting Disability",0)))))</f>
        <v>0</v>
      </c>
      <c r="L61" s="49">
        <f ca="1">(IF(K61="75+",(INDIRECT(""&amp;J58&amp;"!BR3")),IF(K61="NS-SEC 6-8",(INDIRECT(""&amp;J58&amp;"!CF3")),IF(K61="LT Limiting Disability",(INDIRECT(""&amp;J58&amp;"!BU3")),IF(K61="Female",(INDIRECT(""&amp;J58&amp;"!BN3")),)))))</f>
        <v>0</v>
      </c>
      <c r="M61" s="37"/>
      <c r="N61" s="37"/>
    </row>
    <row r="62" spans="2:14" x14ac:dyDescent="0.2">
      <c r="B62" s="34"/>
      <c r="C62" s="34"/>
      <c r="D62" s="34">
        <f>(IF(D60="Age","35-54",IF(D60="Gender","Female",IF(D60="Socio-Economic","NS-SEC 3-5",IF(D60="Disability","LT Limiting Disability",0)))))</f>
        <v>0</v>
      </c>
      <c r="E62" s="37" t="str">
        <f ca="1">(IF(D62="35-54",(INDIRECT(""&amp;B60&amp;"!BP7")),IF(D62="NS-SEC 3-5",(INDIRECT(""&amp;B60&amp;"!CE7")),IF(D62="LT Limiting Disability",(INDIRECT(""&amp;B60&amp;"!BU7")),IF(D62="Female",(INDIRECT(""&amp;B60&amp;"!BN7")),IF(D62="White Other",(INDIRECT(""&amp;B60&amp;"!BX7")),IF(D62="Unemployed",(INDIRECT(""&amp;B60&amp;"!CI7")),"")))))))</f>
        <v/>
      </c>
      <c r="F62" s="37" t="str">
        <f ca="1">(IF(D62="35-54",(INDIRECT(""&amp;B60&amp;"!AL7")),IF(D62="NS-SEC 3-5",(INDIRECT(""&amp;B60&amp;"!BA7")),IF(D62="LT Limiting Disability",(INDIRECT(""&amp;B60&amp;"!AR7")),IF(D62="Female",(INDIRECT(""&amp;B60&amp;"!AJ7")),IF(D62="White Other",(INDIRECT(""&amp;B60&amp;"!AT7")),IF(D62="Unemployed",(INDIRECT(""&amp;B60&amp;"!BE7")),"")))))))</f>
        <v/>
      </c>
      <c r="G62" s="37" t="str">
        <f ca="1">(IF(D62="35-54",(INDIRECT(""&amp;B60&amp;"!H7")),IF(D62="NS-SEC 3-5",(INDIRECT(""&amp;B60&amp;"!W7")),IF(D62="LT Limiting Disability",(INDIRECT(""&amp;B60&amp;"!N7")),IF(D62="Female",(INDIRECT(""&amp;B60&amp;"!F7")),IF(D62="White Other",(INDIRECT(""&amp;B60&amp;"!P7")),IF(D62="Unemployed",(INDIRECT(""&amp;B60&amp;"!AA7")),"")))))))</f>
        <v/>
      </c>
      <c r="H62" s="38">
        <f ca="1">SUM(F48,G48)</f>
        <v>0</v>
      </c>
      <c r="I62" s="34"/>
      <c r="J62" s="34"/>
      <c r="K62" s="37"/>
      <c r="L62" s="37"/>
      <c r="M62" s="37"/>
      <c r="N62" s="37"/>
    </row>
    <row r="63" spans="2:14" x14ac:dyDescent="0.2">
      <c r="B63" s="34"/>
      <c r="C63" s="34"/>
      <c r="D63" s="34">
        <f>(IF(D46="Age","55-74",IF(D46="Gender","",IF(D46="Socio-Economic","NS-SEC 6-8",IF(D46="Disability","",0)))))</f>
        <v>0</v>
      </c>
      <c r="E63" s="37" t="str">
        <f ca="1">(IF(D49="55-74",(INDIRECT(""&amp;B60&amp;"!BQ7")),IF(D49="NS-SEC 6-8",(INDIRECT(""&amp;B60&amp;"!CF7")),"")))</f>
        <v/>
      </c>
      <c r="F63" s="37" t="str">
        <f ca="1">(IF(D49="55-74",(INDIRECT(""&amp;B60&amp;"!AM7")),IF(D49="NS-SEC 6-8",(INDIRECT(""&amp;B60&amp;"!BB7")),"")))</f>
        <v/>
      </c>
      <c r="G63" s="37" t="str">
        <f ca="1">(IF(D49="55-74",(INDIRECT(""&amp;B60&amp;"!I7")),IF(D49="NS-SEC 6-8",(INDIRECT(""&amp;B60&amp;"!X7")),"")))</f>
        <v/>
      </c>
      <c r="H63" s="38">
        <f ca="1">SUM(F49,G49)</f>
        <v>0</v>
      </c>
      <c r="I63" s="34"/>
      <c r="J63" s="34"/>
      <c r="K63" s="37"/>
      <c r="L63" s="37"/>
      <c r="M63" s="37"/>
      <c r="N63" s="37"/>
    </row>
    <row r="64" spans="2:14" x14ac:dyDescent="0.2">
      <c r="B64" s="34"/>
      <c r="C64" s="34"/>
      <c r="D64" s="34">
        <f>(IF(D46="Age","75+",IF(D46="Gender","",IF(D46="Socio-Economic","",IF(D46="Disability","",0)))))</f>
        <v>0</v>
      </c>
      <c r="E64" s="37" t="str">
        <f ca="1">(IF(D50="75+",(INDIRECT(""&amp;B60&amp;"!BR7")),""))</f>
        <v/>
      </c>
      <c r="F64" s="37" t="str">
        <f ca="1">(IF(D50="75+",(INDIRECT(""&amp;B60&amp;"!AN7")),""))</f>
        <v/>
      </c>
      <c r="G64" s="37" t="str">
        <f ca="1">(IF(D50="75+",(INDIRECT(""&amp;B60&amp;"!J7")),""))</f>
        <v/>
      </c>
      <c r="H64" s="38">
        <f ca="1">SUM(F50,G50)</f>
        <v>0</v>
      </c>
      <c r="I64" s="34"/>
      <c r="J64" s="34"/>
      <c r="K64" s="37"/>
      <c r="L64" s="37"/>
      <c r="M64" s="37"/>
      <c r="N64" s="37"/>
    </row>
    <row r="65" spans="2:14" x14ac:dyDescent="0.2">
      <c r="B65" s="34"/>
      <c r="C65" s="34"/>
      <c r="D65" s="34"/>
      <c r="E65" s="37"/>
      <c r="F65" s="37"/>
      <c r="G65" s="37"/>
      <c r="H65" s="38"/>
      <c r="I65" s="34"/>
      <c r="J65" s="34"/>
      <c r="K65" s="37"/>
      <c r="L65" s="37"/>
      <c r="M65" s="37"/>
      <c r="N65" s="37"/>
    </row>
    <row r="66" spans="2:14" x14ac:dyDescent="0.2">
      <c r="B66" s="34"/>
      <c r="C66" s="34"/>
      <c r="D66" s="34" t="s">
        <v>189</v>
      </c>
      <c r="E66" s="34"/>
      <c r="F66" s="34"/>
      <c r="G66" s="34"/>
      <c r="H66" s="34"/>
      <c r="I66" s="34"/>
      <c r="J66" s="34"/>
      <c r="K66" s="37"/>
      <c r="L66" s="37"/>
      <c r="M66" s="37"/>
      <c r="N66" s="37"/>
    </row>
    <row r="67" spans="2:14" x14ac:dyDescent="0.2">
      <c r="B67" s="34" t="str">
        <f>Selection!D7</f>
        <v>GM</v>
      </c>
      <c r="C67" s="34"/>
      <c r="D67" s="35" t="str">
        <f>Selection!D18</f>
        <v>Ethnicity</v>
      </c>
      <c r="E67" s="34" t="s">
        <v>119</v>
      </c>
      <c r="F67" s="34" t="s">
        <v>120</v>
      </c>
      <c r="G67" s="34" t="s">
        <v>121</v>
      </c>
      <c r="H67" s="34" t="s">
        <v>99</v>
      </c>
      <c r="I67" s="34"/>
      <c r="J67" s="34"/>
      <c r="K67" s="37"/>
      <c r="L67" s="37"/>
      <c r="M67" s="37"/>
      <c r="N67" s="37"/>
    </row>
    <row r="68" spans="2:14" x14ac:dyDescent="0.2">
      <c r="B68" s="34"/>
      <c r="C68" s="34"/>
      <c r="D68" s="34">
        <f>(IF(D67="Age","16-34",IF(D67="Gender","Male",IF(D67="Socio-Economic","NS-SEC 1-2",IF(D67="Disability","No LT Limiting Disability",0)))))</f>
        <v>0</v>
      </c>
      <c r="E68" s="37">
        <f ca="1">(IF(D47="16-34",(INDIRECT(""&amp;B67&amp;"!BO6")),IF(D47="NS-SEC 1-2",(INDIRECT(""&amp;B67&amp;"!CD6")),IF(D47="No LT Limiting Disability",(INDIRECT(""&amp;B46&amp;"!BV6")),IF(D47="Male",(INDIRECT(""&amp;B67&amp;"!BM6")),)))))</f>
        <v>0</v>
      </c>
      <c r="F68" s="37">
        <f ca="1">(IF(D47="16-34",(INDIRECT(""&amp;B67&amp;"!AK6")),IF(D47="NS-SEC 1-2",(INDIRECT(""&amp;B67&amp;"!AZ6")),IF(D47="No LT Limiting Disability",(INDIRECT(""&amp;B46&amp;"!AQ6")),IF(D47="Male",(INDIRECT(""&amp;B67&amp;"!AI6")),)))))</f>
        <v>0</v>
      </c>
      <c r="G68" s="37">
        <f ca="1">(IF(D47="16-34",(INDIRECT(""&amp;B67&amp;"!G6")),IF(D47="NS-SEC 1-2",(INDIRECT(""&amp;B67&amp;"!V6")),IF(D47="No LT Limiting Disability",(INDIRECT(""&amp;B46&amp;"!M6")),IF(D47="Male",(INDIRECT(""&amp;B67&amp;"!E6")),)))))</f>
        <v>0</v>
      </c>
      <c r="H68" s="38">
        <f ca="1">SUM(F47,G47)</f>
        <v>0</v>
      </c>
      <c r="I68" s="34"/>
      <c r="J68" s="34"/>
      <c r="K68" s="37"/>
      <c r="L68" s="37"/>
      <c r="M68" s="37"/>
      <c r="N68" s="37"/>
    </row>
    <row r="69" spans="2:14" x14ac:dyDescent="0.2">
      <c r="B69" s="34"/>
      <c r="C69" s="34"/>
      <c r="D69" s="34">
        <f>(IF(D67="Age","35-54",IF(D67="Gender","Female",IF(D67="Socio-Economic","NS-SEC 3-5",IF(D67="Disability","LT Limiting Disability",0)))))</f>
        <v>0</v>
      </c>
      <c r="E69" s="37">
        <f ca="1">(IF(D48="35-54",(INDIRECT(""&amp;B67&amp;"!BP6")),IF(D48="NS-SEC 3-5",(INDIRECT(""&amp;B67&amp;"!CE6")),IF(D48="LT Limiting Disability",(INDIRECT(""&amp;B46&amp;"!BU6")),IF(D48="Female",(INDIRECT(""&amp;B67&amp;"!BN6")),)))))</f>
        <v>0</v>
      </c>
      <c r="F69" s="37">
        <f ca="1">(IF(D48="35-54",(INDIRECT(""&amp;B67&amp;"!AL6")),IF(D48="NS-SEC 3-5",(INDIRECT(""&amp;B67&amp;"!BA6")),IF(D48="LT Limiting Disability",(INDIRECT(""&amp;B46&amp;"!AR6")),IF(D48="Female",(INDIRECT(""&amp;B67&amp;"!AJ6")),)))))</f>
        <v>0</v>
      </c>
      <c r="G69" s="37">
        <f ca="1">(IF(D48="35-54",(INDIRECT(""&amp;B67&amp;"!H6")),IF(D48="NS-SEC 3-5",(INDIRECT(""&amp;B67&amp;"!W6")),IF(D48="LT Limiting Disability",(INDIRECT(""&amp;B46&amp;"!N6")),IF(D48="Female",(INDIRECT(""&amp;B67&amp;"!F6")),)))))</f>
        <v>0</v>
      </c>
      <c r="H69" s="38">
        <f ca="1">SUM(F48,G48)</f>
        <v>0</v>
      </c>
      <c r="I69" s="34"/>
      <c r="J69" s="34"/>
      <c r="K69" s="37"/>
      <c r="L69" s="37"/>
      <c r="M69" s="37"/>
      <c r="N69" s="37"/>
    </row>
    <row r="70" spans="2:14" x14ac:dyDescent="0.2">
      <c r="B70" s="34"/>
      <c r="C70" s="34"/>
      <c r="D70" s="34">
        <f>(IF(D46="Age","55-74",IF(D46="Gender","",IF(D46="Socio-Economic","NS-SEC 6-8",IF(D46="Disability","",0)))))</f>
        <v>0</v>
      </c>
      <c r="E70" s="37" t="str">
        <f ca="1">(IF(D49="55-74",(INDIRECT(""&amp;B67&amp;"!BQ6")),IF(D49="NS-SEC 6-8",(INDIRECT(""&amp;B67&amp;"!CF6")),"")))</f>
        <v/>
      </c>
      <c r="F70" s="37" t="str">
        <f ca="1">(IF(D49="55-74",(INDIRECT(""&amp;B67&amp;"!AM6")),IF(D49="NS-SEC 6-8",(INDIRECT(""&amp;B67&amp;"!BB6")),"")))</f>
        <v/>
      </c>
      <c r="G70" s="37" t="str">
        <f ca="1">(IF(D49="55-74",(INDIRECT(""&amp;B67&amp;"!I6")),IF(D49="NS-SEC 6-8",(INDIRECT(""&amp;B67&amp;"!X6")),"")))</f>
        <v/>
      </c>
      <c r="H70" s="38">
        <f ca="1">SUM(F49,G49)</f>
        <v>0</v>
      </c>
      <c r="I70" s="34"/>
      <c r="J70" s="34"/>
      <c r="K70" s="37"/>
      <c r="L70" s="37"/>
      <c r="M70" s="37"/>
      <c r="N70" s="37"/>
    </row>
    <row r="71" spans="2:14" x14ac:dyDescent="0.2">
      <c r="B71" s="34"/>
      <c r="C71" s="34"/>
      <c r="D71" s="34">
        <f>(IF(D46="Age","75+",IF(D46="Gender","",IF(D46="Socio-Economic","",IF(D46="Disability","",0)))))</f>
        <v>0</v>
      </c>
      <c r="E71" s="37" t="str">
        <f ca="1">(IF(D50="75+",(INDIRECT(""&amp;B67&amp;"!BR6")),""))</f>
        <v/>
      </c>
      <c r="F71" s="37" t="str">
        <f ca="1">(IF(D50="75+",(INDIRECT(""&amp;B67&amp;"!AN6")),""))</f>
        <v/>
      </c>
      <c r="G71" s="37" t="str">
        <f ca="1">(IF(D50="75+",(INDIRECT(""&amp;B67&amp;"!J6")),""))</f>
        <v/>
      </c>
      <c r="H71" s="38">
        <f ca="1">SUM(F50,G50)</f>
        <v>0</v>
      </c>
      <c r="I71" s="34"/>
      <c r="J71" s="34"/>
      <c r="K71" s="37"/>
      <c r="L71" s="37"/>
      <c r="M71" s="37"/>
      <c r="N71" s="37"/>
    </row>
    <row r="72" spans="2:14" x14ac:dyDescent="0.2">
      <c r="B72" s="34"/>
      <c r="C72" s="34"/>
      <c r="D72" s="34"/>
      <c r="E72" s="37"/>
      <c r="F72" s="37"/>
      <c r="G72" s="37"/>
      <c r="H72" s="38"/>
      <c r="I72" s="34"/>
      <c r="J72" s="34"/>
      <c r="K72" s="37"/>
      <c r="L72" s="37"/>
      <c r="M72" s="37"/>
      <c r="N72" s="37"/>
    </row>
    <row r="73" spans="2:14" x14ac:dyDescent="0.2">
      <c r="B73" s="34"/>
      <c r="C73" s="34"/>
      <c r="D73" s="34" t="s">
        <v>190</v>
      </c>
      <c r="E73" s="34"/>
      <c r="F73" s="34"/>
      <c r="G73" s="34"/>
      <c r="H73" s="34"/>
      <c r="I73" s="34"/>
      <c r="J73" s="34"/>
      <c r="K73" s="37"/>
      <c r="L73" s="37"/>
      <c r="M73" s="37"/>
      <c r="N73" s="37"/>
    </row>
    <row r="74" spans="2:14" x14ac:dyDescent="0.2">
      <c r="B74" s="34" t="str">
        <f>Selection!D7</f>
        <v>GM</v>
      </c>
      <c r="C74" s="34"/>
      <c r="D74" s="35" t="str">
        <f>Selection!D18</f>
        <v>Ethnicity</v>
      </c>
      <c r="E74" s="34" t="s">
        <v>119</v>
      </c>
      <c r="F74" s="34" t="s">
        <v>120</v>
      </c>
      <c r="G74" s="34" t="s">
        <v>121</v>
      </c>
      <c r="H74" s="34" t="s">
        <v>99</v>
      </c>
      <c r="I74" s="34"/>
      <c r="J74" s="34"/>
      <c r="K74" s="37"/>
      <c r="L74" s="37"/>
      <c r="M74" s="37"/>
      <c r="N74" s="37"/>
    </row>
    <row r="75" spans="2:14" x14ac:dyDescent="0.2">
      <c r="B75" s="34"/>
      <c r="C75" s="34"/>
      <c r="D75" s="34">
        <f>(IF(D74="Age","16-34",IF(D74="Gender","Male",IF(D74="Socio-Economic","NS-SEC 1-2",IF(D74="Disability","No LT Limiting Disability",0)))))</f>
        <v>0</v>
      </c>
      <c r="E75" s="37">
        <f ca="1">(IF(D47="16-34",(INDIRECT(""&amp;B74&amp;"!BO5")),IF(D47="NS-SEC 1-2",(INDIRECT(""&amp;B74&amp;"!CD5")),IF(D47="No LT Limiting Disability",(INDIRECT(""&amp;B46&amp;"!BV5")),IF(D47="Male",(INDIRECT(""&amp;B74&amp;"!BM5")),)))))</f>
        <v>0</v>
      </c>
      <c r="F75" s="37">
        <f ca="1">(IF(D47="16-34",(INDIRECT(""&amp;B74&amp;"!AK5")),IF(D47="NS-SEC 1-2",(INDIRECT(""&amp;B74&amp;"!AZ5")),IF(D47="No LT Limiting Disability",(INDIRECT(""&amp;B46&amp;"!AQ5")),IF(D47="Male",(INDIRECT(""&amp;B74&amp;"!AI5")),)))))</f>
        <v>0</v>
      </c>
      <c r="G75" s="37">
        <f ca="1">(IF(D47="16-34",(INDIRECT(""&amp;B74&amp;"!G5")),IF(D47="NS-SEC 1-2",(INDIRECT(""&amp;B74&amp;"!V5")),IF(D47="No LT Limiting Disability",(INDIRECT(""&amp;B46&amp;"!M5")),IF(D47="Male",(INDIRECT(""&amp;B74&amp;"!E5")),)))))</f>
        <v>0</v>
      </c>
      <c r="H75" s="38">
        <f ca="1">SUM(F47,G47)</f>
        <v>0</v>
      </c>
      <c r="I75" s="34"/>
      <c r="J75" s="34"/>
      <c r="K75" s="37"/>
      <c r="L75" s="37"/>
      <c r="M75" s="37"/>
      <c r="N75" s="37"/>
    </row>
    <row r="76" spans="2:14" x14ac:dyDescent="0.2">
      <c r="B76" s="34"/>
      <c r="C76" s="34"/>
      <c r="D76" s="34">
        <f>(IF(D74="Age","35-54",IF(D74="Gender","Female",IF(D74="Socio-Economic","NS-SEC 3-5",IF(D74="Disability","LT Limiting Disability",0)))))</f>
        <v>0</v>
      </c>
      <c r="E76" s="37">
        <f ca="1">(IF(D48="35-54",(INDIRECT(""&amp;B74&amp;"!BP5")),IF(D48="NS-SEC 3-5",(INDIRECT(""&amp;B74&amp;"!CE5")),IF(D48="LT Limiting Disability",(INDIRECT(""&amp;B46&amp;"!BU5")),IF(D48="Female",(INDIRECT(""&amp;B74&amp;"!BN5")),)))))</f>
        <v>0</v>
      </c>
      <c r="F76" s="37">
        <f ca="1">(IF(D48="35-54",(INDIRECT(""&amp;B74&amp;"!AL5")),IF(D48="NS-SEC 3-5",(INDIRECT(""&amp;B74&amp;"!BA5")),IF(D48="LT Limiting Disability",(INDIRECT(""&amp;B46&amp;"!AR5")),IF(D48="Female",(INDIRECT(""&amp;B74&amp;"!AJ5")),)))))</f>
        <v>0</v>
      </c>
      <c r="G76" s="37">
        <f ca="1">(IF(D48="35-54",(INDIRECT(""&amp;B74&amp;"!H5")),IF(D48="NS-SEC 3-5",(INDIRECT(""&amp;B74&amp;"!W5")),IF(D48="LT Limiting Disability",(INDIRECT(""&amp;B46&amp;"!N5")),IF(D48="Female",(INDIRECT(""&amp;B74&amp;"!F5")),)))))</f>
        <v>0</v>
      </c>
      <c r="H76" s="38">
        <f ca="1">SUM(F48,G48)</f>
        <v>0</v>
      </c>
      <c r="I76" s="34"/>
      <c r="J76" s="34"/>
      <c r="K76" s="37"/>
      <c r="L76" s="37"/>
      <c r="M76" s="37"/>
      <c r="N76" s="37"/>
    </row>
    <row r="77" spans="2:14" x14ac:dyDescent="0.2">
      <c r="B77" s="34"/>
      <c r="C77" s="34"/>
      <c r="D77" s="34">
        <f>(IF(D46="Age","55-74",IF(D46="Gender","",IF(D46="Socio-Economic","NS-SEC 6-8",IF(D46="Disability","",0)))))</f>
        <v>0</v>
      </c>
      <c r="E77" s="37" t="str">
        <f ca="1">(IF(D49="55-74",(INDIRECT(""&amp;B74&amp;"!BQ5")),IF(D49="NS-SEC 6-8",(INDIRECT(""&amp;B74&amp;"!CF5")),"")))</f>
        <v/>
      </c>
      <c r="F77" s="37" t="str">
        <f ca="1">(IF(D49="55-74",(INDIRECT(""&amp;B74&amp;"!AM5")),IF(D49="NS-SEC 6-8",(INDIRECT(""&amp;B74&amp;"!BB5")),"")))</f>
        <v/>
      </c>
      <c r="G77" s="37" t="str">
        <f ca="1">(IF(D49="55-74",(INDIRECT(""&amp;B74&amp;"!I5")),IF(D49="NS-SEC 6-8",(INDIRECT(""&amp;B74&amp;"!X5")),"")))</f>
        <v/>
      </c>
      <c r="H77" s="38">
        <f ca="1">SUM(F49,G49)</f>
        <v>0</v>
      </c>
      <c r="I77" s="34"/>
      <c r="J77" s="34"/>
      <c r="K77" s="37"/>
      <c r="L77" s="37"/>
      <c r="M77" s="37"/>
      <c r="N77" s="37"/>
    </row>
    <row r="78" spans="2:14" x14ac:dyDescent="0.2">
      <c r="B78" s="34"/>
      <c r="C78" s="34"/>
      <c r="D78" s="34">
        <f>(IF(D46="Age","75+",IF(D46="Gender","",IF(D46="Socio-Economic","",IF(D46="Disability","",0)))))</f>
        <v>0</v>
      </c>
      <c r="E78" s="37" t="str">
        <f ca="1">(IF(D50="75+",(INDIRECT(""&amp;B74&amp;"!BR5")),""))</f>
        <v/>
      </c>
      <c r="F78" s="37" t="str">
        <f ca="1">(IF(D50="75+",(INDIRECT(""&amp;B74&amp;"!AN5")),""))</f>
        <v/>
      </c>
      <c r="G78" s="37" t="str">
        <f ca="1">(IF(D50="75+",(INDIRECT(""&amp;B74&amp;"!J5")),""))</f>
        <v/>
      </c>
      <c r="H78" s="38">
        <f ca="1">SUM(F50,G50)</f>
        <v>0</v>
      </c>
      <c r="I78" s="34"/>
      <c r="J78" s="34"/>
      <c r="K78" s="37"/>
      <c r="L78" s="37"/>
      <c r="M78" s="37"/>
      <c r="N78" s="37"/>
    </row>
    <row r="79" spans="2:14" x14ac:dyDescent="0.2">
      <c r="B79" s="34"/>
      <c r="C79" s="34"/>
      <c r="D79" s="34"/>
      <c r="E79" s="37"/>
      <c r="F79" s="37"/>
      <c r="G79" s="37"/>
      <c r="H79" s="38"/>
      <c r="I79" s="34"/>
      <c r="J79" s="34"/>
      <c r="K79" s="37"/>
      <c r="L79" s="37"/>
      <c r="M79" s="37"/>
      <c r="N79" s="37"/>
    </row>
    <row r="80" spans="2:14" x14ac:dyDescent="0.2">
      <c r="B80" s="34"/>
      <c r="C80" s="34"/>
      <c r="D80" s="34" t="s">
        <v>191</v>
      </c>
      <c r="E80" s="34"/>
      <c r="F80" s="34"/>
      <c r="G80" s="34"/>
      <c r="H80" s="34"/>
      <c r="I80" s="34"/>
      <c r="J80" s="34"/>
      <c r="K80" s="37"/>
      <c r="L80" s="37"/>
      <c r="M80" s="37"/>
      <c r="N80" s="37"/>
    </row>
    <row r="81" spans="2:14" x14ac:dyDescent="0.2">
      <c r="B81" s="34" t="str">
        <f>Selection!D7</f>
        <v>GM</v>
      </c>
      <c r="C81" s="34"/>
      <c r="D81" s="35" t="str">
        <f>Selection!D18</f>
        <v>Ethnicity</v>
      </c>
      <c r="E81" s="34" t="s">
        <v>119</v>
      </c>
      <c r="F81" s="34" t="s">
        <v>120</v>
      </c>
      <c r="G81" s="34" t="s">
        <v>121</v>
      </c>
      <c r="H81" s="34" t="s">
        <v>99</v>
      </c>
      <c r="I81" s="34"/>
      <c r="J81" s="34"/>
      <c r="K81" s="37"/>
      <c r="L81" s="37"/>
      <c r="M81" s="37"/>
      <c r="N81" s="37"/>
    </row>
    <row r="82" spans="2:14" x14ac:dyDescent="0.2">
      <c r="B82" s="34"/>
      <c r="C82" s="34"/>
      <c r="D82" s="34">
        <f>(IF(D81="Age","16-34",IF(D81="Gender","Male",IF(D81="Socio-Economic","NS-SEC 1-2",IF(D81="Disability","No LT Limiting Disability",0)))))</f>
        <v>0</v>
      </c>
      <c r="E82" s="37">
        <f ca="1">(IF(D47="16-34",(INDIRECT(""&amp;B81&amp;"!BO4")),IF(D47="NS-SEC 1-2",(INDIRECT(""&amp;B81&amp;"!CD4")),IF(D47="No LT Limiting Disability",(INDIRECT(""&amp;B46&amp;"!BV4")),IF(D47="Male",(INDIRECT(""&amp;B81&amp;"!BM4")),)))))</f>
        <v>0</v>
      </c>
      <c r="F82" s="37">
        <f ca="1">(IF(D47="16-34",(INDIRECT(""&amp;B81&amp;"!AK4")),IF(D47="NS-SEC 1-2",(INDIRECT(""&amp;B81&amp;"!AZ4")),IF(D47="No LT Limiting Disability",(INDIRECT(""&amp;B46&amp;"!AQ4")),IF(D47="Male",(INDIRECT(""&amp;B81&amp;"!AI4")),)))))</f>
        <v>0</v>
      </c>
      <c r="G82" s="37">
        <f ca="1">(IF(D47="16-34",(INDIRECT(""&amp;B81&amp;"!G4")),IF(D47="NS-SEC 1-2",(INDIRECT(""&amp;B81&amp;"!V4")),IF(D47="No LT Limiting Disability",(INDIRECT(""&amp;B46&amp;"!M4")),IF(D47="Male",(INDIRECT(""&amp;B81&amp;"!E4")),)))))</f>
        <v>0</v>
      </c>
      <c r="H82" s="38">
        <f ca="1">SUM(F47,G47)</f>
        <v>0</v>
      </c>
      <c r="I82" s="34"/>
      <c r="J82" s="34"/>
      <c r="K82" s="37"/>
      <c r="L82" s="37"/>
      <c r="M82" s="37"/>
      <c r="N82" s="37"/>
    </row>
    <row r="83" spans="2:14" x14ac:dyDescent="0.2">
      <c r="B83" s="34"/>
      <c r="C83" s="34"/>
      <c r="D83" s="34">
        <f>(IF(D81="Age","35-54",IF(D81="Gender","Female",IF(D81="Socio-Economic","NS-SEC 3-5",IF(D81="Disability","LT Limiting Disability",0)))))</f>
        <v>0</v>
      </c>
      <c r="E83" s="37">
        <f ca="1">(IF(D48="35-54",(INDIRECT(""&amp;B81&amp;"!BP4")),IF(D48="NS-SEC 3-5",(INDIRECT(""&amp;B81&amp;"!CE4")),IF(D48="LT Limiting Disability",(INDIRECT(""&amp;B46&amp;"!BU4")),IF(D48="Female",(INDIRECT(""&amp;B81&amp;"!BN4")),)))))</f>
        <v>0</v>
      </c>
      <c r="F83" s="37">
        <f ca="1">(IF(D48="35-54",(INDIRECT(""&amp;B81&amp;"!AL4")),IF(D48="NS-SEC 3-5",(INDIRECT(""&amp;B81&amp;"!BA4")),IF(D48="LT Limiting Disability",(INDIRECT(""&amp;B46&amp;"!AR4")),IF(D48="Female",(INDIRECT(""&amp;B81&amp;"!AJ4")),)))))</f>
        <v>0</v>
      </c>
      <c r="G83" s="37">
        <f ca="1">(IF(D48="35-54",(INDIRECT(""&amp;B81&amp;"!H4")),IF(D48="NS-SEC 3-5",(INDIRECT(""&amp;B81&amp;"!W4")),IF(D48="LT Limiting Disability",(INDIRECT(""&amp;B81&amp;"!N4")),IF(D48="Female",(INDIRECT(""&amp;B81&amp;"!F4")),)))))</f>
        <v>0</v>
      </c>
      <c r="H83" s="38">
        <f ca="1">SUM(F48,G48)</f>
        <v>0</v>
      </c>
      <c r="I83" s="34"/>
      <c r="J83" s="34"/>
      <c r="K83" s="37"/>
      <c r="L83" s="37"/>
      <c r="M83" s="37"/>
      <c r="N83" s="37"/>
    </row>
    <row r="84" spans="2:14" x14ac:dyDescent="0.2">
      <c r="B84" s="34"/>
      <c r="C84" s="34"/>
      <c r="D84" s="34">
        <f>(IF(D46="Age","55-74",IF(D46="Gender","",IF(D46="Socio-Economic","NS-SEC 6-8",IF(D46="Disability","",0)))))</f>
        <v>0</v>
      </c>
      <c r="E84" s="37" t="str">
        <f ca="1">(IF(D49="55-74",(INDIRECT(""&amp;B81&amp;"!BQ4")),IF(D49="NS-SEC 6-8",(INDIRECT(""&amp;B81&amp;"!CF4")),"")))</f>
        <v/>
      </c>
      <c r="F84" s="37" t="str">
        <f ca="1">(IF(D49="55-74",(INDIRECT(""&amp;B81&amp;"!AM4")),IF(D49="NS-SEC 6-8",(INDIRECT(""&amp;B81&amp;"!BB4")),"")))</f>
        <v/>
      </c>
      <c r="G84" s="37" t="str">
        <f ca="1">(IF(D49="55-74",(INDIRECT(""&amp;B81&amp;"!I4")),IF(D49="NS-SEC 6-8",(INDIRECT(""&amp;B81&amp;"!X4")),"")))</f>
        <v/>
      </c>
      <c r="H84" s="38">
        <f ca="1">SUM(F49,G49)</f>
        <v>0</v>
      </c>
      <c r="I84" s="34"/>
      <c r="J84" s="34"/>
      <c r="K84" s="37"/>
      <c r="L84" s="37"/>
      <c r="M84" s="37"/>
      <c r="N84" s="37"/>
    </row>
    <row r="85" spans="2:14" x14ac:dyDescent="0.2">
      <c r="B85" s="34"/>
      <c r="C85" s="34"/>
      <c r="D85" s="34">
        <f>(IF(D46="Age","75+",IF(D46="Gender","",IF(D46="Socio-Economic","",IF(D46="Disability","",0)))))</f>
        <v>0</v>
      </c>
      <c r="E85" s="37" t="str">
        <f ca="1">(IF(D50="75+",(INDIRECT(""&amp;B81&amp;"!BR4")),""))</f>
        <v/>
      </c>
      <c r="F85" s="37" t="str">
        <f ca="1">(IF(D50="75+",(INDIRECT(""&amp;B81&amp;"!AN4")),""))</f>
        <v/>
      </c>
      <c r="G85" s="37" t="str">
        <f ca="1">(IF(D50="75+",(INDIRECT(""&amp;B81&amp;"!J4")),""))</f>
        <v/>
      </c>
      <c r="H85" s="38">
        <f ca="1">SUM(F50,G50)</f>
        <v>0</v>
      </c>
      <c r="I85" s="34"/>
      <c r="J85" s="34"/>
      <c r="K85" s="37"/>
      <c r="L85" s="37"/>
      <c r="M85" s="37"/>
      <c r="N85" s="37"/>
    </row>
    <row r="86" spans="2:14" x14ac:dyDescent="0.2">
      <c r="B86" s="34"/>
      <c r="C86" s="34"/>
      <c r="D86" s="34"/>
      <c r="E86" s="37"/>
      <c r="F86" s="37"/>
      <c r="G86" s="37"/>
      <c r="H86" s="38"/>
      <c r="I86" s="34"/>
      <c r="J86" s="34"/>
      <c r="K86" s="37"/>
      <c r="L86" s="37"/>
      <c r="M86" s="37"/>
      <c r="N86" s="37"/>
    </row>
    <row r="87" spans="2:14" x14ac:dyDescent="0.2">
      <c r="B87" s="34"/>
      <c r="C87" s="34"/>
      <c r="D87" s="35" t="s">
        <v>193</v>
      </c>
      <c r="E87" s="34"/>
      <c r="F87" s="34"/>
      <c r="G87" s="34"/>
      <c r="H87" s="34"/>
      <c r="I87" s="34"/>
      <c r="J87" s="34"/>
      <c r="K87" s="34"/>
      <c r="L87" s="34"/>
      <c r="M87" s="34"/>
      <c r="N87" s="34"/>
    </row>
    <row r="88" spans="2:14" x14ac:dyDescent="0.2">
      <c r="B88" s="34" t="str">
        <f>Selection!D7</f>
        <v>GM</v>
      </c>
      <c r="C88" s="34"/>
      <c r="D88" s="35" t="str">
        <f>Selection!D18</f>
        <v>Ethnicity</v>
      </c>
      <c r="E88" s="34" t="s">
        <v>119</v>
      </c>
      <c r="F88" s="34" t="s">
        <v>120</v>
      </c>
      <c r="G88" s="34" t="s">
        <v>121</v>
      </c>
      <c r="H88" s="34" t="s">
        <v>99</v>
      </c>
      <c r="I88" s="34"/>
      <c r="J88" s="34"/>
      <c r="K88" s="34"/>
      <c r="L88" s="34"/>
      <c r="M88" s="34"/>
      <c r="N88" s="34"/>
    </row>
    <row r="89" spans="2:14" x14ac:dyDescent="0.2">
      <c r="B89" s="34"/>
      <c r="C89" s="34"/>
      <c r="D89" s="34">
        <f>(IF(D88="Age","16-34",IF(D88="Gender","Male",IF(D88="Socio-Economic","NS-SEC 1-2",IF(D88="Disability","No LT Limiting Disability",0)))))</f>
        <v>0</v>
      </c>
      <c r="E89" s="37">
        <f ca="1">(IF(D89="16-34",(INDIRECT(""&amp;B88&amp;"!BO3")),IF(D89="NS-SEC 1-2",(INDIRECT(""&amp;B88&amp;"!CD3")),IF(D89="No LT Limiting Disability",(INDIRECT(""&amp;B88&amp;"!BV3")),IF(D89="Male",(INDIRECT(""&amp;B88&amp;"!BM3")),)))))</f>
        <v>0</v>
      </c>
      <c r="F89" s="37">
        <f ca="1">(IF(D89="16-34",(INDIRECT(""&amp;B88&amp;"!AK3")),IF(D89="NS-SEC 1-2",(INDIRECT(""&amp;B88&amp;"!AZ3")),IF(D89="No LT Limiting Disability",(INDIRECT(""&amp;B88&amp;"!AQ3")),IF(D89="Male",(INDIRECT(""&amp;B88&amp;"!AI3")),)))))</f>
        <v>0</v>
      </c>
      <c r="G89" s="37">
        <f ca="1">(IF(D89="16-34",(INDIRECT(""&amp;B88&amp;"!G3")),IF(D89="NS-SEC 1-2",(INDIRECT(""&amp;B88&amp;"!V3")),IF(D89="No LT Limiting Disability",(INDIRECT(""&amp;B88&amp;"!M3")),IF(D89="Male",(INDIRECT(""&amp;B88&amp;"!E3")),)))))</f>
        <v>0</v>
      </c>
      <c r="H89" s="38">
        <f ca="1">SUM(F82,G82)</f>
        <v>0</v>
      </c>
      <c r="I89" s="34"/>
      <c r="J89" s="34" t="s">
        <v>145</v>
      </c>
      <c r="K89" s="34"/>
      <c r="L89" s="34"/>
      <c r="M89" s="34"/>
      <c r="N89" s="34"/>
    </row>
    <row r="90" spans="2:14" x14ac:dyDescent="0.2">
      <c r="B90" s="34"/>
      <c r="C90" s="34"/>
      <c r="D90" s="34">
        <f>(IF(D88="Age","35-54",IF(D88="Gender","Female",IF(D88="Socio-Economic","NS-SEC 3-5",IF(D88="Disability","LT Limiting Disability",0)))))</f>
        <v>0</v>
      </c>
      <c r="E90" s="37">
        <f ca="1">(IF(D90="35-54",(INDIRECT(""&amp;B88&amp;"!BP3")),IF(D90="NS-SEC 3-5",(INDIRECT(""&amp;B88&amp;"!CE3")),IF(D90="LT Limiting Disability",(INDIRECT(""&amp;B88&amp;"!BU3")),IF(D90="Female",(INDIRECT(""&amp;B88&amp;"!BN3")),)))))</f>
        <v>0</v>
      </c>
      <c r="F90" s="37">
        <f ca="1">(IF(D90="35-54",(INDIRECT(""&amp;B88&amp;"!AL3")),IF(D90="NS-SEC 3-5",(INDIRECT(""&amp;B88&amp;"!BA3")),IF(D90="LT Limiting Disability",(INDIRECT(""&amp;B88&amp;"!AR3")),IF(D90="Female",(INDIRECT(""&amp;B88&amp;"!AJ3")),)))))</f>
        <v>0</v>
      </c>
      <c r="G90" s="37">
        <f ca="1">(IF(D90="35-54",(INDIRECT(""&amp;B88&amp;"!H3")),IF(D90="NS-SEC 3-5",(INDIRECT(""&amp;B88&amp;"!W3")),IF(D90="LT Limiting Disability",(INDIRECT(""&amp;B88&amp;"!N3")),IF(D90="Female",(INDIRECT(""&amp;B88&amp;"!F3")),)))))</f>
        <v>0</v>
      </c>
      <c r="H90" s="38">
        <f ca="1">SUM(F83,G83)</f>
        <v>0</v>
      </c>
      <c r="I90" s="34"/>
      <c r="J90" s="37" t="e">
        <f ca="1">IFERROR(IF(AND(E92="",E91="",E90&gt;0),E90-E89,IF(AND(E92="",E91&gt;0),E91-E89,IF(E92&gt;0,E92-E89,""))), NA())</f>
        <v>#N/A</v>
      </c>
      <c r="K90" s="34"/>
      <c r="L90" s="34"/>
      <c r="M90" s="34"/>
      <c r="N90" s="34"/>
    </row>
    <row r="91" spans="2:14" x14ac:dyDescent="0.2">
      <c r="B91" s="34"/>
      <c r="C91" s="34"/>
      <c r="D91" s="34">
        <f>(IF(D46="Age","55-74",IF(D46="Gender","",IF(D46="Socio-Economic","NS-SEC 6-8",IF(D46="Disability","",0)))))</f>
        <v>0</v>
      </c>
      <c r="E91" s="37" t="str">
        <f ca="1">(IF(D91="55-74",(INDIRECT(""&amp;B88&amp;"!BQ3")),IF(D91="NS-SEC 6-8",(INDIRECT(""&amp;B88&amp;"!CF3")),"")))</f>
        <v/>
      </c>
      <c r="F91" s="37" t="str">
        <f ca="1">(IF(D91="55-74",(INDIRECT(""&amp;B88&amp;"!AM3")),IF(D91="NS-SEC 6-8",(INDIRECT(""&amp;B88&amp;"!BB3")),"")))</f>
        <v/>
      </c>
      <c r="G91" s="37" t="str">
        <f ca="1">(IF(D91="55-74",(INDIRECT(""&amp;B88&amp;"!I3")),IF(D91="NS-SEC 6-8",(INDIRECT(""&amp;B88&amp;"!X3")),"")))</f>
        <v/>
      </c>
      <c r="H91" s="38">
        <f ca="1">SUM(F49,G49)</f>
        <v>0</v>
      </c>
      <c r="I91" s="34"/>
      <c r="J91" s="34"/>
      <c r="K91" s="34"/>
      <c r="L91" s="34"/>
      <c r="M91" s="34"/>
      <c r="N91" s="34"/>
    </row>
    <row r="92" spans="2:14" x14ac:dyDescent="0.2">
      <c r="B92" s="34"/>
      <c r="C92" s="34"/>
      <c r="D92" s="34">
        <f>(IF(D46="Age","75+",IF(D46="Gender","",IF(D46="Socio-Economic","",IF(D46="Disability","",0)))))</f>
        <v>0</v>
      </c>
      <c r="E92" s="37" t="str">
        <f ca="1">(IF(D92="75+",(INDIRECT(""&amp;B88&amp;"!BR3")),""))</f>
        <v/>
      </c>
      <c r="F92" s="37" t="str">
        <f ca="1">(IF(D92="75+",(INDIRECT(""&amp;B88&amp;"!AN3")),""))</f>
        <v/>
      </c>
      <c r="G92" s="37" t="str">
        <f ca="1">(IF(D92="75+",(INDIRECT(""&amp;B88&amp;"!J3")),""))</f>
        <v/>
      </c>
      <c r="H92" s="38">
        <f ca="1">SUM(F50,G50)</f>
        <v>0</v>
      </c>
      <c r="I92" s="34"/>
      <c r="J92" s="34"/>
      <c r="K92" s="34"/>
      <c r="L92" s="34"/>
      <c r="M92" s="34"/>
      <c r="N92" s="34"/>
    </row>
    <row r="93" spans="2:14" x14ac:dyDescent="0.2">
      <c r="B93" s="34"/>
      <c r="C93" s="34"/>
      <c r="D93" s="35"/>
      <c r="E93" s="38"/>
      <c r="F93" s="38"/>
      <c r="G93" s="38"/>
      <c r="H93" s="38"/>
      <c r="I93" s="34"/>
      <c r="J93" s="34"/>
      <c r="K93" s="34"/>
      <c r="L93" s="34"/>
      <c r="M93" s="34"/>
      <c r="N93" s="34"/>
    </row>
    <row r="94" spans="2:14" x14ac:dyDescent="0.2">
      <c r="B94" s="34"/>
      <c r="C94" s="34"/>
      <c r="D94" s="35"/>
      <c r="E94" s="38"/>
      <c r="F94" s="38"/>
      <c r="G94" s="38"/>
      <c r="H94" s="38"/>
      <c r="I94" s="34"/>
      <c r="J94" s="34"/>
      <c r="K94" s="34"/>
      <c r="L94" s="34"/>
      <c r="M94" s="34"/>
      <c r="N94" s="34"/>
    </row>
    <row r="95" spans="2:14" x14ac:dyDescent="0.2">
      <c r="D95" s="22"/>
    </row>
  </sheetData>
  <sheetProtection selectLockedCells="1"/>
  <mergeCells count="7">
    <mergeCell ref="C4:J4"/>
    <mergeCell ref="K33:L33"/>
    <mergeCell ref="C23:J23"/>
    <mergeCell ref="C26:J27"/>
    <mergeCell ref="C28:J28"/>
    <mergeCell ref="C29:J30"/>
    <mergeCell ref="C31:J31"/>
  </mergeCells>
  <hyperlinks>
    <hyperlink ref="K33:L33" location="Selection!D6" display="Back to selection"/>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W90"/>
  <sheetViews>
    <sheetView showZeros="0" workbookViewId="0">
      <selection activeCell="C50" sqref="C50"/>
    </sheetView>
  </sheetViews>
  <sheetFormatPr defaultColWidth="8.69921875" defaultRowHeight="14.25" x14ac:dyDescent="0.2"/>
  <cols>
    <col min="1" max="3" width="8.69921875" style="7"/>
    <col min="4" max="4" width="9.5" style="7" bestFit="1" customWidth="1"/>
    <col min="5" max="5" width="12.19921875" style="7" customWidth="1"/>
    <col min="6" max="9" width="8.69921875" style="7"/>
    <col min="10" max="10" width="12.5" style="7" customWidth="1"/>
    <col min="1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"Inactivity "&amp;C38&amp;" Gap Comparision"</f>
        <v>Inactivity Ethnicity Gap Comparision</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2" x14ac:dyDescent="0.2">
      <c r="B17" s="99"/>
      <c r="C17" s="32"/>
      <c r="D17" s="32"/>
      <c r="E17" s="32"/>
      <c r="F17" s="32"/>
      <c r="G17" s="32"/>
      <c r="H17" s="32"/>
      <c r="I17" s="32"/>
      <c r="J17" s="32"/>
      <c r="K17" s="100"/>
    </row>
    <row r="18" spans="2:12" x14ac:dyDescent="0.2">
      <c r="B18" s="99"/>
      <c r="C18" s="32"/>
      <c r="D18" s="32"/>
      <c r="E18" s="32"/>
      <c r="F18" s="32"/>
      <c r="G18" s="32"/>
      <c r="H18" s="32"/>
      <c r="I18" s="32"/>
      <c r="J18" s="32"/>
      <c r="K18" s="100"/>
    </row>
    <row r="19" spans="2:12" x14ac:dyDescent="0.2">
      <c r="B19" s="99"/>
      <c r="C19" s="32"/>
      <c r="D19" s="32"/>
      <c r="E19" s="32"/>
      <c r="F19" s="32"/>
      <c r="G19" s="32"/>
      <c r="H19" s="32"/>
      <c r="I19" s="32"/>
      <c r="J19" s="32"/>
      <c r="K19" s="100"/>
    </row>
    <row r="20" spans="2:12" x14ac:dyDescent="0.2">
      <c r="B20" s="99"/>
      <c r="C20" s="32"/>
      <c r="D20" s="32"/>
      <c r="E20" s="32"/>
      <c r="F20" s="32"/>
      <c r="G20" s="32"/>
      <c r="H20" s="32"/>
      <c r="I20" s="32"/>
      <c r="J20" s="32"/>
      <c r="K20" s="100"/>
    </row>
    <row r="21" spans="2:12" x14ac:dyDescent="0.2">
      <c r="B21" s="99"/>
      <c r="C21" s="32"/>
      <c r="D21" s="32"/>
      <c r="E21" s="32"/>
      <c r="F21" s="32"/>
      <c r="G21" s="32"/>
      <c r="H21" s="32"/>
      <c r="I21" s="32"/>
      <c r="J21" s="32"/>
      <c r="K21" s="100"/>
    </row>
    <row r="22" spans="2:12" x14ac:dyDescent="0.2">
      <c r="B22" s="99"/>
      <c r="C22" s="32"/>
      <c r="D22" s="32"/>
      <c r="E22" s="32"/>
      <c r="F22" s="32"/>
      <c r="G22" s="32"/>
      <c r="H22" s="32"/>
      <c r="I22" s="32"/>
      <c r="J22" s="32"/>
      <c r="K22" s="100"/>
    </row>
    <row r="23" spans="2:12" x14ac:dyDescent="0.2">
      <c r="B23" s="99"/>
      <c r="C23" s="221" t="s">
        <v>318</v>
      </c>
      <c r="D23" s="221"/>
      <c r="E23" s="221"/>
      <c r="F23" s="221"/>
      <c r="G23" s="221"/>
      <c r="H23" s="221"/>
      <c r="I23" s="221"/>
      <c r="J23" s="221"/>
      <c r="K23" s="100"/>
    </row>
    <row r="24" spans="2:12" ht="15" thickBot="1" x14ac:dyDescent="0.25">
      <c r="B24" s="101"/>
      <c r="C24" s="23"/>
      <c r="D24" s="23"/>
      <c r="E24" s="23"/>
      <c r="F24" s="23"/>
      <c r="G24" s="23"/>
      <c r="H24" s="23"/>
      <c r="I24" s="23"/>
      <c r="J24" s="23"/>
      <c r="K24" s="102"/>
    </row>
    <row r="25" spans="2:12" ht="15.75" thickTop="1" thickBot="1" x14ac:dyDescent="0.25"/>
    <row r="26" spans="2:12" x14ac:dyDescent="0.2">
      <c r="B26" s="103"/>
      <c r="C26" s="104"/>
      <c r="D26" s="104"/>
      <c r="E26" s="104"/>
      <c r="F26" s="104"/>
      <c r="G26" s="104"/>
      <c r="H26" s="104"/>
      <c r="I26" s="104"/>
      <c r="J26" s="104"/>
      <c r="K26" s="105"/>
    </row>
    <row r="27" spans="2:12" ht="13.9" customHeight="1" x14ac:dyDescent="0.2">
      <c r="B27" s="106"/>
      <c r="C27" s="222" t="e">
        <f ca="1">CONCATENATE("The inactivity ", (LOWER(C38)), " gap in Greater Manchester varies from ", (TEXT((ABS(F40)),"0.0%")), " in ", F41, " to ", (TEXT((ABS(G40)),"0.0%")), " in ",G41, ". ", (COUNTIF(E42:E51,"&gt;"&amp;E41)), " boroughs in Greater Manchester have a wider ",  (LOWER(C38))," inactivity gap than the England gap." )</f>
        <v>#N/A</v>
      </c>
      <c r="D27" s="222"/>
      <c r="E27" s="222"/>
      <c r="F27" s="222"/>
      <c r="G27" s="222"/>
      <c r="H27" s="222"/>
      <c r="I27" s="222"/>
      <c r="J27" s="222"/>
      <c r="K27" s="107"/>
    </row>
    <row r="28" spans="2:12" x14ac:dyDescent="0.2">
      <c r="B28" s="106"/>
      <c r="C28" s="222"/>
      <c r="D28" s="222"/>
      <c r="E28" s="222"/>
      <c r="F28" s="222"/>
      <c r="G28" s="222"/>
      <c r="H28" s="222"/>
      <c r="I28" s="222"/>
      <c r="J28" s="222"/>
      <c r="K28" s="107"/>
    </row>
    <row r="29" spans="2:12" x14ac:dyDescent="0.2">
      <c r="B29" s="106"/>
      <c r="C29" s="222"/>
      <c r="D29" s="222"/>
      <c r="E29" s="222"/>
      <c r="F29" s="222"/>
      <c r="G29" s="222"/>
      <c r="H29" s="222"/>
      <c r="I29" s="222"/>
      <c r="J29" s="222"/>
      <c r="K29" s="107"/>
    </row>
    <row r="30" spans="2:12" ht="15" thickBot="1" x14ac:dyDescent="0.25">
      <c r="B30" s="108"/>
      <c r="C30" s="109"/>
      <c r="D30" s="109"/>
      <c r="E30" s="109"/>
      <c r="F30" s="109"/>
      <c r="G30" s="109"/>
      <c r="H30" s="109"/>
      <c r="I30" s="109"/>
      <c r="J30" s="109"/>
      <c r="K30" s="110"/>
    </row>
    <row r="32" spans="2:12" x14ac:dyDescent="0.2">
      <c r="K32" s="195" t="s">
        <v>147</v>
      </c>
      <c r="L32" s="195"/>
    </row>
    <row r="33" spans="2:23" x14ac:dyDescent="0.2">
      <c r="B33" s="67"/>
      <c r="C33" s="34"/>
      <c r="D33" s="34"/>
      <c r="E33" s="34"/>
      <c r="F33" s="34"/>
      <c r="G33" s="34"/>
      <c r="H33" s="34"/>
      <c r="I33" s="34"/>
      <c r="J33" s="34"/>
      <c r="K33" s="34"/>
      <c r="L33" s="34"/>
      <c r="M33" s="34"/>
      <c r="N33" s="34"/>
    </row>
    <row r="34" spans="2:23" x14ac:dyDescent="0.2">
      <c r="B34" s="34"/>
      <c r="C34" s="34"/>
      <c r="D34" s="34"/>
      <c r="E34" s="34"/>
      <c r="F34" s="34"/>
      <c r="G34" s="34"/>
      <c r="H34" s="34"/>
      <c r="I34" s="34"/>
      <c r="J34" s="34"/>
      <c r="K34" s="34"/>
      <c r="L34" s="34"/>
      <c r="M34" s="34"/>
      <c r="N34" s="34"/>
    </row>
    <row r="35" spans="2:23" x14ac:dyDescent="0.2">
      <c r="B35" s="34"/>
      <c r="C35" s="34"/>
      <c r="D35" s="34"/>
      <c r="E35" s="34"/>
      <c r="F35" s="34"/>
      <c r="G35" s="34"/>
      <c r="H35" s="34"/>
      <c r="I35" s="34"/>
      <c r="J35" s="34"/>
      <c r="K35" s="34"/>
      <c r="L35" s="34"/>
      <c r="M35" s="34"/>
      <c r="N35" s="34"/>
    </row>
    <row r="36" spans="2:23" x14ac:dyDescent="0.2">
      <c r="D36" s="34"/>
      <c r="E36" s="34"/>
      <c r="F36" s="34"/>
      <c r="H36" s="34"/>
      <c r="I36" s="34"/>
      <c r="J36" s="34"/>
      <c r="K36" s="34"/>
      <c r="L36" s="34"/>
      <c r="M36" s="34"/>
      <c r="N36" s="34"/>
    </row>
    <row r="37" spans="2:23" x14ac:dyDescent="0.2">
      <c r="B37" s="34"/>
      <c r="C37" s="34"/>
      <c r="D37" s="34"/>
      <c r="E37" s="34"/>
      <c r="F37" s="34"/>
      <c r="G37" s="34"/>
      <c r="H37" s="34"/>
      <c r="I37" s="34"/>
      <c r="J37" s="34"/>
      <c r="K37" s="34"/>
      <c r="L37" s="34"/>
      <c r="M37" s="34"/>
      <c r="N37" s="34"/>
    </row>
    <row r="38" spans="2:23" x14ac:dyDescent="0.2">
      <c r="B38" s="34"/>
      <c r="C38" s="34" t="str">
        <f>Selection!D18</f>
        <v>Ethnicity</v>
      </c>
      <c r="D38" s="34"/>
      <c r="E38" s="34"/>
      <c r="F38" s="34"/>
      <c r="G38" s="34"/>
      <c r="H38" s="34"/>
      <c r="I38" s="34"/>
      <c r="J38" s="34"/>
      <c r="K38" s="34"/>
      <c r="L38" s="34"/>
      <c r="M38" s="34"/>
      <c r="N38" s="34"/>
    </row>
    <row r="39" spans="2:23" x14ac:dyDescent="0.2">
      <c r="B39" s="34"/>
      <c r="C39" s="34">
        <f>(IF(C38="Age","16-34",IF(C38="Gender","Male",IF(C38="Socio-Economic","NS-SEC 1-2",IF(C38="Disability","No LT Limiting Disability",0)))))</f>
        <v>0</v>
      </c>
      <c r="D39" s="34">
        <f>(IF(C38="Age","75+",IF(C38="Gender","Female",IF(C38="Socio-Economic","NS-SEC 6-8",IF(C38="Disability","LT Limiting Disability",0)))))</f>
        <v>0</v>
      </c>
      <c r="F39" s="34"/>
      <c r="G39" s="34"/>
      <c r="H39" s="34"/>
      <c r="I39" s="34"/>
      <c r="J39" s="34"/>
      <c r="K39" s="34"/>
      <c r="L39" s="34"/>
      <c r="M39" s="34"/>
      <c r="N39" s="34"/>
    </row>
    <row r="40" spans="2:23" x14ac:dyDescent="0.2">
      <c r="B40" s="34" t="s">
        <v>107</v>
      </c>
      <c r="C40" s="37">
        <f ca="1">(IF(C39="16-34",(INDIRECT(""&amp;B40&amp;"!BO10")),IF(C39="NS-SEC 1-2",(INDIRECT(""&amp;B40&amp;"!CD10")),IF(C39="No LT Limiting Disability",(INDIRECT(""&amp;B40&amp;"!BV10")),IF(C39="Male",(INDIRECT(""&amp;B40&amp;"!BM10")),)))))</f>
        <v>0</v>
      </c>
      <c r="D40" s="68">
        <f ca="1">(IF(D39="75+",(INDIRECT(""&amp;B40&amp;"!BR10")),IF(D39="NS-SEC 6-8",(INDIRECT(""&amp;B40&amp;"!CF10")),IF(D39="LT Limiting Disability",(INDIRECT(""&amp;B40&amp;"!BU10")),IF(D39="Female",(INDIRECT(""&amp;B40&amp;"!BN10")),)))))</f>
        <v>0</v>
      </c>
      <c r="E40" s="37" t="e">
        <f ca="1">ABS(IF(AND(C40&gt;0,D40&gt;0),D40-C40, NA()))</f>
        <v>#N/A</v>
      </c>
      <c r="F40" s="38">
        <f t="array" aca="1" ref="F40" ca="1">MIN(IF(ISNUMBER(E42:E51), ABS(E42:E51)))</f>
        <v>0</v>
      </c>
      <c r="G40" s="49">
        <f t="array" aca="1" ref="G40" ca="1">MAX(IF(ISNUMBER(E42:E51), E42:E51))</f>
        <v>0</v>
      </c>
      <c r="H40" s="34"/>
      <c r="I40" s="34"/>
      <c r="J40" s="34"/>
      <c r="K40" s="34"/>
      <c r="M40" s="34"/>
      <c r="N40" s="34"/>
      <c r="O40" s="34"/>
      <c r="P40" s="34"/>
      <c r="Q40" s="34"/>
      <c r="R40" s="34"/>
      <c r="S40" s="34"/>
      <c r="T40" s="34"/>
      <c r="U40" s="34"/>
      <c r="V40" s="34"/>
      <c r="W40" s="34"/>
    </row>
    <row r="41" spans="2:23" x14ac:dyDescent="0.2">
      <c r="B41" s="34" t="s">
        <v>108</v>
      </c>
      <c r="C41" s="49">
        <f ca="1">(IF(C39="16-34",(INDIRECT(""&amp;B41&amp;"!BO10")),IF(C39="NS-SEC 1-2",(INDIRECT(""&amp;B41&amp;"!CD10")),IF(C39="No LT Limiting Disability",(INDIRECT(""&amp;B41&amp;"!BV10")),IF(C39="Male",(INDIRECT(""&amp;B41&amp;"!BM10")),)))))</f>
        <v>0</v>
      </c>
      <c r="D41" s="68">
        <f ca="1">(IF(D39="75+",(INDIRECT(""&amp;B41&amp;"!BR10")),IF(D39="NS-SEC 6-8",(INDIRECT(""&amp;B41&amp;"!CF10")),IF(D39="LT Limiting Disability",(INDIRECT(""&amp;B41&amp;"!BU10")),IF(D39="Female",(INDIRECT(""&amp;B41&amp;"!BN10")),)))))</f>
        <v>0</v>
      </c>
      <c r="E41" s="37" t="e">
        <f t="shared" ref="E41:E51" ca="1" si="0">ABS(IF(AND(C41&gt;0,D41&gt;0),D41-C41, NA()))</f>
        <v>#N/A</v>
      </c>
      <c r="F41" s="34" t="e">
        <f t="array" aca="1" ref="F41" ca="1">INDEX(B42:B51, MATCH((MIN(IF(ISNUMBER(E42:E51), ABS(E42:E51)))), E42:E51,0))</f>
        <v>#N/A</v>
      </c>
      <c r="G41" s="34" t="e">
        <f t="array" aca="1" ref="G41" ca="1">INDEX(B42:B51, MATCH((MAX(IF(ISNUMBER(E42:E51), ABS(E42:E51)))), E42:E51,0))</f>
        <v>#N/A</v>
      </c>
      <c r="H41" s="34"/>
      <c r="I41" s="34"/>
      <c r="J41" s="34"/>
      <c r="K41" s="34"/>
      <c r="M41" s="34"/>
      <c r="N41" s="34"/>
      <c r="O41" s="35"/>
      <c r="P41" s="34"/>
      <c r="Q41" s="34"/>
      <c r="R41" s="34"/>
      <c r="S41" s="34"/>
      <c r="T41" s="34"/>
      <c r="U41" s="39"/>
      <c r="V41" s="37"/>
      <c r="W41" s="38"/>
    </row>
    <row r="42" spans="2:23" x14ac:dyDescent="0.2">
      <c r="B42" s="34" t="s">
        <v>109</v>
      </c>
      <c r="C42" s="49">
        <f ca="1">(IF(C39="16-34",(INDIRECT(""&amp;B42&amp;"!BO10")),IF(C39="NS-SEC 1-2",(INDIRECT(""&amp;B42&amp;"!CD10")),IF(C39="No LT Limiting Disability",(INDIRECT(""&amp;B42&amp;"!BV10")),IF(C39="Male",(INDIRECT(""&amp;B42&amp;"!BM10")),)))))</f>
        <v>0</v>
      </c>
      <c r="D42" s="68">
        <f ca="1">(IF(D39="75+",(INDIRECT(""&amp;B42&amp;"!BR10")),IF(D39="NS-SEC 6-8",(INDIRECT(""&amp;B42&amp;"!CF10")),IF(D39="LT Limiting Disability",(INDIRECT(""&amp;B42&amp;"!BU10")),IF(D39="Female",(INDIRECT(""&amp;B42&amp;"!BN10")),)))))</f>
        <v>0</v>
      </c>
      <c r="E42" s="37" t="e">
        <f t="shared" ca="1" si="0"/>
        <v>#N/A</v>
      </c>
      <c r="G42" s="34"/>
      <c r="H42" s="34"/>
      <c r="I42" s="34"/>
      <c r="J42" s="34"/>
      <c r="K42" s="34"/>
      <c r="M42" s="34"/>
      <c r="N42" s="34"/>
      <c r="O42" s="34"/>
      <c r="P42" s="37"/>
      <c r="Q42" s="37"/>
      <c r="R42" s="37"/>
      <c r="S42" s="38"/>
      <c r="T42" s="34"/>
      <c r="U42" s="34"/>
      <c r="V42" s="37"/>
      <c r="W42" s="37"/>
    </row>
    <row r="43" spans="2:23" x14ac:dyDescent="0.2">
      <c r="B43" s="34" t="s">
        <v>110</v>
      </c>
      <c r="C43" s="49">
        <f ca="1">(IF(C39="16-34",(INDIRECT(""&amp;B43&amp;"!BO10")),IF(C39="NS-SEC 1-2",(INDIRECT(""&amp;B43&amp;"!CD10")),IF(C39="No LT Limiting Disability",(INDIRECT(""&amp;B43&amp;"!BV10")),IF(C39="Male",(INDIRECT(""&amp;B43&amp;"!BM10")),)))))</f>
        <v>0</v>
      </c>
      <c r="D43" s="68">
        <f ca="1">(IF(D39="75+",(INDIRECT(""&amp;B43&amp;"!BR10")),IF(D39="NS-SEC 6-8",(INDIRECT(""&amp;B43&amp;"!CF10")),IF(D39="LT Limiting Disability",(INDIRECT(""&amp;B43&amp;"!BU10")),IF(D39="Female",(INDIRECT(""&amp;B43&amp;"!BN10")),)))))</f>
        <v>0</v>
      </c>
      <c r="E43" s="37" t="e">
        <f t="shared" ca="1" si="0"/>
        <v>#N/A</v>
      </c>
      <c r="G43" s="34"/>
      <c r="H43" s="34"/>
      <c r="I43" s="34"/>
      <c r="J43" s="34"/>
      <c r="K43" s="34"/>
      <c r="M43" s="34"/>
      <c r="N43" s="34"/>
      <c r="O43" s="34"/>
      <c r="P43" s="37"/>
      <c r="Q43" s="37"/>
      <c r="R43" s="37"/>
      <c r="S43" s="38"/>
      <c r="T43" s="34"/>
      <c r="U43" s="37"/>
      <c r="V43" s="37"/>
      <c r="W43" s="37"/>
    </row>
    <row r="44" spans="2:23" x14ac:dyDescent="0.2">
      <c r="B44" s="34" t="s">
        <v>111</v>
      </c>
      <c r="C44" s="49">
        <f ca="1">(IF(C39="16-34",(INDIRECT(""&amp;B44&amp;"!BO10")),IF(C39="NS-SEC 1-2",(INDIRECT(""&amp;B44&amp;"!CD10")),IF(C39="No LT Limiting Disability",(INDIRECT(""&amp;B44&amp;"!BV10")),IF(C39="Male",(INDIRECT(""&amp;B44&amp;"!BM10")),)))))</f>
        <v>0</v>
      </c>
      <c r="D44" s="68">
        <f ca="1">(IF(D39="75+",(INDIRECT(""&amp;B44&amp;"!BR10")),IF(D39="NS-SEC 6-8",(INDIRECT(""&amp;B44&amp;"!CF10")),IF(D39="LT Limiting Disability",(INDIRECT(""&amp;B44&amp;"!BU10")),IF(D39="Female",(INDIRECT(""&amp;B44&amp;"!BN10")),)))))</f>
        <v>0</v>
      </c>
      <c r="E44" s="37" t="e">
        <f t="shared" ca="1" si="0"/>
        <v>#N/A</v>
      </c>
      <c r="G44" s="34"/>
      <c r="H44" s="34"/>
      <c r="I44" s="34"/>
      <c r="J44" s="34"/>
      <c r="K44" s="34"/>
      <c r="M44" s="34"/>
      <c r="N44" s="34"/>
      <c r="O44" s="34"/>
      <c r="P44" s="37"/>
      <c r="Q44" s="37"/>
      <c r="R44" s="37"/>
      <c r="S44" s="38"/>
      <c r="T44" s="34"/>
      <c r="U44" s="34"/>
      <c r="V44" s="37"/>
      <c r="W44" s="37"/>
    </row>
    <row r="45" spans="2:23" x14ac:dyDescent="0.2">
      <c r="B45" s="34" t="s">
        <v>112</v>
      </c>
      <c r="C45" s="49">
        <f ca="1">(IF(C39="16-34",(INDIRECT(""&amp;B45&amp;"!BO10")),IF(C39="NS-SEC 1-2",(INDIRECT(""&amp;B45&amp;"!CD10")),IF(C39="No LT Limiting Disability",(INDIRECT(""&amp;B45&amp;"!BV10")),IF(C39="Male",(INDIRECT(""&amp;B45&amp;"!BM10")),)))))</f>
        <v>0</v>
      </c>
      <c r="D45" s="68">
        <f ca="1">(IF(D39="75+",(INDIRECT(""&amp;B45&amp;"!BR10")),IF(D39="NS-SEC 6-8",(INDIRECT(""&amp;B45&amp;"!CF10")),IF(D39="LT Limiting Disability",(INDIRECT(""&amp;B45&amp;"!BU10")),IF(D39="Female",(INDIRECT(""&amp;B45&amp;"!BN10")),)))))</f>
        <v>0</v>
      </c>
      <c r="E45" s="37" t="e">
        <f t="shared" ca="1" si="0"/>
        <v>#N/A</v>
      </c>
      <c r="G45" s="34"/>
      <c r="H45" s="34"/>
      <c r="I45" s="34"/>
      <c r="J45" s="34"/>
      <c r="K45" s="34"/>
      <c r="M45" s="34"/>
      <c r="N45" s="34"/>
      <c r="O45" s="34"/>
      <c r="P45" s="37"/>
      <c r="Q45" s="37"/>
      <c r="R45" s="37"/>
      <c r="S45" s="38"/>
      <c r="T45" s="34"/>
      <c r="U45" s="34"/>
      <c r="V45" s="37"/>
      <c r="W45" s="37"/>
    </row>
    <row r="46" spans="2:23" x14ac:dyDescent="0.2">
      <c r="B46" s="34" t="s">
        <v>113</v>
      </c>
      <c r="C46" s="49">
        <f ca="1">(IF(C39="16-34",(INDIRECT(""&amp;B46&amp;"!BO10")),IF(C39="NS-SEC 1-2",(INDIRECT(""&amp;B46&amp;"!CD10")),IF(C39="No LT Limiting Disability",(INDIRECT(""&amp;B46&amp;"!BV10")),IF(C39="Male",(INDIRECT(""&amp;B46&amp;"!BM10")),)))))</f>
        <v>0</v>
      </c>
      <c r="D46" s="68">
        <f ca="1">(IF(D39="75+",(INDIRECT(""&amp;B46&amp;"!BR10")),IF(D39="NS-SEC 6-8",(INDIRECT(""&amp;B46&amp;"!CF10")),IF(D39="LT Limiting Disability",(INDIRECT(""&amp;B46&amp;"!BU10")),IF(D39="Female",(INDIRECT(""&amp;B46&amp;"!BN10")),)))))</f>
        <v>0</v>
      </c>
      <c r="E46" s="37" t="e">
        <f t="shared" ca="1" si="0"/>
        <v>#N/A</v>
      </c>
      <c r="G46" s="34"/>
      <c r="H46" s="34"/>
      <c r="I46" s="34"/>
      <c r="J46" s="34"/>
      <c r="K46" s="34"/>
      <c r="M46" s="34"/>
      <c r="N46" s="34"/>
      <c r="O46" s="34"/>
      <c r="P46" s="37"/>
      <c r="Q46" s="37"/>
      <c r="R46" s="37"/>
      <c r="S46" s="38"/>
      <c r="T46" s="34"/>
      <c r="U46" s="34"/>
      <c r="V46" s="37"/>
      <c r="W46" s="37"/>
    </row>
    <row r="47" spans="2:23" x14ac:dyDescent="0.2">
      <c r="B47" s="34" t="s">
        <v>114</v>
      </c>
      <c r="C47" s="49">
        <f ca="1">(IF(C39="16-34",(INDIRECT(""&amp;B47&amp;"!BO10")),IF(C39="NS-SEC 1-2",(INDIRECT(""&amp;B47&amp;"!CD10")),IF(C39="No LT Limiting Disability",(INDIRECT(""&amp;B47&amp;"!BV10")),IF(C39="Male",(INDIRECT(""&amp;B47&amp;"!BM10")),)))))</f>
        <v>0</v>
      </c>
      <c r="D47" s="68">
        <f ca="1">(IF(D39="75+",(INDIRECT(""&amp;B47&amp;"!BR10")),IF(D39="NS-SEC 6-8",(INDIRECT(""&amp;B47&amp;"!CF10")),IF(D39="LT Limiting Disability",(INDIRECT(""&amp;B47&amp;"!BU10")),IF(D39="Female",(INDIRECT(""&amp;B47&amp;"!BN10")),)))))</f>
        <v>0</v>
      </c>
      <c r="E47" s="37" t="e">
        <f t="shared" ca="1" si="0"/>
        <v>#N/A</v>
      </c>
      <c r="G47" s="34"/>
      <c r="H47" s="34"/>
      <c r="I47" s="34"/>
      <c r="J47" s="34"/>
      <c r="K47" s="34"/>
      <c r="M47" s="34"/>
      <c r="N47" s="34"/>
      <c r="O47" s="34"/>
      <c r="P47" s="34"/>
      <c r="Q47" s="34"/>
      <c r="R47" s="34"/>
      <c r="S47" s="34"/>
      <c r="T47" s="34"/>
      <c r="U47" s="34"/>
      <c r="V47" s="37"/>
      <c r="W47" s="37"/>
    </row>
    <row r="48" spans="2:23" x14ac:dyDescent="0.2">
      <c r="B48" s="34" t="s">
        <v>115</v>
      </c>
      <c r="C48" s="49">
        <f ca="1">(IF(C39="16-34",(INDIRECT(""&amp;B48&amp;"!BO10")),IF(C39="NS-SEC 1-2",(INDIRECT(""&amp;B48&amp;"!CD10")),IF(C39="No LT Limiting Disability",(INDIRECT(""&amp;B48&amp;"!BV10")),IF(C39="Male",(INDIRECT(""&amp;B48&amp;"!BM10")),)))))</f>
        <v>0</v>
      </c>
      <c r="D48" s="68">
        <f ca="1">(IF(D39="75+",(INDIRECT(""&amp;B48&amp;"!BR10")),IF(D39="NS-SEC 6-8",(INDIRECT(""&amp;B48&amp;"!CF10")),IF(D39="LT Limiting Disability",(INDIRECT(""&amp;B48&amp;"!BU10")),IF(D39="Female",(INDIRECT(""&amp;B48&amp;"!BN10")),)))))</f>
        <v>0</v>
      </c>
      <c r="E48" s="37" t="e">
        <f t="shared" ca="1" si="0"/>
        <v>#N/A</v>
      </c>
      <c r="G48" s="34"/>
      <c r="H48" s="34"/>
      <c r="I48" s="34"/>
      <c r="J48" s="34"/>
      <c r="K48" s="34"/>
      <c r="M48" s="34"/>
      <c r="N48" s="34"/>
      <c r="O48" s="35"/>
      <c r="P48" s="34"/>
      <c r="Q48" s="34"/>
      <c r="R48" s="34"/>
      <c r="S48" s="34"/>
      <c r="T48" s="34"/>
      <c r="U48" s="38"/>
      <c r="V48" s="37"/>
      <c r="W48" s="37"/>
    </row>
    <row r="49" spans="2:23" x14ac:dyDescent="0.2">
      <c r="B49" s="34" t="s">
        <v>116</v>
      </c>
      <c r="C49" s="49">
        <f ca="1">(IF(C39="16-34",(INDIRECT(""&amp;B49&amp;"!BO10")),IF(C39="NS-SEC 1-2",(INDIRECT(""&amp;B49&amp;"!CD10")),IF(C39="No LT Limiting Disability",(INDIRECT(""&amp;B49&amp;"!BV10")),IF(C39="Male",(INDIRECT(""&amp;B49&amp;"!BM10")),)))))</f>
        <v>0</v>
      </c>
      <c r="D49" s="68">
        <f ca="1">(IF(D39="75+",(INDIRECT(""&amp;B49&amp;"!BR10")),IF(D39="NS-SEC 6-8",(INDIRECT(""&amp;B49&amp;"!CF10")),IF(D39="LT Limiting Disability",(INDIRECT(""&amp;B49&amp;"!BU10")),IF(D39="Female",(INDIRECT(""&amp;B49&amp;"!BN10")),)))))</f>
        <v>0</v>
      </c>
      <c r="E49" s="37" t="e">
        <f t="shared" ca="1" si="0"/>
        <v>#N/A</v>
      </c>
      <c r="G49" s="34"/>
      <c r="H49" s="34"/>
      <c r="I49" s="34"/>
      <c r="J49" s="34"/>
      <c r="K49" s="34"/>
      <c r="M49" s="34"/>
      <c r="N49" s="34"/>
      <c r="O49" s="34"/>
      <c r="P49" s="37"/>
      <c r="Q49" s="37"/>
      <c r="R49" s="37"/>
      <c r="S49" s="38"/>
      <c r="T49" s="34"/>
      <c r="U49" s="34"/>
      <c r="V49" s="37"/>
      <c r="W49" s="37"/>
    </row>
    <row r="50" spans="2:23" x14ac:dyDescent="0.2">
      <c r="B50" s="34" t="s">
        <v>117</v>
      </c>
      <c r="C50" s="49">
        <f ca="1">(IF(C39="16-34",(INDIRECT(""&amp;B50&amp;"!BO10")),IF(C39="NS-SEC 1-2",(INDIRECT(""&amp;B50&amp;"!CD10")),IF(C39="No LT Limiting Disability",(INDIRECT(""&amp;B50&amp;"!BV10")),IF(C39="Male",(INDIRECT(""&amp;B50&amp;"!BM10")),)))))</f>
        <v>0</v>
      </c>
      <c r="D50" s="68">
        <f ca="1">(IF(D39="75+",(INDIRECT(""&amp;B50&amp;"!BR10")),IF(D39="NS-SEC 6-8",(INDIRECT(""&amp;B50&amp;"!CF10")),IF(D39="LT Limiting Disability",(INDIRECT(""&amp;B50&amp;"!BU10")),IF(D39="Female",(INDIRECT(""&amp;B50&amp;"!BN10")),)))))</f>
        <v>0</v>
      </c>
      <c r="E50" s="37" t="e">
        <f t="shared" ca="1" si="0"/>
        <v>#N/A</v>
      </c>
      <c r="G50" s="34"/>
      <c r="H50" s="34"/>
      <c r="I50" s="34"/>
      <c r="J50" s="34"/>
      <c r="K50" s="34"/>
      <c r="M50" s="34"/>
      <c r="N50" s="34"/>
      <c r="O50" s="34"/>
      <c r="P50" s="37"/>
      <c r="Q50" s="37"/>
      <c r="R50" s="37"/>
      <c r="S50" s="38"/>
      <c r="T50" s="34"/>
      <c r="U50" s="34"/>
      <c r="V50" s="37"/>
      <c r="W50" s="37"/>
    </row>
    <row r="51" spans="2:23" x14ac:dyDescent="0.2">
      <c r="B51" s="34" t="s">
        <v>118</v>
      </c>
      <c r="C51" s="49">
        <f ca="1">(IF(C39="16-34",(INDIRECT(""&amp;B51&amp;"!BO10")),IF(C39="NS-SEC 1-2",(INDIRECT(""&amp;B51&amp;"!CD10")),IF(C39="No LT Limiting Disability",(INDIRECT(""&amp;B51&amp;"!BV10")),IF(C39="Male",(INDIRECT(""&amp;B51&amp;"!BM10")),)))))</f>
        <v>0</v>
      </c>
      <c r="D51" s="68">
        <f ca="1">(IF(D39="75+",(INDIRECT(""&amp;B51&amp;"!BR10")),IF(D39="NS-SEC 6-8",(INDIRECT(""&amp;B51&amp;"!CF10")),IF(D39="LT Limiting Disability",(INDIRECT(""&amp;B51&amp;"!BU10")),IF(D39="Female",(INDIRECT(""&amp;B51&amp;"!BN10")),)))))</f>
        <v>0</v>
      </c>
      <c r="E51" s="37" t="e">
        <f t="shared" ca="1" si="0"/>
        <v>#N/A</v>
      </c>
      <c r="G51" s="34"/>
      <c r="H51" s="34"/>
      <c r="I51" s="34"/>
      <c r="J51" s="34"/>
      <c r="K51" s="34"/>
      <c r="M51" s="34"/>
      <c r="N51" s="34"/>
      <c r="O51" s="34"/>
      <c r="P51" s="37"/>
      <c r="Q51" s="37"/>
      <c r="R51" s="37"/>
      <c r="S51" s="38"/>
      <c r="T51" s="34"/>
      <c r="U51" s="34"/>
      <c r="V51" s="37"/>
      <c r="W51" s="37"/>
    </row>
    <row r="52" spans="2:23" x14ac:dyDescent="0.2">
      <c r="B52" s="34"/>
      <c r="C52" s="34"/>
      <c r="D52" s="34"/>
      <c r="E52" s="34"/>
      <c r="F52" s="34"/>
      <c r="G52" s="34"/>
      <c r="H52" s="34"/>
      <c r="I52" s="34"/>
      <c r="J52" s="34"/>
      <c r="K52" s="34"/>
      <c r="M52" s="34"/>
      <c r="N52" s="34"/>
      <c r="O52" s="34"/>
      <c r="P52" s="37"/>
      <c r="Q52" s="37"/>
      <c r="R52" s="37"/>
      <c r="S52" s="38"/>
      <c r="T52" s="34"/>
      <c r="U52" s="34"/>
      <c r="V52" s="37"/>
      <c r="W52" s="37"/>
    </row>
    <row r="53" spans="2:23" x14ac:dyDescent="0.2">
      <c r="B53" s="34"/>
      <c r="C53" s="34"/>
      <c r="D53" s="34"/>
      <c r="E53" s="34"/>
      <c r="F53" s="34"/>
      <c r="G53" s="34"/>
      <c r="H53" s="34"/>
      <c r="I53" s="34"/>
      <c r="J53" s="34"/>
      <c r="K53" s="34"/>
      <c r="M53" s="34"/>
      <c r="N53" s="34"/>
      <c r="O53" s="34"/>
      <c r="P53" s="37"/>
      <c r="Q53" s="37"/>
      <c r="R53" s="37"/>
      <c r="S53" s="38"/>
      <c r="T53" s="34"/>
      <c r="U53" s="34"/>
      <c r="V53" s="37"/>
      <c r="W53" s="37"/>
    </row>
    <row r="54" spans="2:23" x14ac:dyDescent="0.2">
      <c r="B54" s="34"/>
      <c r="C54" s="34"/>
      <c r="D54" s="34"/>
      <c r="E54" s="34"/>
      <c r="F54" s="34"/>
      <c r="G54" s="34"/>
      <c r="H54" s="34"/>
      <c r="I54" s="34"/>
      <c r="J54" s="34"/>
      <c r="K54" s="34"/>
      <c r="M54" s="34"/>
      <c r="N54" s="34"/>
      <c r="O54" s="34"/>
      <c r="P54" s="34"/>
      <c r="Q54" s="34"/>
      <c r="R54" s="34"/>
      <c r="S54" s="34"/>
      <c r="T54" s="34"/>
      <c r="U54" s="34"/>
      <c r="V54" s="37"/>
      <c r="W54" s="37"/>
    </row>
    <row r="55" spans="2:23" x14ac:dyDescent="0.2">
      <c r="B55" s="34"/>
      <c r="C55" s="34"/>
      <c r="D55" s="34"/>
      <c r="E55" s="34"/>
      <c r="F55" s="34"/>
      <c r="G55" s="34"/>
      <c r="H55" s="34"/>
      <c r="I55" s="34"/>
      <c r="J55" s="34"/>
      <c r="K55" s="34"/>
      <c r="M55" s="34"/>
      <c r="N55" s="34"/>
      <c r="O55" s="35"/>
      <c r="P55" s="34"/>
      <c r="Q55" s="34"/>
      <c r="R55" s="34"/>
      <c r="S55" s="34"/>
      <c r="T55" s="34"/>
      <c r="U55" s="34"/>
      <c r="V55" s="37"/>
      <c r="W55" s="37"/>
    </row>
    <row r="56" spans="2:23" x14ac:dyDescent="0.2">
      <c r="B56" s="34"/>
      <c r="C56" s="34"/>
      <c r="D56" s="34"/>
      <c r="E56" s="34"/>
      <c r="F56" s="34"/>
      <c r="G56" s="34"/>
      <c r="H56" s="34"/>
      <c r="I56" s="34"/>
      <c r="J56" s="34"/>
      <c r="K56" s="34"/>
      <c r="M56" s="34"/>
      <c r="N56" s="34"/>
      <c r="O56" s="34"/>
      <c r="P56" s="37"/>
      <c r="Q56" s="37"/>
      <c r="R56" s="37"/>
      <c r="S56" s="38"/>
      <c r="T56" s="34"/>
      <c r="U56" s="34"/>
      <c r="V56" s="37"/>
      <c r="W56" s="37"/>
    </row>
    <row r="57" spans="2:23" x14ac:dyDescent="0.2">
      <c r="B57" s="34"/>
      <c r="C57" s="34"/>
      <c r="D57" s="34"/>
      <c r="E57" s="34"/>
      <c r="F57" s="34"/>
      <c r="G57" s="34"/>
      <c r="H57" s="34"/>
      <c r="I57" s="34"/>
      <c r="J57" s="34"/>
      <c r="K57" s="34"/>
      <c r="M57" s="34"/>
      <c r="N57" s="34"/>
      <c r="O57" s="34"/>
      <c r="P57" s="37"/>
      <c r="Q57" s="37"/>
      <c r="R57" s="37"/>
      <c r="S57" s="38"/>
      <c r="T57" s="34"/>
      <c r="U57" s="34"/>
      <c r="V57" s="37"/>
      <c r="W57" s="37"/>
    </row>
    <row r="58" spans="2:23" x14ac:dyDescent="0.2">
      <c r="B58" s="34"/>
      <c r="C58" s="34"/>
      <c r="D58" s="34"/>
      <c r="E58" s="34"/>
      <c r="F58" s="34"/>
      <c r="G58" s="34"/>
      <c r="H58" s="34"/>
      <c r="I58" s="34"/>
      <c r="J58" s="34"/>
      <c r="K58" s="34"/>
      <c r="M58" s="34"/>
      <c r="N58" s="34"/>
      <c r="O58" s="34"/>
      <c r="P58" s="37"/>
      <c r="Q58" s="37"/>
      <c r="R58" s="37"/>
      <c r="S58" s="38"/>
      <c r="T58" s="34"/>
      <c r="U58" s="34"/>
      <c r="V58" s="37"/>
      <c r="W58" s="37"/>
    </row>
    <row r="59" spans="2:23" x14ac:dyDescent="0.2">
      <c r="B59" s="34"/>
      <c r="C59" s="34"/>
      <c r="D59" s="34"/>
      <c r="E59" s="34"/>
      <c r="F59" s="34"/>
      <c r="G59" s="34"/>
      <c r="H59" s="34"/>
      <c r="I59" s="34"/>
      <c r="J59" s="34"/>
      <c r="K59" s="34"/>
      <c r="M59" s="34"/>
      <c r="N59" s="34"/>
      <c r="O59" s="34"/>
      <c r="P59" s="37"/>
      <c r="Q59" s="37"/>
      <c r="R59" s="37"/>
      <c r="S59" s="38"/>
      <c r="T59" s="34"/>
      <c r="U59" s="34"/>
      <c r="V59" s="37"/>
      <c r="W59" s="37"/>
    </row>
    <row r="60" spans="2:23" x14ac:dyDescent="0.2">
      <c r="B60" s="34"/>
      <c r="C60" s="34"/>
      <c r="D60" s="34"/>
      <c r="E60" s="34"/>
      <c r="F60" s="34"/>
      <c r="G60" s="34"/>
      <c r="H60" s="34"/>
      <c r="I60" s="34"/>
      <c r="J60" s="34"/>
      <c r="K60" s="34"/>
      <c r="M60" s="34"/>
      <c r="N60" s="34"/>
      <c r="O60" s="34"/>
      <c r="P60" s="37"/>
      <c r="Q60" s="37"/>
      <c r="R60" s="37"/>
      <c r="S60" s="38"/>
      <c r="T60" s="34"/>
      <c r="U60" s="34"/>
      <c r="V60" s="37"/>
      <c r="W60" s="37"/>
    </row>
    <row r="61" spans="2:23" x14ac:dyDescent="0.2">
      <c r="B61" s="34"/>
      <c r="C61" s="34"/>
      <c r="D61" s="34"/>
      <c r="E61" s="34"/>
      <c r="F61" s="34"/>
      <c r="G61" s="34"/>
      <c r="H61" s="34"/>
      <c r="I61" s="34"/>
      <c r="J61" s="34"/>
      <c r="K61" s="34"/>
      <c r="M61" s="34"/>
      <c r="N61" s="34"/>
      <c r="O61" s="34"/>
      <c r="P61" s="34"/>
      <c r="Q61" s="34"/>
      <c r="R61" s="34"/>
      <c r="S61" s="34"/>
      <c r="T61" s="34"/>
      <c r="U61" s="34"/>
      <c r="V61" s="37"/>
      <c r="W61" s="37"/>
    </row>
    <row r="62" spans="2:23" x14ac:dyDescent="0.2">
      <c r="B62" s="34"/>
      <c r="C62" s="34"/>
      <c r="D62" s="34"/>
      <c r="E62" s="34"/>
      <c r="F62" s="34"/>
      <c r="G62" s="34"/>
      <c r="H62" s="34"/>
      <c r="I62" s="34"/>
      <c r="J62" s="34"/>
      <c r="K62" s="34"/>
      <c r="M62" s="34"/>
      <c r="N62" s="34"/>
      <c r="O62" s="35"/>
      <c r="P62" s="34"/>
      <c r="Q62" s="34"/>
      <c r="R62" s="34"/>
      <c r="S62" s="34"/>
      <c r="T62" s="34"/>
      <c r="U62" s="34"/>
      <c r="V62" s="37"/>
      <c r="W62" s="37"/>
    </row>
    <row r="63" spans="2:23" x14ac:dyDescent="0.2">
      <c r="B63" s="34"/>
      <c r="C63" s="34"/>
      <c r="D63" s="34"/>
      <c r="E63" s="34"/>
      <c r="F63" s="34"/>
      <c r="G63" s="34"/>
      <c r="H63" s="34"/>
      <c r="I63" s="34"/>
      <c r="J63" s="34"/>
      <c r="K63" s="34"/>
      <c r="M63" s="34"/>
      <c r="N63" s="34"/>
      <c r="O63" s="34"/>
      <c r="P63" s="37"/>
      <c r="Q63" s="37"/>
      <c r="R63" s="37"/>
      <c r="S63" s="38"/>
      <c r="T63" s="34"/>
      <c r="U63" s="34"/>
      <c r="V63" s="37"/>
      <c r="W63" s="37"/>
    </row>
    <row r="64" spans="2:23" x14ac:dyDescent="0.2">
      <c r="B64" s="34"/>
      <c r="C64" s="34"/>
      <c r="D64" s="34"/>
      <c r="E64" s="34"/>
      <c r="F64" s="34"/>
      <c r="G64" s="34"/>
      <c r="H64" s="34"/>
      <c r="I64" s="34"/>
      <c r="J64" s="34"/>
      <c r="K64" s="34"/>
      <c r="M64" s="34"/>
      <c r="N64" s="34"/>
      <c r="O64" s="34"/>
      <c r="P64" s="37"/>
      <c r="Q64" s="37"/>
      <c r="R64" s="37"/>
      <c r="S64" s="38"/>
      <c r="T64" s="34"/>
      <c r="U64" s="34"/>
      <c r="V64" s="37"/>
      <c r="W64" s="37"/>
    </row>
    <row r="65" spans="2:23" x14ac:dyDescent="0.2">
      <c r="B65" s="34"/>
      <c r="C65" s="34"/>
      <c r="D65" s="34"/>
      <c r="E65" s="34"/>
      <c r="F65" s="34"/>
      <c r="G65" s="34"/>
      <c r="H65" s="34"/>
      <c r="I65" s="34"/>
      <c r="J65" s="34"/>
      <c r="K65" s="34"/>
      <c r="M65" s="34"/>
      <c r="N65" s="34"/>
      <c r="O65" s="34"/>
      <c r="P65" s="37"/>
      <c r="Q65" s="37"/>
      <c r="R65" s="37"/>
      <c r="S65" s="38"/>
      <c r="T65" s="34"/>
      <c r="U65" s="34"/>
      <c r="V65" s="37"/>
      <c r="W65" s="37"/>
    </row>
    <row r="66" spans="2:23" x14ac:dyDescent="0.2">
      <c r="B66" s="34"/>
      <c r="C66" s="34"/>
      <c r="D66" s="34"/>
      <c r="E66" s="34"/>
      <c r="F66" s="34"/>
      <c r="G66" s="34"/>
      <c r="H66" s="34"/>
      <c r="I66" s="34"/>
      <c r="J66" s="34"/>
      <c r="K66" s="34"/>
      <c r="M66" s="34"/>
      <c r="N66" s="34"/>
      <c r="O66" s="34"/>
      <c r="P66" s="37"/>
      <c r="Q66" s="37"/>
      <c r="R66" s="37"/>
      <c r="S66" s="38"/>
      <c r="T66" s="34"/>
      <c r="U66" s="34"/>
      <c r="V66" s="37"/>
      <c r="W66" s="37"/>
    </row>
    <row r="67" spans="2:23" x14ac:dyDescent="0.2">
      <c r="B67" s="34"/>
      <c r="C67" s="34"/>
      <c r="D67" s="34"/>
      <c r="E67" s="34"/>
      <c r="F67" s="34"/>
      <c r="G67" s="34"/>
      <c r="H67" s="34"/>
      <c r="I67" s="34"/>
      <c r="J67" s="34"/>
      <c r="K67" s="34"/>
      <c r="M67" s="34"/>
      <c r="N67" s="34"/>
      <c r="O67" s="34"/>
      <c r="P67" s="37"/>
      <c r="Q67" s="37"/>
      <c r="R67" s="37"/>
      <c r="S67" s="38"/>
      <c r="T67" s="34"/>
      <c r="U67" s="34"/>
      <c r="V67" s="37"/>
      <c r="W67" s="37"/>
    </row>
    <row r="68" spans="2:23" x14ac:dyDescent="0.2">
      <c r="B68" s="34"/>
      <c r="C68" s="34"/>
      <c r="D68" s="34"/>
      <c r="E68" s="34"/>
      <c r="F68" s="34"/>
      <c r="G68" s="34"/>
      <c r="H68" s="34"/>
      <c r="I68" s="34"/>
      <c r="J68" s="34"/>
      <c r="K68" s="34"/>
      <c r="M68" s="34"/>
      <c r="N68" s="34"/>
      <c r="O68" s="34"/>
      <c r="P68" s="34"/>
      <c r="Q68" s="34"/>
      <c r="R68" s="34"/>
      <c r="S68" s="34"/>
      <c r="T68" s="34"/>
      <c r="U68" s="34"/>
      <c r="V68" s="37"/>
      <c r="W68" s="37"/>
    </row>
    <row r="69" spans="2:23" x14ac:dyDescent="0.2">
      <c r="B69" s="34"/>
      <c r="C69" s="34"/>
      <c r="D69" s="34"/>
      <c r="E69" s="34"/>
      <c r="F69" s="34"/>
      <c r="G69" s="34"/>
      <c r="H69" s="34"/>
      <c r="I69" s="34"/>
      <c r="J69" s="34"/>
      <c r="K69" s="34"/>
      <c r="M69" s="34"/>
      <c r="N69" s="34"/>
      <c r="O69" s="35"/>
      <c r="P69" s="34"/>
      <c r="Q69" s="34"/>
      <c r="R69" s="34"/>
      <c r="S69" s="34"/>
      <c r="T69" s="34"/>
      <c r="U69" s="34"/>
      <c r="V69" s="37"/>
      <c r="W69" s="37"/>
    </row>
    <row r="70" spans="2:23" x14ac:dyDescent="0.2">
      <c r="B70" s="34"/>
      <c r="C70" s="34"/>
      <c r="D70" s="34"/>
      <c r="E70" s="34"/>
      <c r="F70" s="34"/>
      <c r="G70" s="34"/>
      <c r="H70" s="34"/>
      <c r="I70" s="34"/>
      <c r="J70" s="34"/>
      <c r="K70" s="34"/>
      <c r="M70" s="34"/>
      <c r="N70" s="34"/>
      <c r="O70" s="34"/>
      <c r="P70" s="37"/>
      <c r="Q70" s="37"/>
      <c r="R70" s="37"/>
      <c r="S70" s="38"/>
      <c r="T70" s="34"/>
      <c r="U70" s="34"/>
      <c r="V70" s="37"/>
      <c r="W70" s="37"/>
    </row>
    <row r="71" spans="2:23" x14ac:dyDescent="0.2">
      <c r="B71" s="34"/>
      <c r="C71" s="34"/>
      <c r="D71" s="34"/>
      <c r="E71" s="34"/>
      <c r="F71" s="34"/>
      <c r="G71" s="34"/>
      <c r="H71" s="34"/>
      <c r="I71" s="34"/>
      <c r="J71" s="34"/>
      <c r="K71" s="34"/>
      <c r="M71" s="34"/>
      <c r="N71" s="34"/>
      <c r="O71" s="34"/>
      <c r="P71" s="37"/>
      <c r="Q71" s="37"/>
      <c r="R71" s="37"/>
      <c r="S71" s="38"/>
      <c r="T71" s="34"/>
      <c r="U71" s="34"/>
      <c r="V71" s="37"/>
      <c r="W71" s="37"/>
    </row>
    <row r="72" spans="2:23" x14ac:dyDescent="0.2">
      <c r="B72" s="34"/>
      <c r="C72" s="34"/>
      <c r="D72" s="34"/>
      <c r="E72" s="34"/>
      <c r="F72" s="34"/>
      <c r="G72" s="34"/>
      <c r="H72" s="34"/>
      <c r="I72" s="34"/>
      <c r="J72" s="34"/>
      <c r="K72" s="34"/>
      <c r="M72" s="34"/>
      <c r="N72" s="34"/>
      <c r="O72" s="34"/>
      <c r="P72" s="37"/>
      <c r="Q72" s="37"/>
      <c r="R72" s="37"/>
      <c r="S72" s="38"/>
      <c r="T72" s="34"/>
      <c r="U72" s="34"/>
      <c r="V72" s="37"/>
      <c r="W72" s="37"/>
    </row>
    <row r="73" spans="2:23" x14ac:dyDescent="0.2">
      <c r="B73" s="34"/>
      <c r="C73" s="34"/>
      <c r="D73" s="34"/>
      <c r="E73" s="34"/>
      <c r="F73" s="34"/>
      <c r="G73" s="34"/>
      <c r="H73" s="34"/>
      <c r="I73" s="34"/>
      <c r="J73" s="34"/>
      <c r="K73" s="34"/>
      <c r="M73" s="34"/>
      <c r="N73" s="34"/>
      <c r="O73" s="34"/>
      <c r="P73" s="37"/>
      <c r="Q73" s="37"/>
      <c r="R73" s="37"/>
      <c r="S73" s="38"/>
      <c r="T73" s="34"/>
      <c r="U73" s="34"/>
      <c r="V73" s="37"/>
      <c r="W73" s="37"/>
    </row>
    <row r="74" spans="2:23" x14ac:dyDescent="0.2">
      <c r="B74" s="34"/>
      <c r="C74" s="34"/>
      <c r="D74" s="34"/>
      <c r="E74" s="34"/>
      <c r="F74" s="34"/>
      <c r="G74" s="34"/>
      <c r="H74" s="34"/>
      <c r="I74" s="34"/>
      <c r="J74" s="34"/>
      <c r="K74" s="34"/>
      <c r="M74" s="34"/>
      <c r="N74" s="34"/>
      <c r="O74" s="34"/>
      <c r="P74" s="37"/>
      <c r="Q74" s="37"/>
      <c r="R74" s="37"/>
      <c r="S74" s="38"/>
      <c r="T74" s="34"/>
      <c r="U74" s="34"/>
      <c r="V74" s="37"/>
      <c r="W74" s="37"/>
    </row>
    <row r="75" spans="2:23" x14ac:dyDescent="0.2">
      <c r="B75" s="34"/>
      <c r="C75" s="34"/>
      <c r="D75" s="34"/>
      <c r="E75" s="34"/>
      <c r="F75" s="34"/>
      <c r="G75" s="34"/>
      <c r="H75" s="34"/>
      <c r="I75" s="34"/>
      <c r="J75" s="34"/>
      <c r="K75" s="34"/>
      <c r="M75" s="34"/>
      <c r="N75" s="34"/>
      <c r="O75" s="34"/>
      <c r="P75" s="34"/>
      <c r="Q75" s="34"/>
      <c r="R75" s="34"/>
      <c r="S75" s="34"/>
      <c r="T75" s="34"/>
      <c r="U75" s="34"/>
      <c r="V75" s="37"/>
      <c r="W75" s="37"/>
    </row>
    <row r="76" spans="2:23" x14ac:dyDescent="0.2">
      <c r="B76" s="34"/>
      <c r="C76" s="34"/>
      <c r="D76" s="34"/>
      <c r="E76" s="34"/>
      <c r="F76" s="34"/>
      <c r="G76" s="34"/>
      <c r="H76" s="34"/>
      <c r="I76" s="34"/>
      <c r="J76" s="34"/>
      <c r="K76" s="34"/>
      <c r="M76" s="34"/>
      <c r="N76" s="34"/>
      <c r="O76" s="35"/>
      <c r="P76" s="34"/>
      <c r="Q76" s="34"/>
      <c r="R76" s="34"/>
      <c r="S76" s="34"/>
      <c r="T76" s="34"/>
      <c r="U76" s="34"/>
      <c r="V76" s="37"/>
      <c r="W76" s="37"/>
    </row>
    <row r="77" spans="2:23" x14ac:dyDescent="0.2">
      <c r="B77" s="34"/>
      <c r="C77" s="34"/>
      <c r="D77" s="34"/>
      <c r="E77" s="34"/>
      <c r="F77" s="34"/>
      <c r="G77" s="34"/>
      <c r="H77" s="34"/>
      <c r="I77" s="34"/>
      <c r="J77" s="34"/>
      <c r="K77" s="34"/>
      <c r="M77" s="34"/>
      <c r="N77" s="34"/>
      <c r="O77" s="34"/>
      <c r="P77" s="37"/>
      <c r="Q77" s="37"/>
      <c r="R77" s="37"/>
      <c r="S77" s="38"/>
      <c r="T77" s="34"/>
      <c r="U77" s="34"/>
      <c r="V77" s="37"/>
      <c r="W77" s="37"/>
    </row>
    <row r="78" spans="2:23" x14ac:dyDescent="0.2">
      <c r="B78" s="34"/>
      <c r="C78" s="34"/>
      <c r="D78" s="34"/>
      <c r="E78" s="34"/>
      <c r="F78" s="34"/>
      <c r="G78" s="34"/>
      <c r="H78" s="34"/>
      <c r="I78" s="34"/>
      <c r="J78" s="34"/>
      <c r="K78" s="34"/>
      <c r="M78" s="34"/>
      <c r="N78" s="34"/>
      <c r="O78" s="34"/>
      <c r="P78" s="37"/>
      <c r="Q78" s="37"/>
      <c r="R78" s="37"/>
      <c r="S78" s="38"/>
      <c r="T78" s="34"/>
      <c r="U78" s="34"/>
      <c r="V78" s="37"/>
      <c r="W78" s="37"/>
    </row>
    <row r="79" spans="2:23" x14ac:dyDescent="0.2">
      <c r="B79" s="34"/>
      <c r="C79" s="34"/>
      <c r="D79" s="34"/>
      <c r="E79" s="34"/>
      <c r="F79" s="34"/>
      <c r="G79" s="34"/>
      <c r="H79" s="34"/>
      <c r="I79" s="34"/>
      <c r="J79" s="34"/>
      <c r="K79" s="34"/>
      <c r="M79" s="34"/>
      <c r="N79" s="34"/>
      <c r="O79" s="34"/>
      <c r="P79" s="37"/>
      <c r="Q79" s="37"/>
      <c r="R79" s="37"/>
      <c r="S79" s="38"/>
      <c r="T79" s="34"/>
      <c r="U79" s="34"/>
      <c r="V79" s="37"/>
      <c r="W79" s="37"/>
    </row>
    <row r="80" spans="2:23" x14ac:dyDescent="0.2">
      <c r="B80" s="34"/>
      <c r="C80" s="34"/>
      <c r="D80" s="34"/>
      <c r="E80" s="34"/>
      <c r="F80" s="34"/>
      <c r="G80" s="34"/>
      <c r="H80" s="34"/>
      <c r="I80" s="34"/>
      <c r="J80" s="34"/>
      <c r="K80" s="34"/>
      <c r="M80" s="34"/>
      <c r="N80" s="34"/>
      <c r="O80" s="34"/>
      <c r="P80" s="37"/>
      <c r="Q80" s="37"/>
      <c r="R80" s="37"/>
      <c r="S80" s="38"/>
      <c r="T80" s="34"/>
      <c r="U80" s="34"/>
      <c r="V80" s="37"/>
      <c r="W80" s="37"/>
    </row>
    <row r="81" spans="2:23" x14ac:dyDescent="0.2">
      <c r="B81" s="34"/>
      <c r="C81" s="34"/>
      <c r="D81" s="34"/>
      <c r="E81" s="34"/>
      <c r="F81" s="34"/>
      <c r="G81" s="34"/>
      <c r="H81" s="34"/>
      <c r="I81" s="34"/>
      <c r="J81" s="34"/>
      <c r="K81" s="34"/>
      <c r="M81" s="34"/>
      <c r="N81" s="34"/>
      <c r="O81" s="34"/>
      <c r="P81" s="37"/>
      <c r="Q81" s="37"/>
      <c r="R81" s="37"/>
      <c r="S81" s="38"/>
      <c r="T81" s="34"/>
      <c r="U81" s="34"/>
      <c r="V81" s="37"/>
      <c r="W81" s="37"/>
    </row>
    <row r="82" spans="2:23" x14ac:dyDescent="0.2">
      <c r="B82" s="34"/>
      <c r="C82" s="34"/>
      <c r="D82" s="34"/>
      <c r="E82" s="34"/>
      <c r="F82" s="34"/>
      <c r="G82" s="34"/>
      <c r="H82" s="34"/>
      <c r="I82" s="34"/>
      <c r="J82" s="34"/>
      <c r="K82" s="34"/>
      <c r="M82" s="34"/>
      <c r="N82" s="34"/>
      <c r="O82" s="35"/>
      <c r="P82" s="34"/>
      <c r="Q82" s="34"/>
      <c r="R82" s="34"/>
      <c r="S82" s="34"/>
      <c r="T82" s="34"/>
      <c r="U82" s="34"/>
      <c r="V82" s="34"/>
      <c r="W82" s="34"/>
    </row>
    <row r="83" spans="2:23" x14ac:dyDescent="0.2">
      <c r="B83" s="34"/>
      <c r="C83" s="34"/>
      <c r="D83" s="34"/>
      <c r="E83" s="34"/>
      <c r="F83" s="34"/>
      <c r="G83" s="34"/>
      <c r="H83" s="34"/>
      <c r="I83" s="34"/>
      <c r="J83" s="34"/>
      <c r="K83" s="34"/>
      <c r="M83" s="34"/>
      <c r="N83" s="34"/>
      <c r="O83" s="35"/>
      <c r="P83" s="34"/>
      <c r="Q83" s="34"/>
      <c r="R83" s="34"/>
      <c r="S83" s="34"/>
      <c r="T83" s="34"/>
      <c r="U83" s="34"/>
      <c r="V83" s="34"/>
      <c r="W83" s="34"/>
    </row>
    <row r="84" spans="2:23" x14ac:dyDescent="0.2">
      <c r="B84" s="34"/>
      <c r="C84" s="34"/>
      <c r="D84" s="34"/>
      <c r="E84" s="34"/>
      <c r="F84" s="34"/>
      <c r="G84" s="34"/>
      <c r="H84" s="34"/>
      <c r="I84" s="34"/>
      <c r="J84" s="34"/>
      <c r="K84" s="34"/>
      <c r="M84" s="34"/>
      <c r="N84" s="34"/>
      <c r="O84" s="34"/>
      <c r="P84" s="37"/>
      <c r="Q84" s="37"/>
      <c r="R84" s="37"/>
      <c r="S84" s="38"/>
      <c r="T84" s="34"/>
      <c r="U84" s="34"/>
      <c r="V84" s="34"/>
      <c r="W84" s="34"/>
    </row>
    <row r="85" spans="2:23" x14ac:dyDescent="0.2">
      <c r="B85" s="34"/>
      <c r="C85" s="34"/>
      <c r="D85" s="34"/>
      <c r="E85" s="34"/>
      <c r="F85" s="34"/>
      <c r="G85" s="34"/>
      <c r="H85" s="34"/>
      <c r="I85" s="34"/>
      <c r="J85" s="34"/>
      <c r="K85" s="34"/>
      <c r="M85" s="34"/>
      <c r="N85" s="34"/>
      <c r="O85" s="34"/>
      <c r="P85" s="37"/>
      <c r="Q85" s="37"/>
      <c r="R85" s="37"/>
      <c r="S85" s="38"/>
      <c r="T85" s="34"/>
      <c r="U85" s="37"/>
      <c r="V85" s="34"/>
      <c r="W85" s="34"/>
    </row>
    <row r="86" spans="2:23" x14ac:dyDescent="0.2">
      <c r="B86" s="34"/>
      <c r="C86" s="34"/>
      <c r="D86" s="34"/>
      <c r="E86" s="34"/>
      <c r="F86" s="34"/>
      <c r="G86" s="34"/>
      <c r="H86" s="34"/>
      <c r="I86" s="34"/>
      <c r="J86" s="34"/>
      <c r="K86" s="34"/>
      <c r="M86" s="34"/>
      <c r="N86" s="34"/>
      <c r="O86" s="34"/>
      <c r="P86" s="37"/>
      <c r="Q86" s="37"/>
      <c r="R86" s="37"/>
      <c r="S86" s="38"/>
      <c r="T86" s="34"/>
      <c r="U86" s="34"/>
      <c r="V86" s="34"/>
      <c r="W86" s="34"/>
    </row>
    <row r="87" spans="2:23" x14ac:dyDescent="0.2">
      <c r="M87" s="34"/>
      <c r="N87" s="34"/>
      <c r="O87" s="34"/>
      <c r="P87" s="37"/>
      <c r="Q87" s="37"/>
      <c r="R87" s="37"/>
      <c r="S87" s="38"/>
      <c r="T87" s="34"/>
      <c r="U87" s="34"/>
      <c r="V87" s="34"/>
      <c r="W87" s="34"/>
    </row>
    <row r="88" spans="2:23" x14ac:dyDescent="0.2">
      <c r="B88" s="34"/>
      <c r="C88" s="34"/>
      <c r="D88" s="35"/>
      <c r="E88" s="38"/>
      <c r="F88" s="38"/>
      <c r="G88" s="38"/>
      <c r="H88" s="38"/>
      <c r="I88" s="34"/>
      <c r="J88" s="34"/>
      <c r="K88" s="34"/>
      <c r="L88" s="34"/>
      <c r="M88" s="34"/>
      <c r="N88" s="34"/>
    </row>
    <row r="89" spans="2:23" x14ac:dyDescent="0.2">
      <c r="B89" s="34"/>
      <c r="C89" s="34"/>
      <c r="D89" s="35"/>
      <c r="E89" s="38"/>
      <c r="F89" s="38"/>
      <c r="G89" s="38"/>
      <c r="H89" s="38"/>
      <c r="I89" s="34"/>
      <c r="J89" s="34"/>
      <c r="K89" s="34"/>
      <c r="L89" s="34"/>
      <c r="M89" s="34"/>
      <c r="N89" s="34"/>
    </row>
    <row r="90" spans="2:23" x14ac:dyDescent="0.2">
      <c r="D90" s="22"/>
    </row>
  </sheetData>
  <sheetProtection selectLockedCells="1"/>
  <mergeCells count="4">
    <mergeCell ref="C4:J4"/>
    <mergeCell ref="C23:J23"/>
    <mergeCell ref="K32:L32"/>
    <mergeCell ref="C27:J29"/>
  </mergeCells>
  <hyperlinks>
    <hyperlink ref="K32:L32" location="Selection!D6" display="Back to selection"/>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S61"/>
  <sheetViews>
    <sheetView showZeros="0" workbookViewId="0">
      <selection activeCell="K31" sqref="K31"/>
    </sheetView>
  </sheetViews>
  <sheetFormatPr defaultColWidth="8.69921875" defaultRowHeight="14.25" x14ac:dyDescent="0.2"/>
  <cols>
    <col min="1" max="4" width="8.69921875" style="7"/>
    <col min="5" max="5" width="12.19921875" style="7" customWidth="1"/>
    <col min="6" max="9" width="8.69921875" style="7"/>
    <col min="10" max="10" width="12.5" style="7" customWidth="1"/>
    <col min="11" max="12" width="8.69921875" style="7"/>
    <col min="13" max="13" width="8.8984375" style="7" bestFit="1" customWidth="1"/>
    <col min="14" max="16384" width="8.69921875" style="7"/>
  </cols>
  <sheetData>
    <row r="1" spans="2:15" ht="15" thickBot="1" x14ac:dyDescent="0.25"/>
    <row r="2" spans="2:15" ht="15" thickTop="1" x14ac:dyDescent="0.2">
      <c r="B2" s="96"/>
      <c r="C2" s="97"/>
      <c r="D2" s="97"/>
      <c r="E2" s="97"/>
      <c r="F2" s="97"/>
      <c r="G2" s="97"/>
      <c r="H2" s="97"/>
      <c r="I2" s="97"/>
      <c r="J2" s="97"/>
      <c r="K2" s="97"/>
      <c r="L2" s="97"/>
      <c r="M2" s="97"/>
      <c r="N2" s="97"/>
      <c r="O2" s="98"/>
    </row>
    <row r="3" spans="2:15" x14ac:dyDescent="0.2">
      <c r="B3" s="99"/>
      <c r="C3" s="32"/>
      <c r="D3" s="32"/>
      <c r="E3" s="32"/>
      <c r="F3" s="32"/>
      <c r="G3" s="32"/>
      <c r="H3" s="32"/>
      <c r="I3" s="32"/>
      <c r="J3" s="32"/>
      <c r="K3" s="32"/>
      <c r="L3" s="32"/>
      <c r="M3" s="32"/>
      <c r="N3" s="32"/>
      <c r="O3" s="100"/>
    </row>
    <row r="4" spans="2:15" x14ac:dyDescent="0.2">
      <c r="B4" s="99"/>
      <c r="C4" s="205" t="str">
        <f>"Inactivity Across Demographics in "&amp;B34</f>
        <v>Inactivity Across Demographics in GM</v>
      </c>
      <c r="D4" s="205"/>
      <c r="E4" s="205"/>
      <c r="F4" s="205"/>
      <c r="G4" s="205"/>
      <c r="H4" s="205"/>
      <c r="I4" s="205"/>
      <c r="J4" s="205"/>
      <c r="K4" s="205"/>
      <c r="L4" s="205"/>
      <c r="M4" s="205"/>
      <c r="N4" s="205"/>
      <c r="O4" s="100"/>
    </row>
    <row r="5" spans="2:15" x14ac:dyDescent="0.2">
      <c r="B5" s="99"/>
      <c r="C5" s="32"/>
      <c r="D5" s="32"/>
      <c r="E5" s="32"/>
      <c r="F5" s="32"/>
      <c r="G5" s="32"/>
      <c r="H5" s="32"/>
      <c r="I5" s="32"/>
      <c r="J5" s="32"/>
      <c r="K5" s="32"/>
      <c r="L5" s="32"/>
      <c r="M5" s="32"/>
      <c r="N5" s="32"/>
      <c r="O5" s="100"/>
    </row>
    <row r="6" spans="2:15" x14ac:dyDescent="0.2">
      <c r="B6" s="99"/>
      <c r="C6" s="32"/>
      <c r="D6" s="32"/>
      <c r="E6" s="32"/>
      <c r="F6" s="32"/>
      <c r="G6" s="32"/>
      <c r="H6" s="32"/>
      <c r="I6" s="32"/>
      <c r="J6" s="32"/>
      <c r="K6" s="32"/>
      <c r="L6" s="32"/>
      <c r="M6" s="32"/>
      <c r="N6" s="32"/>
      <c r="O6" s="100"/>
    </row>
    <row r="7" spans="2:15" x14ac:dyDescent="0.2">
      <c r="B7" s="99"/>
      <c r="C7" s="32"/>
      <c r="D7" s="32"/>
      <c r="E7" s="32"/>
      <c r="F7" s="32"/>
      <c r="G7" s="32"/>
      <c r="H7" s="32"/>
      <c r="I7" s="32"/>
      <c r="J7" s="32"/>
      <c r="K7" s="32"/>
      <c r="L7" s="32"/>
      <c r="M7" s="32"/>
      <c r="N7" s="32"/>
      <c r="O7" s="100"/>
    </row>
    <row r="8" spans="2:15" x14ac:dyDescent="0.2">
      <c r="B8" s="99"/>
      <c r="C8" s="32"/>
      <c r="D8" s="32"/>
      <c r="E8" s="32"/>
      <c r="F8" s="32"/>
      <c r="G8" s="32"/>
      <c r="H8" s="32"/>
      <c r="I8" s="32"/>
      <c r="J8" s="32"/>
      <c r="K8" s="32"/>
      <c r="L8" s="32"/>
      <c r="M8" s="32"/>
      <c r="N8" s="32"/>
      <c r="O8" s="100"/>
    </row>
    <row r="9" spans="2:15" x14ac:dyDescent="0.2">
      <c r="B9" s="99"/>
      <c r="C9" s="32"/>
      <c r="D9" s="32"/>
      <c r="E9" s="32"/>
      <c r="F9" s="32"/>
      <c r="G9" s="32"/>
      <c r="H9" s="32"/>
      <c r="I9" s="32"/>
      <c r="J9" s="32"/>
      <c r="K9" s="32"/>
      <c r="L9" s="32"/>
      <c r="M9" s="32"/>
      <c r="N9" s="32"/>
      <c r="O9" s="100"/>
    </row>
    <row r="10" spans="2:15" x14ac:dyDescent="0.2">
      <c r="B10" s="99"/>
      <c r="C10" s="32"/>
      <c r="D10" s="32"/>
      <c r="E10" s="32"/>
      <c r="F10" s="32"/>
      <c r="G10" s="32"/>
      <c r="H10" s="32"/>
      <c r="I10" s="32"/>
      <c r="J10" s="32"/>
      <c r="K10" s="32"/>
      <c r="L10" s="32"/>
      <c r="M10" s="32"/>
      <c r="N10" s="32"/>
      <c r="O10" s="100"/>
    </row>
    <row r="11" spans="2:15" x14ac:dyDescent="0.2">
      <c r="B11" s="99"/>
      <c r="C11" s="32"/>
      <c r="D11" s="32"/>
      <c r="E11" s="32"/>
      <c r="F11" s="32"/>
      <c r="G11" s="32"/>
      <c r="H11" s="32"/>
      <c r="I11" s="32"/>
      <c r="J11" s="32"/>
      <c r="K11" s="32"/>
      <c r="L11" s="32"/>
      <c r="M11" s="32"/>
      <c r="N11" s="32"/>
      <c r="O11" s="100"/>
    </row>
    <row r="12" spans="2:15" x14ac:dyDescent="0.2">
      <c r="B12" s="99"/>
      <c r="C12" s="32"/>
      <c r="D12" s="32"/>
      <c r="E12" s="32"/>
      <c r="F12" s="32"/>
      <c r="G12" s="32"/>
      <c r="H12" s="32"/>
      <c r="I12" s="32"/>
      <c r="J12" s="32"/>
      <c r="K12" s="32"/>
      <c r="L12" s="32"/>
      <c r="M12" s="32"/>
      <c r="N12" s="32"/>
      <c r="O12" s="100"/>
    </row>
    <row r="13" spans="2:15" x14ac:dyDescent="0.2">
      <c r="B13" s="99"/>
      <c r="C13" s="32"/>
      <c r="D13" s="32"/>
      <c r="E13" s="32"/>
      <c r="F13" s="32"/>
      <c r="G13" s="32"/>
      <c r="H13" s="32"/>
      <c r="I13" s="32"/>
      <c r="J13" s="32"/>
      <c r="K13" s="32"/>
      <c r="L13" s="32"/>
      <c r="M13" s="32"/>
      <c r="N13" s="32"/>
      <c r="O13" s="100"/>
    </row>
    <row r="14" spans="2:15" x14ac:dyDescent="0.2">
      <c r="B14" s="99"/>
      <c r="C14" s="32"/>
      <c r="D14" s="32"/>
      <c r="E14" s="32"/>
      <c r="F14" s="32"/>
      <c r="G14" s="32"/>
      <c r="H14" s="32"/>
      <c r="I14" s="32"/>
      <c r="J14" s="32"/>
      <c r="K14" s="32"/>
      <c r="L14" s="32"/>
      <c r="M14" s="32"/>
      <c r="N14" s="32"/>
      <c r="O14" s="100"/>
    </row>
    <row r="15" spans="2:15" x14ac:dyDescent="0.2">
      <c r="B15" s="99"/>
      <c r="C15" s="32"/>
      <c r="D15" s="32"/>
      <c r="E15" s="32"/>
      <c r="F15" s="32"/>
      <c r="G15" s="32"/>
      <c r="H15" s="32"/>
      <c r="I15" s="32"/>
      <c r="J15" s="32"/>
      <c r="K15" s="32"/>
      <c r="L15" s="32"/>
      <c r="M15" s="32"/>
      <c r="N15" s="32"/>
      <c r="O15" s="100"/>
    </row>
    <row r="16" spans="2:15" x14ac:dyDescent="0.2">
      <c r="B16" s="99"/>
      <c r="C16" s="32"/>
      <c r="D16" s="32"/>
      <c r="E16" s="32"/>
      <c r="F16" s="32"/>
      <c r="G16" s="32"/>
      <c r="H16" s="32"/>
      <c r="I16" s="32"/>
      <c r="J16" s="32"/>
      <c r="K16" s="32"/>
      <c r="L16" s="32"/>
      <c r="M16" s="32"/>
      <c r="N16" s="32"/>
      <c r="O16" s="100"/>
    </row>
    <row r="17" spans="2:19" x14ac:dyDescent="0.2">
      <c r="B17" s="99"/>
      <c r="C17" s="32"/>
      <c r="D17" s="32"/>
      <c r="E17" s="32"/>
      <c r="F17" s="32"/>
      <c r="G17" s="32"/>
      <c r="H17" s="32"/>
      <c r="I17" s="32"/>
      <c r="J17" s="32"/>
      <c r="K17" s="32"/>
      <c r="L17" s="32"/>
      <c r="M17" s="32"/>
      <c r="N17" s="32"/>
      <c r="O17" s="100"/>
    </row>
    <row r="18" spans="2:19" x14ac:dyDescent="0.2">
      <c r="B18" s="99"/>
      <c r="C18" s="32"/>
      <c r="D18" s="32"/>
      <c r="E18" s="32"/>
      <c r="F18" s="32"/>
      <c r="G18" s="32"/>
      <c r="H18" s="32"/>
      <c r="I18" s="32"/>
      <c r="J18" s="32"/>
      <c r="K18" s="32"/>
      <c r="L18" s="32"/>
      <c r="M18" s="32"/>
      <c r="N18" s="32"/>
      <c r="O18" s="100"/>
      <c r="S18" s="37"/>
    </row>
    <row r="19" spans="2:19" x14ac:dyDescent="0.2">
      <c r="B19" s="99"/>
      <c r="C19" s="32"/>
      <c r="D19" s="32"/>
      <c r="E19" s="32"/>
      <c r="F19" s="32"/>
      <c r="G19" s="32"/>
      <c r="H19" s="32"/>
      <c r="I19" s="32"/>
      <c r="J19" s="32"/>
      <c r="K19" s="32"/>
      <c r="L19" s="32"/>
      <c r="M19" s="32"/>
      <c r="N19" s="32"/>
      <c r="O19" s="100"/>
      <c r="S19" s="37"/>
    </row>
    <row r="20" spans="2:19" x14ac:dyDescent="0.2">
      <c r="B20" s="99"/>
      <c r="C20" s="32"/>
      <c r="D20" s="32"/>
      <c r="E20" s="32"/>
      <c r="F20" s="32"/>
      <c r="G20" s="32"/>
      <c r="H20" s="32"/>
      <c r="I20" s="32"/>
      <c r="J20" s="32"/>
      <c r="K20" s="32"/>
      <c r="L20" s="32"/>
      <c r="M20" s="32"/>
      <c r="N20" s="32"/>
      <c r="O20" s="100"/>
      <c r="S20" s="34"/>
    </row>
    <row r="21" spans="2:19" x14ac:dyDescent="0.2">
      <c r="B21" s="99"/>
      <c r="C21" s="32"/>
      <c r="D21" s="32"/>
      <c r="E21" s="32"/>
      <c r="F21" s="32"/>
      <c r="G21" s="32"/>
      <c r="H21" s="32"/>
      <c r="I21" s="32"/>
      <c r="J21" s="32"/>
      <c r="K21" s="32"/>
      <c r="L21" s="32"/>
      <c r="M21" s="32"/>
      <c r="N21" s="32"/>
      <c r="O21" s="100"/>
      <c r="S21" s="34"/>
    </row>
    <row r="22" spans="2:19" x14ac:dyDescent="0.2">
      <c r="B22" s="99"/>
      <c r="C22" s="32"/>
      <c r="D22" s="32"/>
      <c r="E22" s="32"/>
      <c r="F22" s="32"/>
      <c r="G22" s="32"/>
      <c r="H22" s="32"/>
      <c r="I22" s="32"/>
      <c r="J22" s="32"/>
      <c r="K22" s="32"/>
      <c r="L22" s="32"/>
      <c r="M22" s="32"/>
      <c r="N22" s="32"/>
      <c r="O22" s="100"/>
      <c r="S22" s="34"/>
    </row>
    <row r="23" spans="2:19" x14ac:dyDescent="0.2">
      <c r="B23" s="99"/>
      <c r="C23" s="221" t="str">
        <f>CONCATENATE("Source: Sport England Active Lives Survey, ", IF(D35="Work Status", "May 2018/19", "November 2015/16"), " to May 2019/20, adults 16+")</f>
        <v>Source: Sport England Active Lives Survey, November 2015/16 to May 2019/20, adults 16+</v>
      </c>
      <c r="D23" s="221"/>
      <c r="E23" s="221"/>
      <c r="F23" s="221"/>
      <c r="G23" s="221"/>
      <c r="H23" s="221"/>
      <c r="I23" s="221"/>
      <c r="J23" s="221"/>
      <c r="K23" s="32"/>
      <c r="L23" s="179"/>
      <c r="M23" s="32"/>
      <c r="N23" s="32"/>
      <c r="O23" s="100"/>
    </row>
    <row r="24" spans="2:19" ht="15" thickBot="1" x14ac:dyDescent="0.25">
      <c r="B24" s="101"/>
      <c r="C24" s="23"/>
      <c r="D24" s="23"/>
      <c r="E24" s="23"/>
      <c r="F24" s="23"/>
      <c r="G24" s="23"/>
      <c r="H24" s="23"/>
      <c r="I24" s="23"/>
      <c r="J24" s="23"/>
      <c r="K24" s="23"/>
      <c r="L24" s="23"/>
      <c r="M24" s="23"/>
      <c r="N24" s="23"/>
      <c r="O24" s="102"/>
    </row>
    <row r="25" spans="2:19" ht="15" thickTop="1" x14ac:dyDescent="0.2"/>
    <row r="26" spans="2:19" x14ac:dyDescent="0.2">
      <c r="N26" s="195" t="s">
        <v>147</v>
      </c>
      <c r="O26" s="195"/>
    </row>
    <row r="27" spans="2:19" x14ac:dyDescent="0.2">
      <c r="B27" s="91"/>
      <c r="C27" s="91"/>
      <c r="D27" s="91"/>
      <c r="E27" s="91"/>
      <c r="F27" s="91"/>
      <c r="G27" s="91"/>
      <c r="H27" s="91"/>
      <c r="I27" s="91"/>
      <c r="J27" s="91"/>
      <c r="K27" s="91"/>
      <c r="L27" s="91"/>
      <c r="M27" s="91"/>
      <c r="N27" s="91"/>
      <c r="O27" s="91"/>
      <c r="P27" s="91"/>
      <c r="Q27" s="91"/>
      <c r="R27" s="91"/>
      <c r="S27" s="91"/>
    </row>
    <row r="28" spans="2:19" x14ac:dyDescent="0.2">
      <c r="B28" s="92"/>
      <c r="C28" s="91"/>
      <c r="D28" s="91"/>
      <c r="E28" s="91"/>
      <c r="F28" s="91"/>
      <c r="G28" s="91"/>
      <c r="H28" s="91"/>
      <c r="I28" s="91"/>
      <c r="J28" s="91"/>
      <c r="K28" s="91"/>
      <c r="L28" s="91"/>
      <c r="M28" s="91"/>
      <c r="N28" s="91"/>
      <c r="O28" s="91"/>
      <c r="P28" s="91"/>
      <c r="Q28" s="91"/>
      <c r="R28" s="91"/>
      <c r="S28" s="91"/>
    </row>
    <row r="29" spans="2:19" x14ac:dyDescent="0.2">
      <c r="B29" s="34"/>
      <c r="C29" s="33"/>
      <c r="D29" s="33"/>
      <c r="E29" s="33"/>
      <c r="F29" s="33"/>
      <c r="G29" s="33"/>
      <c r="I29" s="33"/>
      <c r="J29" s="34"/>
      <c r="K29" s="34"/>
      <c r="L29" s="34"/>
      <c r="M29" s="34"/>
      <c r="N29" s="34"/>
      <c r="O29" s="34"/>
    </row>
    <row r="30" spans="2:19" x14ac:dyDescent="0.2">
      <c r="B30" s="33"/>
      <c r="C30" s="33"/>
      <c r="D30" s="33"/>
      <c r="E30" s="33"/>
      <c r="F30" s="33"/>
      <c r="G30" s="33"/>
      <c r="H30" s="33"/>
      <c r="I30" s="33"/>
      <c r="J30" s="34"/>
      <c r="K30" s="34"/>
      <c r="L30" s="34"/>
      <c r="M30" s="34"/>
      <c r="N30" s="34"/>
      <c r="O30" s="34"/>
    </row>
    <row r="31" spans="2:19" x14ac:dyDescent="0.2">
      <c r="B31" s="34"/>
      <c r="C31" s="34"/>
      <c r="D31" s="34"/>
      <c r="E31" s="34"/>
      <c r="F31" s="34"/>
      <c r="G31" s="34"/>
      <c r="H31" s="34"/>
      <c r="I31" s="34"/>
      <c r="J31" s="34"/>
      <c r="K31" s="34"/>
      <c r="L31" s="34"/>
      <c r="M31" s="34"/>
      <c r="N31" s="34"/>
      <c r="O31" s="34"/>
    </row>
    <row r="32" spans="2:19" x14ac:dyDescent="0.2">
      <c r="B32" s="34"/>
      <c r="C32" s="34"/>
      <c r="D32" s="34"/>
      <c r="E32" s="34"/>
      <c r="F32" s="34"/>
      <c r="G32" s="34"/>
      <c r="H32" s="34"/>
      <c r="I32" s="34"/>
      <c r="J32" s="34"/>
      <c r="K32" s="34"/>
      <c r="L32" s="34"/>
      <c r="M32" s="34"/>
      <c r="N32" s="34"/>
      <c r="O32" s="34"/>
    </row>
    <row r="33" spans="2:15" x14ac:dyDescent="0.2">
      <c r="B33" s="34"/>
      <c r="C33" s="34"/>
      <c r="D33" s="34" t="s">
        <v>317</v>
      </c>
      <c r="E33" s="34"/>
      <c r="F33" s="34"/>
      <c r="G33" s="34" t="s">
        <v>193</v>
      </c>
      <c r="H33" s="34"/>
      <c r="I33" s="34"/>
      <c r="J33" s="34"/>
      <c r="K33" s="34"/>
      <c r="L33" s="34"/>
      <c r="M33" s="34"/>
      <c r="N33" s="34"/>
      <c r="O33" s="34"/>
    </row>
    <row r="34" spans="2:15" x14ac:dyDescent="0.2">
      <c r="B34" s="34" t="str">
        <f>Selection!D7</f>
        <v>GM</v>
      </c>
      <c r="D34" s="34" t="s">
        <v>1</v>
      </c>
      <c r="E34" s="49">
        <f ca="1">INDIRECT(""&amp;B34&amp;"!BM10")</f>
        <v>0.26920764912802153</v>
      </c>
      <c r="F34" s="34"/>
      <c r="G34" s="34" t="s">
        <v>1</v>
      </c>
      <c r="H34" s="49">
        <f ca="1">INDIRECT(""&amp;B34&amp;"!BM3")</f>
        <v>0.26831139673792948</v>
      </c>
      <c r="I34" s="34"/>
      <c r="J34" s="34"/>
      <c r="K34" s="34"/>
      <c r="L34" s="34"/>
      <c r="N34" s="34"/>
      <c r="O34" s="34"/>
    </row>
    <row r="35" spans="2:15" x14ac:dyDescent="0.2">
      <c r="D35" s="34" t="s">
        <v>2</v>
      </c>
      <c r="E35" s="49">
        <f ca="1">INDIRECT(""&amp;B34&amp;"!BN10")</f>
        <v>0.28831874218203785</v>
      </c>
      <c r="F35" s="34"/>
      <c r="G35" s="34" t="s">
        <v>2</v>
      </c>
      <c r="H35" s="49">
        <f ca="1">INDIRECT(""&amp;B34&amp;"!BN3")</f>
        <v>0.299526842200245</v>
      </c>
      <c r="I35" s="34"/>
      <c r="J35" s="37"/>
      <c r="K35" s="37"/>
      <c r="L35" s="38"/>
      <c r="N35" s="34"/>
      <c r="O35" s="34"/>
    </row>
    <row r="36" spans="2:15" x14ac:dyDescent="0.2">
      <c r="C36" s="34"/>
      <c r="D36" s="34" t="s">
        <v>3</v>
      </c>
      <c r="E36" s="49">
        <f ca="1">INDIRECT(""&amp;B34&amp;"!BO10")</f>
        <v>0.22244125432777362</v>
      </c>
      <c r="F36" s="37"/>
      <c r="G36" s="34" t="s">
        <v>3</v>
      </c>
      <c r="H36" s="49">
        <f ca="1">INDIRECT(""&amp;B34&amp;"!BO3")</f>
        <v>0.19827008887097503</v>
      </c>
      <c r="I36" s="34"/>
      <c r="J36" s="34"/>
      <c r="K36" s="37"/>
      <c r="L36" s="37"/>
      <c r="N36" s="34"/>
      <c r="O36" s="34"/>
    </row>
    <row r="37" spans="2:15" x14ac:dyDescent="0.2">
      <c r="D37" s="34" t="s">
        <v>4</v>
      </c>
      <c r="E37" s="49">
        <f ca="1">INDIRECT(""&amp;B34&amp;"!BP10")</f>
        <v>0.26853030429921915</v>
      </c>
      <c r="F37" s="37"/>
      <c r="G37" s="34" t="s">
        <v>4</v>
      </c>
      <c r="H37" s="49">
        <f ca="1">INDIRECT(""&amp;B34&amp;"!BP3")</f>
        <v>0.26837628622706239</v>
      </c>
      <c r="I37" s="34"/>
      <c r="J37" s="37"/>
      <c r="K37" s="38"/>
      <c r="N37" s="34"/>
      <c r="O37" s="34"/>
    </row>
    <row r="38" spans="2:15" ht="15" x14ac:dyDescent="0.25">
      <c r="D38" s="34" t="s">
        <v>5</v>
      </c>
      <c r="E38" s="49">
        <f ca="1">INDIRECT(""&amp;B34&amp;"!BQ10")</f>
        <v>0.30360978763402757</v>
      </c>
      <c r="F38" s="37"/>
      <c r="G38" s="34" t="s">
        <v>5</v>
      </c>
      <c r="H38" s="49">
        <f ca="1">INDIRECT(""&amp;B34&amp;"!BQ3")</f>
        <v>0.33520131321686619</v>
      </c>
      <c r="I38" s="34"/>
      <c r="J38" s="34"/>
      <c r="K38" s="37"/>
      <c r="L38" s="90"/>
      <c r="N38" s="34"/>
      <c r="O38" s="34"/>
    </row>
    <row r="39" spans="2:15" x14ac:dyDescent="0.2">
      <c r="D39" s="34" t="s">
        <v>6</v>
      </c>
      <c r="E39" s="49">
        <f ca="1">INDIRECT(""&amp;B34&amp;"!BR10")</f>
        <v>0.50128737446352789</v>
      </c>
      <c r="F39" s="37"/>
      <c r="G39" s="34" t="s">
        <v>6</v>
      </c>
      <c r="H39" s="49">
        <f ca="1">INDIRECT(""&amp;B34&amp;"!BR3")</f>
        <v>0.55053966985350034</v>
      </c>
      <c r="I39" s="34"/>
      <c r="J39" s="34"/>
      <c r="K39" s="37"/>
      <c r="L39" s="34"/>
      <c r="N39" s="37"/>
      <c r="O39" s="34"/>
    </row>
    <row r="40" spans="2:15" x14ac:dyDescent="0.2">
      <c r="D40" s="34" t="s">
        <v>7</v>
      </c>
      <c r="E40" s="49">
        <f ca="1">INDIRECT(""&amp;B34&amp;"!BS10")</f>
        <v>0.24511286682878677</v>
      </c>
      <c r="F40" s="37"/>
      <c r="G40" s="34" t="s">
        <v>7</v>
      </c>
      <c r="H40" s="49">
        <f ca="1">INDIRECT(""&amp;B34&amp;"!BS3")</f>
        <v>0</v>
      </c>
      <c r="I40" s="34"/>
      <c r="J40" s="34"/>
      <c r="K40" s="37"/>
      <c r="L40" s="34"/>
      <c r="N40" s="37"/>
      <c r="O40" s="34"/>
    </row>
    <row r="41" spans="2:15" x14ac:dyDescent="0.2">
      <c r="D41" s="34" t="s">
        <v>8</v>
      </c>
      <c r="E41" s="49">
        <f ca="1">INDIRECT(""&amp;B34&amp;"!BT10")</f>
        <v>0.35216741633460524</v>
      </c>
      <c r="F41" s="37"/>
      <c r="G41" s="34" t="s">
        <v>8</v>
      </c>
      <c r="H41" s="49">
        <f ca="1">INDIRECT(""&amp;B34&amp;"!BT3")</f>
        <v>0</v>
      </c>
      <c r="I41" s="34"/>
      <c r="J41" s="34"/>
      <c r="K41" s="37"/>
      <c r="L41" s="34"/>
      <c r="N41" s="37"/>
      <c r="O41" s="34"/>
    </row>
    <row r="42" spans="2:15" x14ac:dyDescent="0.2">
      <c r="D42" s="34" t="s">
        <v>9</v>
      </c>
      <c r="E42" s="49">
        <f ca="1">INDIRECT(""&amp;B34&amp;"!BU10")</f>
        <v>0.43918228516997332</v>
      </c>
      <c r="F42" s="37"/>
      <c r="G42" s="34" t="s">
        <v>9</v>
      </c>
      <c r="H42" s="49">
        <f ca="1">INDIRECT(""&amp;B34&amp;"!BU3")</f>
        <v>0.46066370987955918</v>
      </c>
      <c r="I42" s="34"/>
      <c r="J42" s="34"/>
      <c r="K42" s="37"/>
      <c r="L42" s="34"/>
      <c r="M42" s="37"/>
      <c r="N42" s="37"/>
      <c r="O42" s="34"/>
    </row>
    <row r="43" spans="2:15" x14ac:dyDescent="0.2">
      <c r="D43" s="34" t="s">
        <v>10</v>
      </c>
      <c r="E43" s="49">
        <f ca="1">INDIRECT(""&amp;B34&amp;"!BV10")</f>
        <v>0.23800147179202341</v>
      </c>
      <c r="F43" s="34"/>
      <c r="G43" s="34" t="s">
        <v>10</v>
      </c>
      <c r="H43" s="49">
        <f ca="1">INDIRECT(""&amp;B34&amp;"!BV3")</f>
        <v>0.23382209759962425</v>
      </c>
      <c r="I43" s="34"/>
      <c r="J43" s="34"/>
      <c r="K43" s="34"/>
      <c r="N43" s="34"/>
      <c r="O43" s="34"/>
    </row>
    <row r="44" spans="2:15" x14ac:dyDescent="0.2">
      <c r="D44" s="34" t="s">
        <v>11</v>
      </c>
      <c r="E44" s="49">
        <f ca="1">INDIRECT(""&amp;B34&amp;"!BW10")</f>
        <v>0.25792704646842401</v>
      </c>
      <c r="F44" s="34"/>
      <c r="G44" s="34" t="s">
        <v>11</v>
      </c>
      <c r="H44" s="49">
        <f ca="1">INDIRECT(""&amp;B34&amp;"!BW3")</f>
        <v>0.27448645077355166</v>
      </c>
      <c r="I44" s="34"/>
      <c r="J44" s="34"/>
      <c r="K44" s="34"/>
      <c r="M44" s="34"/>
      <c r="N44" s="34"/>
      <c r="O44" s="34"/>
    </row>
    <row r="45" spans="2:15" x14ac:dyDescent="0.2">
      <c r="D45" s="34" t="s">
        <v>12</v>
      </c>
      <c r="E45" s="49">
        <f ca="1">INDIRECT(""&amp;B34&amp;"!BX10")</f>
        <v>0.23451185293009758</v>
      </c>
      <c r="F45" s="34"/>
      <c r="G45" s="34" t="s">
        <v>12</v>
      </c>
      <c r="H45" s="49">
        <f ca="1">INDIRECT(""&amp;B34&amp;"!BX3")</f>
        <v>0.24034390770252326</v>
      </c>
      <c r="I45" s="34"/>
      <c r="J45" s="34"/>
      <c r="K45" s="34"/>
      <c r="M45" s="34"/>
      <c r="N45" s="34"/>
      <c r="O45" s="34"/>
    </row>
    <row r="46" spans="2:15" x14ac:dyDescent="0.2">
      <c r="D46" s="34" t="s">
        <v>13</v>
      </c>
      <c r="E46" s="49">
        <f ca="1">INDIRECT(""&amp;B34&amp;"!BY10")</f>
        <v>0.38795953446431936</v>
      </c>
      <c r="F46" s="37"/>
      <c r="G46" s="34" t="s">
        <v>13</v>
      </c>
      <c r="H46" s="49">
        <f ca="1">INDIRECT(""&amp;B34&amp;"!BY3")</f>
        <v>0.31119229432838003</v>
      </c>
      <c r="I46" s="34"/>
      <c r="J46" s="34"/>
      <c r="K46" s="34"/>
      <c r="M46" s="34"/>
      <c r="N46" s="34"/>
      <c r="O46" s="34"/>
    </row>
    <row r="47" spans="2:15" x14ac:dyDescent="0.2">
      <c r="D47" s="34" t="s">
        <v>14</v>
      </c>
      <c r="E47" s="49">
        <f ca="1">INDIRECT(""&amp;B34&amp;"!BZ10")</f>
        <v>0.4616999328048253</v>
      </c>
      <c r="F47" s="37"/>
      <c r="G47" s="34" t="s">
        <v>14</v>
      </c>
      <c r="H47" s="49">
        <f ca="1">INDIRECT(""&amp;B34&amp;"!BZ3")</f>
        <v>0.37036705049796176</v>
      </c>
      <c r="I47" s="34"/>
      <c r="J47" s="37"/>
      <c r="K47" s="34"/>
      <c r="M47" s="34"/>
      <c r="N47" s="34"/>
      <c r="O47" s="34"/>
    </row>
    <row r="48" spans="2:15" x14ac:dyDescent="0.2">
      <c r="D48" s="34" t="s">
        <v>15</v>
      </c>
      <c r="E48" s="49">
        <f ca="1">INDIRECT(""&amp;B34&amp;"!CA10")</f>
        <v>0.2902565754492758</v>
      </c>
      <c r="F48" s="37"/>
      <c r="G48" s="34" t="s">
        <v>15</v>
      </c>
      <c r="H48" s="49">
        <f ca="1">INDIRECT(""&amp;B34&amp;"!CA3")</f>
        <v>0.46304899568934182</v>
      </c>
      <c r="I48" s="34"/>
      <c r="J48" s="34"/>
      <c r="K48" s="34"/>
      <c r="L48" s="34"/>
      <c r="M48" s="34"/>
      <c r="N48" s="34"/>
      <c r="O48" s="34"/>
    </row>
    <row r="49" spans="4:15" x14ac:dyDescent="0.2">
      <c r="D49" s="34" t="s">
        <v>16</v>
      </c>
      <c r="E49" s="49">
        <f ca="1">INDIRECT(""&amp;B34&amp;"!CB10")</f>
        <v>0.22791204366454973</v>
      </c>
      <c r="F49" s="37"/>
      <c r="G49" s="34" t="s">
        <v>16</v>
      </c>
      <c r="H49" s="49">
        <f ca="1">INDIRECT(""&amp;B34&amp;"!CB3")</f>
        <v>0.26741989559591312</v>
      </c>
      <c r="I49" s="34"/>
      <c r="J49" s="34"/>
      <c r="K49" s="34"/>
      <c r="L49" s="34"/>
      <c r="M49" s="34"/>
      <c r="N49" s="34"/>
      <c r="O49" s="34"/>
    </row>
    <row r="50" spans="4:15" x14ac:dyDescent="0.2">
      <c r="D50" s="34" t="s">
        <v>17</v>
      </c>
      <c r="E50" s="49">
        <f ca="1">INDIRECT(""&amp;B34&amp;"!CV10")</f>
        <v>0.30565360374688755</v>
      </c>
      <c r="F50" s="37"/>
      <c r="G50" s="34" t="s">
        <v>17</v>
      </c>
      <c r="H50" s="49">
        <f ca="1">INDIRECT(""&amp;B34&amp;"!CC3")</f>
        <v>0.41643493752234273</v>
      </c>
      <c r="I50" s="34"/>
      <c r="J50" s="34"/>
      <c r="K50" s="34"/>
      <c r="M50" s="34"/>
      <c r="N50" s="34"/>
      <c r="O50" s="34"/>
    </row>
    <row r="51" spans="4:15" x14ac:dyDescent="0.2">
      <c r="D51" s="34" t="s">
        <v>326</v>
      </c>
      <c r="E51" s="49">
        <f ca="1">INDIRECT(""&amp;B34&amp;"!CD10")</f>
        <v>0.18317782224902929</v>
      </c>
      <c r="F51" s="37" t="str">
        <f ca="1">IF(D51="Mixed",(INDIRECT(""&amp;B45&amp;"!AX3")),IF(D51="Student",(INDIRECT(""&amp;B45&amp;"!BI3")),""))</f>
        <v/>
      </c>
      <c r="G51" s="34" t="s">
        <v>18</v>
      </c>
      <c r="H51" s="49">
        <f ca="1">INDIRECT(""&amp;B34&amp;"!CD3")</f>
        <v>0.18818191908114837</v>
      </c>
      <c r="I51" s="34"/>
      <c r="J51" s="34"/>
      <c r="K51" s="34"/>
      <c r="L51" s="34"/>
      <c r="M51" s="34"/>
      <c r="N51" s="34"/>
      <c r="O51" s="34"/>
    </row>
    <row r="52" spans="4:15" x14ac:dyDescent="0.2">
      <c r="D52" s="34" t="s">
        <v>327</v>
      </c>
      <c r="E52" s="49">
        <f ca="1">INDIRECT(""&amp;B34&amp;"!CE10")</f>
        <v>0.28244726080064925</v>
      </c>
      <c r="F52" s="37" t="str">
        <f ca="1">IF(D47="Other",(INDIRECT(""&amp;B45&amp;"!AY3")),IF(D47="Other Work Status",(INDIRECT(""&amp;B45&amp;"!BJ3")),""))</f>
        <v/>
      </c>
      <c r="G52" s="34" t="s">
        <v>19</v>
      </c>
      <c r="H52" s="49">
        <f ca="1">INDIRECT(""&amp;B34&amp;"!CE3")</f>
        <v>0.27937827281180072</v>
      </c>
      <c r="I52" s="34"/>
      <c r="J52" s="34"/>
      <c r="K52" s="34"/>
      <c r="L52" s="34"/>
      <c r="M52" s="34"/>
      <c r="N52" s="34"/>
      <c r="O52" s="34"/>
    </row>
    <row r="53" spans="4:15" x14ac:dyDescent="0.2">
      <c r="D53" s="34" t="s">
        <v>328</v>
      </c>
      <c r="E53" s="49">
        <f ca="1">INDIRECT(""&amp;B34&amp;"!CF10")</f>
        <v>0.37748199599458082</v>
      </c>
      <c r="F53" s="34"/>
      <c r="G53" s="34" t="s">
        <v>20</v>
      </c>
      <c r="H53" s="49">
        <f ca="1">INDIRECT(""&amp;B34&amp;"!CF3")</f>
        <v>0.37459894096582291</v>
      </c>
      <c r="I53" s="34"/>
      <c r="J53" s="34"/>
      <c r="K53" s="34"/>
      <c r="L53" s="34"/>
      <c r="M53" s="34"/>
      <c r="N53" s="34"/>
      <c r="O53" s="34"/>
    </row>
    <row r="54" spans="4:15" x14ac:dyDescent="0.2">
      <c r="D54" s="34" t="s">
        <v>329</v>
      </c>
      <c r="E54" s="49">
        <f ca="1">INDIRECT(""&amp;B34&amp;"!CG10")</f>
        <v>0.24317385042834799</v>
      </c>
      <c r="F54" s="34"/>
      <c r="G54" s="34" t="s">
        <v>21</v>
      </c>
      <c r="H54" s="49">
        <f ca="1">INDIRECT(""&amp;B34&amp;"!CG3")</f>
        <v>0</v>
      </c>
      <c r="I54" s="34"/>
      <c r="J54" s="34"/>
      <c r="K54" s="34"/>
      <c r="L54" s="34"/>
      <c r="M54" s="34"/>
      <c r="N54" s="34"/>
      <c r="O54" s="34"/>
    </row>
    <row r="55" spans="4:15" x14ac:dyDescent="0.2">
      <c r="D55" s="34" t="s">
        <v>22</v>
      </c>
      <c r="E55" s="49">
        <f ca="1">INDIRECT(""&amp;B34&amp;"!CH10")</f>
        <v>0.23056483031451805</v>
      </c>
      <c r="F55" s="34"/>
      <c r="G55" s="34" t="s">
        <v>22</v>
      </c>
      <c r="H55" s="49">
        <f ca="1">INDIRECT(""&amp;B34&amp;"!CH3")</f>
        <v>0</v>
      </c>
      <c r="I55" s="34"/>
      <c r="J55" s="34"/>
      <c r="K55" s="34"/>
      <c r="L55" s="34"/>
      <c r="M55" s="34"/>
      <c r="N55" s="34"/>
      <c r="O55" s="34"/>
    </row>
    <row r="56" spans="4:15" x14ac:dyDescent="0.2">
      <c r="D56" s="34" t="s">
        <v>23</v>
      </c>
      <c r="E56" s="49">
        <f ca="1">INDIRECT(""&amp;B34&amp;"!CI10")</f>
        <v>0.35396066865033904</v>
      </c>
      <c r="F56" s="34"/>
      <c r="G56" s="34" t="s">
        <v>23</v>
      </c>
      <c r="H56" s="49">
        <f ca="1">INDIRECT(""&amp;B34&amp;"!CI3")</f>
        <v>0</v>
      </c>
      <c r="I56" s="34"/>
      <c r="J56" s="34"/>
      <c r="K56" s="34"/>
      <c r="L56" s="34"/>
      <c r="M56" s="34"/>
      <c r="N56" s="34"/>
      <c r="O56" s="34"/>
    </row>
    <row r="57" spans="4:15" x14ac:dyDescent="0.2">
      <c r="D57" s="34" t="s">
        <v>24</v>
      </c>
      <c r="E57" s="49">
        <f ca="1">INDIRECT(""&amp;B34&amp;"!CJ10")</f>
        <v>0.37178137005472528</v>
      </c>
      <c r="G57" s="34" t="s">
        <v>24</v>
      </c>
      <c r="H57" s="49">
        <f ca="1">INDIRECT(""&amp;B34&amp;"!CJ3")</f>
        <v>0</v>
      </c>
    </row>
    <row r="58" spans="4:15" x14ac:dyDescent="0.2">
      <c r="D58" s="34" t="s">
        <v>25</v>
      </c>
      <c r="E58" s="49">
        <f ca="1">INDIRECT(""&amp;B34&amp;"!CK10")</f>
        <v>0.40256984428911602</v>
      </c>
      <c r="G58" s="34" t="s">
        <v>25</v>
      </c>
      <c r="H58" s="49">
        <f ca="1">INDIRECT(""&amp;B34&amp;"!CK3")</f>
        <v>0</v>
      </c>
    </row>
    <row r="59" spans="4:15" x14ac:dyDescent="0.2">
      <c r="D59" s="34" t="s">
        <v>26</v>
      </c>
      <c r="E59" s="49">
        <f ca="1">INDIRECT(""&amp;B34&amp;"!CL10")</f>
        <v>0.59185193463452856</v>
      </c>
      <c r="G59" s="34" t="s">
        <v>26</v>
      </c>
      <c r="H59" s="49">
        <f ca="1">INDIRECT(""&amp;B34&amp;"!CL3")</f>
        <v>0</v>
      </c>
    </row>
    <row r="60" spans="4:15" x14ac:dyDescent="0.2">
      <c r="D60" s="34" t="s">
        <v>27</v>
      </c>
      <c r="E60" s="49">
        <f ca="1">INDIRECT(""&amp;B34&amp;"!CM10")</f>
        <v>0.18402539280883567</v>
      </c>
      <c r="G60" s="34" t="s">
        <v>27</v>
      </c>
      <c r="H60" s="49">
        <f ca="1">INDIRECT(""&amp;B34&amp;"!CM3")</f>
        <v>0</v>
      </c>
    </row>
    <row r="61" spans="4:15" x14ac:dyDescent="0.2">
      <c r="D61" s="34" t="s">
        <v>28</v>
      </c>
      <c r="E61" s="49">
        <f ca="1">INDIRECT(""&amp;B34&amp;"!CN10")</f>
        <v>0.41806118111244123</v>
      </c>
      <c r="G61" s="34" t="s">
        <v>28</v>
      </c>
      <c r="H61" s="49">
        <f ca="1">INDIRECT(""&amp;B34&amp;"!CN3")</f>
        <v>0</v>
      </c>
    </row>
  </sheetData>
  <sheetProtection selectLockedCells="1"/>
  <mergeCells count="3">
    <mergeCell ref="C23:J23"/>
    <mergeCell ref="N26:O26"/>
    <mergeCell ref="C4:N4"/>
  </mergeCells>
  <hyperlinks>
    <hyperlink ref="N26:O26" location="Selection!D6" display="Back to selection"/>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O51"/>
  <sheetViews>
    <sheetView topLeftCell="A16" workbookViewId="0">
      <selection activeCell="F45" sqref="F45"/>
    </sheetView>
  </sheetViews>
  <sheetFormatPr defaultColWidth="8.69921875" defaultRowHeight="14.25" x14ac:dyDescent="0.2"/>
  <cols>
    <col min="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"Walking Levels Over Time in "&amp;B41</f>
        <v>Walking Levels Over Time in GM</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2" x14ac:dyDescent="0.2">
      <c r="B17" s="99"/>
      <c r="C17" s="32"/>
      <c r="D17" s="32"/>
      <c r="E17" s="32"/>
      <c r="F17" s="32"/>
      <c r="G17" s="32"/>
      <c r="H17" s="32"/>
      <c r="I17" s="32"/>
      <c r="J17" s="32"/>
      <c r="K17" s="100"/>
    </row>
    <row r="18" spans="2:12" x14ac:dyDescent="0.2">
      <c r="B18" s="99"/>
      <c r="C18" s="32"/>
      <c r="D18" s="32"/>
      <c r="E18" s="32"/>
      <c r="F18" s="32"/>
      <c r="G18" s="32"/>
      <c r="H18" s="32"/>
      <c r="I18" s="32"/>
      <c r="J18" s="32"/>
      <c r="K18" s="100"/>
    </row>
    <row r="19" spans="2:12" x14ac:dyDescent="0.2">
      <c r="B19" s="99"/>
      <c r="C19" s="32"/>
      <c r="D19" s="32"/>
      <c r="E19" s="32"/>
      <c r="F19" s="32"/>
      <c r="G19" s="32"/>
      <c r="H19" s="32"/>
      <c r="I19" s="32"/>
      <c r="J19" s="32"/>
      <c r="K19" s="100"/>
    </row>
    <row r="20" spans="2:12" x14ac:dyDescent="0.2">
      <c r="B20" s="99"/>
      <c r="C20" s="32"/>
      <c r="D20" s="32"/>
      <c r="E20" s="32"/>
      <c r="F20" s="32"/>
      <c r="G20" s="32"/>
      <c r="H20" s="32"/>
      <c r="I20" s="32"/>
      <c r="J20" s="32"/>
      <c r="K20" s="100"/>
    </row>
    <row r="21" spans="2:12" x14ac:dyDescent="0.2">
      <c r="B21" s="99"/>
      <c r="C21" s="32"/>
      <c r="D21" s="32"/>
      <c r="E21" s="32"/>
      <c r="F21" s="32"/>
      <c r="G21" s="32"/>
      <c r="H21" s="32"/>
      <c r="I21" s="32"/>
      <c r="J21" s="32"/>
      <c r="K21" s="100"/>
    </row>
    <row r="22" spans="2:12" x14ac:dyDescent="0.2">
      <c r="B22" s="99"/>
      <c r="C22" s="32"/>
      <c r="D22" s="32"/>
      <c r="E22" s="32"/>
      <c r="F22" s="32"/>
      <c r="G22" s="32"/>
      <c r="H22" s="32"/>
      <c r="I22" s="32"/>
      <c r="J22" s="32"/>
      <c r="K22" s="100"/>
    </row>
    <row r="23" spans="2:12" x14ac:dyDescent="0.2">
      <c r="B23" s="99"/>
      <c r="C23" s="221" t="s">
        <v>315</v>
      </c>
      <c r="D23" s="221"/>
      <c r="E23" s="221"/>
      <c r="F23" s="221"/>
      <c r="G23" s="221"/>
      <c r="H23" s="221"/>
      <c r="I23" s="221"/>
      <c r="J23" s="221"/>
      <c r="K23" s="100"/>
    </row>
    <row r="24" spans="2:12" ht="15" thickBot="1" x14ac:dyDescent="0.25">
      <c r="B24" s="101"/>
      <c r="C24" s="23"/>
      <c r="D24" s="23"/>
      <c r="E24" s="23"/>
      <c r="F24" s="23"/>
      <c r="G24" s="23"/>
      <c r="H24" s="23"/>
      <c r="I24" s="23"/>
      <c r="J24" s="23"/>
      <c r="K24" s="102"/>
    </row>
    <row r="25" spans="2:12" ht="15.75" thickTop="1" thickBot="1" x14ac:dyDescent="0.25"/>
    <row r="26" spans="2:12" x14ac:dyDescent="0.2">
      <c r="B26" s="103"/>
      <c r="C26" s="104"/>
      <c r="D26" s="104"/>
      <c r="E26" s="104"/>
      <c r="F26" s="104"/>
      <c r="G26" s="104"/>
      <c r="H26" s="104"/>
      <c r="I26" s="104"/>
      <c r="J26" s="104"/>
      <c r="K26" s="105"/>
    </row>
    <row r="27" spans="2:12" x14ac:dyDescent="0.2">
      <c r="B27" s="106"/>
      <c r="C27" s="223" t="str">
        <f ca="1">CONCATENATE("The percentage of people walking for leisure in ",B41," has ",(IF(H45&gt;0,"increased",(IF(H45=0,"stayed the same","decreased"))))," since the November 2017/18 release, walking for travel has ",(IF(I45&gt;0,"increased",(IF(I45=0,"stayed the same","decreased"))))," and overall walking has ",(IF(J45&gt;0,"increased",(IF(J45=0,"stayed the same","decreased")))),".")</f>
        <v>The percentage of people walking for leisure in GM has increased since the November 2017/18 release, walking for travel has decreased and overall walking has decreased.</v>
      </c>
      <c r="D27" s="223"/>
      <c r="E27" s="223"/>
      <c r="F27" s="223"/>
      <c r="G27" s="223"/>
      <c r="H27" s="223"/>
      <c r="I27" s="223"/>
      <c r="J27" s="223"/>
      <c r="K27" s="107"/>
    </row>
    <row r="28" spans="2:12" x14ac:dyDescent="0.2">
      <c r="B28" s="106"/>
      <c r="C28" s="223"/>
      <c r="D28" s="223"/>
      <c r="E28" s="223"/>
      <c r="F28" s="223"/>
      <c r="G28" s="223"/>
      <c r="H28" s="223"/>
      <c r="I28" s="223"/>
      <c r="J28" s="223"/>
      <c r="K28" s="107"/>
    </row>
    <row r="29" spans="2:12" x14ac:dyDescent="0.2">
      <c r="B29" s="106"/>
      <c r="C29" s="223"/>
      <c r="D29" s="223"/>
      <c r="E29" s="223"/>
      <c r="F29" s="223"/>
      <c r="G29" s="223"/>
      <c r="H29" s="223"/>
      <c r="I29" s="223"/>
      <c r="J29" s="223"/>
      <c r="K29" s="107"/>
    </row>
    <row r="30" spans="2:12" ht="15" thickBot="1" x14ac:dyDescent="0.25">
      <c r="B30" s="108"/>
      <c r="C30" s="109"/>
      <c r="D30" s="109"/>
      <c r="E30" s="109"/>
      <c r="F30" s="109"/>
      <c r="G30" s="109"/>
      <c r="H30" s="109"/>
      <c r="I30" s="109"/>
      <c r="J30" s="109"/>
      <c r="K30" s="110"/>
    </row>
    <row r="32" spans="2:12" x14ac:dyDescent="0.2">
      <c r="K32" s="195" t="s">
        <v>147</v>
      </c>
      <c r="L32" s="195"/>
    </row>
    <row r="33" spans="2:15" x14ac:dyDescent="0.2">
      <c r="B33" s="34"/>
    </row>
    <row r="34" spans="2:15" x14ac:dyDescent="0.2">
      <c r="B34" s="34"/>
      <c r="C34" s="34"/>
      <c r="D34" s="34"/>
      <c r="E34" s="34"/>
      <c r="F34" s="34"/>
      <c r="G34" s="34"/>
      <c r="H34" s="34"/>
      <c r="I34" s="34"/>
      <c r="J34" s="34"/>
      <c r="K34" s="34"/>
      <c r="L34" s="34"/>
      <c r="M34" s="34"/>
      <c r="N34" s="34"/>
      <c r="O34" s="34"/>
    </row>
    <row r="35" spans="2:15" x14ac:dyDescent="0.2">
      <c r="B35" s="34"/>
      <c r="C35" s="34"/>
      <c r="D35" s="34"/>
      <c r="E35" s="34"/>
      <c r="F35" s="34"/>
      <c r="G35" s="34"/>
      <c r="H35" s="34"/>
      <c r="I35" s="34"/>
      <c r="J35" s="34"/>
      <c r="K35" s="34"/>
      <c r="L35" s="34"/>
      <c r="M35" s="34"/>
      <c r="N35" s="34"/>
      <c r="O35" s="34"/>
    </row>
    <row r="36" spans="2:15" x14ac:dyDescent="0.2">
      <c r="B36" s="34"/>
      <c r="C36" s="34"/>
      <c r="D36" s="34"/>
      <c r="E36" s="34"/>
      <c r="F36" s="34"/>
      <c r="G36" s="34"/>
      <c r="H36" s="34"/>
      <c r="I36" s="34"/>
      <c r="J36" s="34"/>
      <c r="K36" s="34"/>
      <c r="L36" s="34"/>
      <c r="M36" s="34"/>
      <c r="N36" s="34"/>
      <c r="O36" s="34"/>
    </row>
    <row r="37" spans="2:15" x14ac:dyDescent="0.2">
      <c r="B37" s="34"/>
      <c r="C37" s="34"/>
      <c r="D37" s="34"/>
      <c r="E37" s="34"/>
      <c r="F37" s="34"/>
      <c r="G37" s="34"/>
      <c r="H37" s="34"/>
      <c r="I37" s="34"/>
      <c r="J37" s="34"/>
      <c r="K37" s="34"/>
      <c r="L37" s="34"/>
      <c r="M37" s="34"/>
      <c r="N37" s="34"/>
      <c r="O37" s="34"/>
    </row>
    <row r="38" spans="2:15" x14ac:dyDescent="0.2">
      <c r="B38" s="34"/>
      <c r="C38" s="34"/>
      <c r="D38" s="34"/>
      <c r="E38" s="34"/>
      <c r="F38" s="34"/>
      <c r="G38" s="34"/>
      <c r="H38" s="34"/>
      <c r="I38" s="34"/>
      <c r="J38" s="34"/>
      <c r="K38" s="34"/>
      <c r="L38" s="34"/>
      <c r="M38" s="34"/>
      <c r="N38" s="34"/>
      <c r="O38" s="34"/>
    </row>
    <row r="39" spans="2:15" x14ac:dyDescent="0.2">
      <c r="B39" s="34"/>
      <c r="C39" s="34"/>
      <c r="D39" s="34"/>
      <c r="E39" s="34"/>
      <c r="F39" s="34"/>
      <c r="G39" s="34"/>
      <c r="H39" s="34"/>
      <c r="I39" s="34"/>
      <c r="J39" s="34"/>
      <c r="K39" s="34"/>
      <c r="L39" s="34"/>
      <c r="M39" s="34"/>
      <c r="N39" s="34"/>
      <c r="O39" s="34"/>
    </row>
    <row r="40" spans="2:15" x14ac:dyDescent="0.2">
      <c r="B40" s="34"/>
      <c r="C40" s="34"/>
      <c r="D40" s="34"/>
      <c r="E40" s="34"/>
      <c r="F40" s="34"/>
      <c r="G40" s="34"/>
      <c r="H40" s="34"/>
      <c r="I40" s="34"/>
      <c r="J40" s="34"/>
      <c r="K40" s="34"/>
      <c r="L40" s="34"/>
      <c r="M40" s="34"/>
      <c r="N40" s="34"/>
      <c r="O40" s="34"/>
    </row>
    <row r="41" spans="2:15" x14ac:dyDescent="0.2">
      <c r="B41" s="34" t="str">
        <f>Selection!D7</f>
        <v>GM</v>
      </c>
      <c r="C41" s="34"/>
      <c r="D41" s="35"/>
      <c r="E41" s="34" t="s">
        <v>207</v>
      </c>
      <c r="F41" s="34" t="s">
        <v>208</v>
      </c>
      <c r="G41" s="34" t="s">
        <v>209</v>
      </c>
      <c r="H41" s="34" t="s">
        <v>237</v>
      </c>
      <c r="I41" s="34" t="s">
        <v>238</v>
      </c>
      <c r="J41" s="34" t="s">
        <v>239</v>
      </c>
      <c r="K41" s="34"/>
      <c r="L41" s="34"/>
      <c r="M41" s="34"/>
      <c r="N41" s="34"/>
      <c r="O41" s="34"/>
    </row>
    <row r="42" spans="2:15" x14ac:dyDescent="0.2">
      <c r="B42" s="34"/>
      <c r="C42" s="34"/>
      <c r="D42" s="36" t="s">
        <v>39</v>
      </c>
      <c r="E42" s="37">
        <f ca="1">INDIRECT(""&amp;B41&amp;"!CU7")</f>
        <v>0.38894428629363753</v>
      </c>
      <c r="F42" s="37">
        <f ca="1">INDIRECT(""&amp;B41&amp;"!CV7")</f>
        <v>0.32786549592961367</v>
      </c>
      <c r="G42" s="37">
        <f ca="1">INDIRECT(""&amp;B41&amp;"!CW7")</f>
        <v>0.57966027316722291</v>
      </c>
      <c r="H42" s="38"/>
      <c r="I42" s="34"/>
      <c r="J42" s="34"/>
      <c r="K42" s="34"/>
      <c r="L42" s="34"/>
      <c r="M42" s="34"/>
      <c r="N42" s="34"/>
      <c r="O42" s="34"/>
    </row>
    <row r="43" spans="2:15" x14ac:dyDescent="0.2">
      <c r="B43" s="34"/>
      <c r="C43" s="34"/>
      <c r="D43" s="36" t="s">
        <v>40</v>
      </c>
      <c r="E43" s="37">
        <f ca="1">INDIRECT(""&amp;B41&amp;"!CU8")</f>
        <v>0.40060000000000001</v>
      </c>
      <c r="F43" s="37">
        <f ca="1">INDIRECT(""&amp;B41&amp;"!CV8")</f>
        <v>0.33289999999999997</v>
      </c>
      <c r="G43" s="37">
        <f ca="1">INDIRECT(""&amp;B41&amp;"!CW8")</f>
        <v>0.58799999999999997</v>
      </c>
      <c r="H43" s="38">
        <f ca="1">E43-E42</f>
        <v>1.165571370636248E-2</v>
      </c>
      <c r="I43" s="38">
        <f ca="1">F43-F42</f>
        <v>5.0345040703863031E-3</v>
      </c>
      <c r="J43" s="38">
        <f ca="1">G43-G42</f>
        <v>8.3397268327770613E-3</v>
      </c>
      <c r="K43" s="34"/>
      <c r="L43" s="34"/>
      <c r="M43" s="34"/>
      <c r="N43" s="34"/>
      <c r="O43" s="34"/>
    </row>
    <row r="44" spans="2:15" x14ac:dyDescent="0.2">
      <c r="B44" s="34"/>
      <c r="C44" s="34"/>
      <c r="D44" s="36" t="s">
        <v>41</v>
      </c>
      <c r="E44" s="37">
        <f ca="1">INDIRECT(""&amp;B41&amp;"!CU9")</f>
        <v>0.40530100037052391</v>
      </c>
      <c r="F44" s="37">
        <f ca="1">INDIRECT(""&amp;B41&amp;"!CV9")</f>
        <v>0.33964720666925524</v>
      </c>
      <c r="G44" s="37">
        <f ca="1">INDIRECT(""&amp;B41&amp;"!CW9")</f>
        <v>0.59750143398389743</v>
      </c>
      <c r="H44" s="38">
        <f ca="1">E44-E42</f>
        <v>1.6356714076886381E-2</v>
      </c>
      <c r="I44" s="38">
        <f ca="1">F44-F42</f>
        <v>1.1781710739641571E-2</v>
      </c>
      <c r="J44" s="38">
        <f ca="1">G44-G42</f>
        <v>1.7841160816674528E-2</v>
      </c>
      <c r="K44" s="34"/>
      <c r="L44" s="34"/>
      <c r="M44" s="34"/>
      <c r="N44" s="34"/>
      <c r="O44" s="34"/>
    </row>
    <row r="45" spans="2:15" x14ac:dyDescent="0.2">
      <c r="B45" s="34"/>
      <c r="C45" s="34"/>
      <c r="D45" s="35" t="s">
        <v>155</v>
      </c>
      <c r="E45" s="37">
        <f ca="1">INDIRECT(""&amp;B41&amp;"!CU10")</f>
        <v>0.40543091476720522</v>
      </c>
      <c r="F45" s="37">
        <f ca="1">INDIRECT(""&amp;B41&amp;"!CV10")</f>
        <v>0.30565360374688755</v>
      </c>
      <c r="G45" s="37">
        <f ca="1">INDIRECT(""&amp;B41&amp;"!CW10")</f>
        <v>0.56733255801786553</v>
      </c>
      <c r="H45" s="38">
        <f ca="1">E45-E42</f>
        <v>1.6486628473567688E-2</v>
      </c>
      <c r="I45" s="38">
        <f ca="1">F45-F42</f>
        <v>-2.2211892182726123E-2</v>
      </c>
      <c r="J45" s="38">
        <f ca="1">G45-G42</f>
        <v>-1.2327715149357377E-2</v>
      </c>
      <c r="K45" s="34"/>
      <c r="L45" s="34"/>
      <c r="M45" s="34"/>
      <c r="N45" s="34"/>
      <c r="O45" s="34"/>
    </row>
    <row r="46" spans="2:15" x14ac:dyDescent="0.2">
      <c r="B46" s="34"/>
      <c r="C46" s="34"/>
      <c r="D46" s="34"/>
      <c r="E46" s="34"/>
      <c r="F46" s="34"/>
      <c r="G46" s="34"/>
      <c r="H46" s="34"/>
      <c r="I46" s="34"/>
      <c r="J46" s="34"/>
      <c r="K46" s="34"/>
      <c r="L46" s="34"/>
      <c r="M46" s="34"/>
      <c r="N46" s="34"/>
      <c r="O46" s="34"/>
    </row>
    <row r="47" spans="2:15" x14ac:dyDescent="0.2">
      <c r="B47" s="34"/>
      <c r="C47" s="34"/>
      <c r="D47" s="34"/>
      <c r="E47" s="34"/>
      <c r="F47" s="34"/>
      <c r="G47" s="34"/>
      <c r="H47" s="34"/>
      <c r="I47" s="34"/>
      <c r="J47" s="34"/>
      <c r="K47" s="34"/>
      <c r="L47" s="34"/>
      <c r="M47" s="34"/>
      <c r="N47" s="34"/>
      <c r="O47" s="34"/>
    </row>
    <row r="48" spans="2:15" x14ac:dyDescent="0.2">
      <c r="B48" s="34"/>
      <c r="C48" s="34"/>
      <c r="D48" s="34"/>
      <c r="E48" s="34"/>
      <c r="F48" s="34"/>
      <c r="G48" s="34"/>
      <c r="H48" s="34"/>
      <c r="I48" s="34"/>
      <c r="J48" s="34"/>
      <c r="K48" s="34"/>
      <c r="L48" s="34"/>
      <c r="M48" s="34"/>
      <c r="N48" s="34"/>
      <c r="O48" s="34"/>
    </row>
    <row r="49" spans="2:15" x14ac:dyDescent="0.2">
      <c r="B49" s="34"/>
      <c r="C49" s="34"/>
      <c r="D49" s="34"/>
      <c r="E49" s="34"/>
      <c r="F49" s="34"/>
      <c r="G49" s="34"/>
      <c r="H49" s="34"/>
      <c r="I49" s="34"/>
      <c r="J49" s="34"/>
      <c r="K49" s="34"/>
      <c r="L49" s="34"/>
      <c r="M49" s="34"/>
      <c r="N49" s="34"/>
      <c r="O49" s="34"/>
    </row>
    <row r="50" spans="2:15" x14ac:dyDescent="0.2">
      <c r="B50" s="34"/>
      <c r="C50" s="34"/>
      <c r="D50" s="34"/>
      <c r="E50" s="34"/>
      <c r="F50" s="34"/>
      <c r="G50" s="34"/>
      <c r="H50" s="34"/>
      <c r="I50" s="34"/>
      <c r="J50" s="34"/>
      <c r="K50" s="34"/>
      <c r="L50" s="34"/>
      <c r="M50" s="34"/>
      <c r="N50" s="34"/>
      <c r="O50" s="34"/>
    </row>
    <row r="51" spans="2:15" x14ac:dyDescent="0.2">
      <c r="B51" s="34"/>
      <c r="C51" s="34"/>
      <c r="D51" s="34"/>
      <c r="E51" s="34"/>
      <c r="F51" s="34"/>
      <c r="G51" s="34"/>
      <c r="H51" s="34"/>
      <c r="I51" s="34"/>
      <c r="J51" s="34"/>
      <c r="K51" s="34"/>
      <c r="L51" s="34"/>
      <c r="M51" s="34"/>
      <c r="N51" s="34"/>
      <c r="O51" s="34"/>
    </row>
  </sheetData>
  <sheetProtection selectLockedCells="1"/>
  <mergeCells count="4">
    <mergeCell ref="C4:J4"/>
    <mergeCell ref="C23:J23"/>
    <mergeCell ref="K32:L32"/>
    <mergeCell ref="C27:J29"/>
  </mergeCells>
  <hyperlinks>
    <hyperlink ref="K32:L32" location="Selection!D6" display="Back to selection"/>
  </hyperlink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Q70"/>
  <sheetViews>
    <sheetView workbookViewId="0">
      <selection activeCell="C24" sqref="C24"/>
    </sheetView>
  </sheetViews>
  <sheetFormatPr defaultColWidth="8.69921875" defaultRowHeight="14.25" x14ac:dyDescent="0.2"/>
  <cols>
    <col min="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"Volunteering Levels Over Time in "&amp;B40&amp;" and "&amp;B48</f>
        <v>Volunteering Levels Over Time in GM and England</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2" x14ac:dyDescent="0.2">
      <c r="B17" s="99"/>
      <c r="C17" s="32"/>
      <c r="D17" s="32"/>
      <c r="E17" s="32"/>
      <c r="F17" s="32"/>
      <c r="G17" s="32"/>
      <c r="H17" s="32"/>
      <c r="I17" s="32"/>
      <c r="J17" s="32"/>
      <c r="K17" s="100"/>
    </row>
    <row r="18" spans="2:12" x14ac:dyDescent="0.2">
      <c r="B18" s="99"/>
      <c r="C18" s="32"/>
      <c r="D18" s="32"/>
      <c r="E18" s="32"/>
      <c r="F18" s="32"/>
      <c r="G18" s="32"/>
      <c r="H18" s="32"/>
      <c r="I18" s="32"/>
      <c r="J18" s="32"/>
      <c r="K18" s="100"/>
    </row>
    <row r="19" spans="2:12" x14ac:dyDescent="0.2">
      <c r="B19" s="99"/>
      <c r="C19" s="32"/>
      <c r="D19" s="32"/>
      <c r="E19" s="32"/>
      <c r="F19" s="32"/>
      <c r="G19" s="32"/>
      <c r="H19" s="32"/>
      <c r="I19" s="32"/>
      <c r="J19" s="32"/>
      <c r="K19" s="100"/>
    </row>
    <row r="20" spans="2:12" x14ac:dyDescent="0.2">
      <c r="B20" s="99"/>
      <c r="C20" s="32"/>
      <c r="D20" s="32"/>
      <c r="E20" s="32"/>
      <c r="F20" s="32"/>
      <c r="G20" s="32"/>
      <c r="H20" s="32"/>
      <c r="I20" s="32"/>
      <c r="J20" s="32"/>
      <c r="K20" s="100"/>
    </row>
    <row r="21" spans="2:12" x14ac:dyDescent="0.2">
      <c r="B21" s="99"/>
      <c r="C21" s="32"/>
      <c r="D21" s="32"/>
      <c r="E21" s="32"/>
      <c r="F21" s="32"/>
      <c r="G21" s="32"/>
      <c r="H21" s="32"/>
      <c r="I21" s="32"/>
      <c r="J21" s="32"/>
      <c r="K21" s="100"/>
    </row>
    <row r="22" spans="2:12" x14ac:dyDescent="0.2">
      <c r="B22" s="99"/>
      <c r="C22" s="32"/>
      <c r="D22" s="32"/>
      <c r="E22" s="32"/>
      <c r="F22" s="32"/>
      <c r="G22" s="32"/>
      <c r="H22" s="32"/>
      <c r="I22" s="32"/>
      <c r="J22" s="32"/>
      <c r="K22" s="100"/>
    </row>
    <row r="23" spans="2:12" x14ac:dyDescent="0.2">
      <c r="B23" s="99"/>
      <c r="C23" s="221" t="s">
        <v>316</v>
      </c>
      <c r="D23" s="221"/>
      <c r="E23" s="221"/>
      <c r="F23" s="221"/>
      <c r="G23" s="221"/>
      <c r="H23" s="221"/>
      <c r="I23" s="221"/>
      <c r="J23" s="221"/>
      <c r="K23" s="100"/>
    </row>
    <row r="24" spans="2:12" ht="15" thickBot="1" x14ac:dyDescent="0.25">
      <c r="B24" s="101"/>
      <c r="C24" s="23"/>
      <c r="D24" s="23"/>
      <c r="E24" s="23"/>
      <c r="F24" s="23"/>
      <c r="G24" s="23"/>
      <c r="H24" s="23"/>
      <c r="I24" s="23"/>
      <c r="J24" s="23"/>
      <c r="K24" s="102"/>
    </row>
    <row r="25" spans="2:12" ht="15.75" thickTop="1" thickBot="1" x14ac:dyDescent="0.25">
      <c r="B25" s="95"/>
      <c r="C25" s="95"/>
      <c r="D25" s="95"/>
      <c r="E25" s="95"/>
      <c r="F25" s="95"/>
      <c r="G25" s="95"/>
      <c r="H25" s="95"/>
      <c r="I25" s="95"/>
      <c r="J25" s="95"/>
      <c r="K25" s="95"/>
    </row>
    <row r="26" spans="2:12" ht="13.9" customHeight="1" x14ac:dyDescent="0.2">
      <c r="B26" s="103"/>
      <c r="C26" s="104"/>
      <c r="D26" s="104"/>
      <c r="E26" s="104"/>
      <c r="F26" s="104"/>
      <c r="G26" s="104"/>
      <c r="H26" s="104"/>
      <c r="I26" s="104"/>
      <c r="J26" s="104"/>
      <c r="K26" s="105"/>
    </row>
    <row r="27" spans="2:12" x14ac:dyDescent="0.2">
      <c r="B27" s="106"/>
      <c r="C27" s="223" t="str">
        <f ca="1">CONCATENATE("The percentage of people moving in ",B40, " has ", (IF(E46&gt;E41, "increased ", "decreased ")), "by ", (TEXT((ABS(E46-E41)), "0.0%")), " this compares to a ", (TEXT((ABS(E55-E50)),"0.0%")), (IF(E55&gt;E50, " increase "," decrease ")), "in ",B48,".")</f>
        <v>The percentage of people moving in GM has decreased by 3.5% this compares to a 1.6% decrease in England.</v>
      </c>
      <c r="D27" s="223"/>
      <c r="E27" s="223"/>
      <c r="F27" s="223"/>
      <c r="G27" s="223"/>
      <c r="H27" s="223"/>
      <c r="I27" s="223"/>
      <c r="J27" s="223"/>
      <c r="K27" s="107"/>
    </row>
    <row r="28" spans="2:12" x14ac:dyDescent="0.2">
      <c r="B28" s="106"/>
      <c r="C28" s="223"/>
      <c r="D28" s="223"/>
      <c r="E28" s="223"/>
      <c r="F28" s="223"/>
      <c r="G28" s="223"/>
      <c r="H28" s="223"/>
      <c r="I28" s="223"/>
      <c r="J28" s="223"/>
      <c r="K28" s="107"/>
    </row>
    <row r="29" spans="2:12" ht="15" thickBot="1" x14ac:dyDescent="0.25">
      <c r="B29" s="108"/>
      <c r="C29" s="109"/>
      <c r="D29" s="109"/>
      <c r="E29" s="109"/>
      <c r="F29" s="109"/>
      <c r="G29" s="109"/>
      <c r="H29" s="109"/>
      <c r="I29" s="109"/>
      <c r="J29" s="109"/>
      <c r="K29" s="110"/>
    </row>
    <row r="31" spans="2:12" x14ac:dyDescent="0.2">
      <c r="K31" s="195" t="s">
        <v>147</v>
      </c>
      <c r="L31" s="195"/>
    </row>
    <row r="34" spans="1:17" x14ac:dyDescent="0.2">
      <c r="C34" s="7" t="s">
        <v>186</v>
      </c>
    </row>
    <row r="36" spans="1:17" x14ac:dyDescent="0.2">
      <c r="B36" s="34"/>
      <c r="C36" s="34"/>
      <c r="D36" s="34"/>
      <c r="E36" s="34"/>
      <c r="F36" s="34"/>
      <c r="G36" s="34"/>
      <c r="H36" s="34"/>
      <c r="I36" s="34"/>
      <c r="J36" s="34"/>
      <c r="K36" s="34"/>
      <c r="L36" s="34"/>
      <c r="M36" s="34"/>
    </row>
    <row r="37" spans="1:17" x14ac:dyDescent="0.2">
      <c r="B37" s="34"/>
      <c r="C37" s="34"/>
      <c r="D37" s="34"/>
      <c r="E37" s="34"/>
      <c r="F37" s="34"/>
      <c r="G37" s="34"/>
      <c r="H37" s="34"/>
      <c r="I37" s="34"/>
      <c r="J37" s="34"/>
      <c r="K37" s="34"/>
      <c r="L37" s="34"/>
      <c r="M37" s="34"/>
    </row>
    <row r="38" spans="1:17" x14ac:dyDescent="0.2">
      <c r="A38" s="34"/>
      <c r="B38" s="34"/>
      <c r="C38" s="34"/>
      <c r="D38" s="34"/>
      <c r="E38" s="34"/>
      <c r="F38" s="34"/>
      <c r="G38" s="34"/>
      <c r="H38" s="34"/>
      <c r="I38" s="34"/>
      <c r="J38" s="34"/>
      <c r="K38" s="34"/>
      <c r="L38" s="34"/>
      <c r="M38" s="34"/>
      <c r="N38" s="34"/>
      <c r="O38" s="34"/>
      <c r="P38" s="34"/>
      <c r="Q38" s="34"/>
    </row>
    <row r="39" spans="1:17" x14ac:dyDescent="0.2">
      <c r="A39" s="34"/>
      <c r="B39" s="34"/>
      <c r="C39" s="34"/>
      <c r="D39" s="34"/>
      <c r="E39" s="34"/>
      <c r="F39" s="34"/>
      <c r="G39" s="34"/>
      <c r="H39" s="34"/>
      <c r="I39" s="34"/>
      <c r="J39" s="34"/>
      <c r="K39" s="34"/>
      <c r="L39" s="34"/>
      <c r="M39" s="34"/>
      <c r="N39" s="34"/>
      <c r="O39" s="34"/>
      <c r="P39" s="34"/>
      <c r="Q39" s="34"/>
    </row>
    <row r="40" spans="1:17" x14ac:dyDescent="0.2">
      <c r="A40" s="34"/>
      <c r="B40" s="34" t="str">
        <f>Selection!D7</f>
        <v>GM</v>
      </c>
      <c r="C40" s="34"/>
      <c r="D40" s="35"/>
      <c r="E40" s="34" t="s">
        <v>301</v>
      </c>
      <c r="F40" s="34"/>
      <c r="G40" s="34"/>
      <c r="H40" s="34"/>
      <c r="I40" s="34"/>
      <c r="J40" s="34"/>
      <c r="K40" s="34"/>
      <c r="L40" s="34"/>
      <c r="M40" s="34"/>
      <c r="N40" s="34"/>
      <c r="O40" s="34"/>
      <c r="P40" s="34"/>
      <c r="Q40" s="34"/>
    </row>
    <row r="41" spans="1:17" x14ac:dyDescent="0.2">
      <c r="A41" s="34"/>
      <c r="B41" s="34"/>
      <c r="C41" s="34"/>
      <c r="D41" s="36" t="s">
        <v>36</v>
      </c>
      <c r="E41" s="37">
        <f ca="1">INDIRECT(""&amp;B40&amp;"!CX4")</f>
        <v>0.14549999999999999</v>
      </c>
      <c r="F41" s="37"/>
      <c r="G41" s="37"/>
      <c r="H41" s="38"/>
      <c r="I41" s="34"/>
      <c r="J41" s="34"/>
      <c r="K41" s="34"/>
      <c r="L41" s="34"/>
      <c r="M41" s="34"/>
      <c r="N41" s="34"/>
      <c r="O41" s="34"/>
      <c r="P41" s="34"/>
      <c r="Q41" s="34"/>
    </row>
    <row r="42" spans="1:17" x14ac:dyDescent="0.2">
      <c r="A42" s="34"/>
      <c r="B42" s="34"/>
      <c r="C42" s="34"/>
      <c r="D42" s="36" t="s">
        <v>37</v>
      </c>
      <c r="E42" s="37">
        <f ca="1">INDIRECT(""&amp;B40&amp;"!CX5")</f>
        <v>0.1368</v>
      </c>
      <c r="F42" s="37"/>
      <c r="G42" s="37"/>
      <c r="H42" s="38"/>
      <c r="I42" s="34"/>
      <c r="J42" s="34"/>
      <c r="K42" s="34"/>
      <c r="L42" s="34"/>
      <c r="M42" s="34"/>
      <c r="N42" s="34"/>
      <c r="O42" s="34"/>
      <c r="P42" s="34"/>
      <c r="Q42" s="34"/>
    </row>
    <row r="43" spans="1:17" x14ac:dyDescent="0.2">
      <c r="A43" s="34"/>
      <c r="B43" s="34"/>
      <c r="C43" s="34"/>
      <c r="D43" s="36" t="s">
        <v>38</v>
      </c>
      <c r="E43" s="37">
        <f ca="1">INDIRECT(""&amp;B40&amp;"!CX6")</f>
        <v>0.13389999999999999</v>
      </c>
      <c r="F43" s="37"/>
      <c r="G43" s="37"/>
      <c r="H43" s="38"/>
      <c r="I43" s="34"/>
      <c r="J43" s="34"/>
      <c r="K43" s="34"/>
      <c r="L43" s="34"/>
      <c r="M43" s="34"/>
      <c r="N43" s="34"/>
      <c r="O43" s="34"/>
      <c r="P43" s="34"/>
      <c r="Q43" s="34"/>
    </row>
    <row r="44" spans="1:17" x14ac:dyDescent="0.2">
      <c r="A44" s="34"/>
      <c r="B44" s="34"/>
      <c r="C44" s="34"/>
      <c r="D44" s="36" t="s">
        <v>39</v>
      </c>
      <c r="E44" s="37">
        <f ca="1">INDIRECT(""&amp;B40&amp;"!CX7")</f>
        <v>0.1195</v>
      </c>
      <c r="F44" s="37"/>
      <c r="G44" s="37"/>
      <c r="H44" s="38"/>
      <c r="I44" s="34"/>
      <c r="J44" s="34"/>
      <c r="K44" s="34"/>
      <c r="L44" s="34"/>
      <c r="M44" s="34"/>
      <c r="N44" s="34"/>
      <c r="O44" s="34"/>
      <c r="P44" s="34"/>
      <c r="Q44" s="34"/>
    </row>
    <row r="45" spans="1:17" x14ac:dyDescent="0.2">
      <c r="A45" s="34"/>
      <c r="B45" s="34"/>
      <c r="C45" s="34"/>
      <c r="D45" s="36" t="s">
        <v>40</v>
      </c>
      <c r="E45" s="37">
        <f ca="1">INDIRECT(""&amp;B40&amp;"!CX8")</f>
        <v>0.10730000000000001</v>
      </c>
      <c r="F45" s="37"/>
      <c r="G45" s="37"/>
      <c r="H45" s="38"/>
      <c r="I45" s="34"/>
      <c r="J45" s="34"/>
      <c r="K45" s="34"/>
      <c r="L45" s="34"/>
      <c r="M45" s="34"/>
      <c r="N45" s="34"/>
      <c r="O45" s="34"/>
      <c r="P45" s="34"/>
      <c r="Q45" s="34"/>
    </row>
    <row r="46" spans="1:17" x14ac:dyDescent="0.2">
      <c r="A46" s="34"/>
      <c r="B46" s="34"/>
      <c r="C46" s="34"/>
      <c r="D46" s="36" t="s">
        <v>41</v>
      </c>
      <c r="E46" s="37">
        <f ca="1">INDIRECT(""&amp;B40&amp;"!CX9")</f>
        <v>0.11070000000000001</v>
      </c>
      <c r="F46" s="37"/>
      <c r="G46" s="37"/>
      <c r="H46" s="38"/>
      <c r="I46" s="34"/>
      <c r="J46" s="34"/>
      <c r="K46" s="34"/>
      <c r="L46" s="34"/>
      <c r="M46" s="34"/>
      <c r="N46" s="34"/>
      <c r="O46" s="34"/>
      <c r="P46" s="34"/>
      <c r="Q46" s="34"/>
    </row>
    <row r="47" spans="1:17" x14ac:dyDescent="0.2">
      <c r="A47" s="34"/>
      <c r="B47" s="34"/>
      <c r="C47" s="34"/>
      <c r="D47" s="36" t="s">
        <v>155</v>
      </c>
      <c r="E47" s="37">
        <f ca="1">INDIRECT(""&amp;B40&amp;"!CX10")</f>
        <v>0.1113</v>
      </c>
      <c r="F47" s="37"/>
      <c r="G47" s="37"/>
      <c r="H47" s="38"/>
      <c r="I47" s="34"/>
      <c r="J47" s="34"/>
      <c r="K47" s="34"/>
      <c r="L47" s="34"/>
      <c r="M47" s="34"/>
      <c r="N47" s="34"/>
      <c r="O47" s="34"/>
      <c r="P47" s="34"/>
      <c r="Q47" s="34"/>
    </row>
    <row r="48" spans="1:17" x14ac:dyDescent="0.2">
      <c r="A48" s="34"/>
      <c r="B48" s="34" t="str">
        <f>Selection!D12</f>
        <v>England</v>
      </c>
      <c r="C48" s="34"/>
      <c r="D48" s="35"/>
      <c r="E48" s="34"/>
      <c r="F48" s="34"/>
      <c r="G48" s="34"/>
      <c r="H48" s="34"/>
      <c r="I48" s="34"/>
      <c r="J48" s="34"/>
      <c r="K48" s="34"/>
      <c r="L48" s="34"/>
      <c r="M48" s="34"/>
      <c r="N48" s="34"/>
      <c r="O48" s="34"/>
      <c r="P48" s="34"/>
      <c r="Q48" s="34"/>
    </row>
    <row r="49" spans="1:17" x14ac:dyDescent="0.2">
      <c r="A49" s="34"/>
      <c r="B49" s="34"/>
      <c r="C49" s="34"/>
      <c r="D49" s="35"/>
      <c r="E49" s="34" t="s">
        <v>301</v>
      </c>
      <c r="F49" s="34"/>
      <c r="G49" s="34"/>
      <c r="H49" s="34"/>
      <c r="I49" s="34"/>
      <c r="J49" s="34"/>
      <c r="K49" s="34"/>
      <c r="L49" s="34"/>
      <c r="M49" s="34"/>
      <c r="N49" s="34"/>
      <c r="O49" s="34"/>
      <c r="P49" s="34"/>
      <c r="Q49" s="34"/>
    </row>
    <row r="50" spans="1:17" x14ac:dyDescent="0.2">
      <c r="A50" s="34"/>
      <c r="B50" s="34"/>
      <c r="C50" s="34"/>
      <c r="D50" s="35" t="s">
        <v>36</v>
      </c>
      <c r="E50" s="38">
        <f ca="1">INDIRECT(""&amp;B48&amp;"!CX4")</f>
        <v>0.14899999999999999</v>
      </c>
      <c r="F50" s="38"/>
      <c r="G50" s="38"/>
      <c r="H50" s="38"/>
      <c r="I50" s="34"/>
      <c r="J50" s="34"/>
      <c r="K50" s="34"/>
      <c r="L50" s="34"/>
      <c r="M50" s="34"/>
      <c r="N50" s="34"/>
      <c r="O50" s="34"/>
      <c r="P50" s="34"/>
      <c r="Q50" s="34"/>
    </row>
    <row r="51" spans="1:17" x14ac:dyDescent="0.2">
      <c r="A51" s="34"/>
      <c r="B51" s="34"/>
      <c r="C51" s="34"/>
      <c r="D51" s="35" t="s">
        <v>37</v>
      </c>
      <c r="E51" s="38">
        <f ca="1">INDIRECT(""&amp;B48&amp;"!CX5")</f>
        <v>0.14749999999999999</v>
      </c>
      <c r="F51" s="38"/>
      <c r="G51" s="38"/>
      <c r="H51" s="38"/>
      <c r="I51" s="34"/>
      <c r="J51" s="34"/>
      <c r="K51" s="34"/>
      <c r="L51" s="34"/>
      <c r="M51" s="34"/>
      <c r="N51" s="34"/>
      <c r="O51" s="34"/>
      <c r="P51" s="34"/>
      <c r="Q51" s="34"/>
    </row>
    <row r="52" spans="1:17" x14ac:dyDescent="0.2">
      <c r="A52" s="34"/>
      <c r="B52" s="34"/>
      <c r="C52" s="34"/>
      <c r="D52" s="35" t="s">
        <v>38</v>
      </c>
      <c r="E52" s="38">
        <f ca="1">INDIRECT(""&amp;B48&amp;"!CX6")</f>
        <v>0.13930000000000001</v>
      </c>
      <c r="F52" s="38"/>
      <c r="G52" s="38"/>
      <c r="H52" s="38"/>
      <c r="I52" s="34"/>
      <c r="J52" s="34"/>
      <c r="K52" s="34"/>
      <c r="L52" s="34"/>
      <c r="M52" s="34"/>
      <c r="N52" s="34"/>
      <c r="O52" s="34"/>
      <c r="P52" s="34"/>
      <c r="Q52" s="34"/>
    </row>
    <row r="53" spans="1:17" x14ac:dyDescent="0.2">
      <c r="A53" s="34"/>
      <c r="B53" s="34"/>
      <c r="C53" s="34"/>
      <c r="D53" s="35" t="s">
        <v>39</v>
      </c>
      <c r="E53" s="38">
        <f ca="1">INDIRECT(""&amp;B48&amp;"!CX7")</f>
        <v>0.1386</v>
      </c>
      <c r="F53" s="38"/>
      <c r="G53" s="38"/>
      <c r="H53" s="38"/>
      <c r="I53" s="34"/>
      <c r="J53" s="34"/>
      <c r="K53" s="34"/>
      <c r="L53" s="34"/>
      <c r="M53" s="34"/>
      <c r="N53" s="34"/>
      <c r="O53" s="34"/>
      <c r="P53" s="34"/>
      <c r="Q53" s="34"/>
    </row>
    <row r="54" spans="1:17" x14ac:dyDescent="0.2">
      <c r="A54" s="34"/>
      <c r="B54" s="34"/>
      <c r="C54" s="34"/>
      <c r="D54" s="35" t="s">
        <v>40</v>
      </c>
      <c r="E54" s="38">
        <f ca="1">INDIRECT(""&amp;B48&amp;"!CX8")</f>
        <v>0.13650000000000001</v>
      </c>
      <c r="F54" s="38"/>
      <c r="G54" s="38"/>
      <c r="H54" s="38"/>
      <c r="I54" s="34"/>
      <c r="J54" s="34"/>
      <c r="K54" s="34"/>
      <c r="L54" s="34"/>
      <c r="M54" s="34"/>
      <c r="N54" s="34"/>
      <c r="O54" s="34"/>
      <c r="P54" s="34"/>
      <c r="Q54" s="34"/>
    </row>
    <row r="55" spans="1:17" x14ac:dyDescent="0.2">
      <c r="A55" s="34"/>
      <c r="B55" s="34"/>
      <c r="C55" s="34"/>
      <c r="D55" s="35" t="s">
        <v>41</v>
      </c>
      <c r="E55" s="38">
        <f ca="1">INDIRECT(""&amp;B48&amp;"!CX9")</f>
        <v>0.13350000000000001</v>
      </c>
      <c r="F55" s="38"/>
      <c r="G55" s="38"/>
      <c r="H55" s="38"/>
      <c r="I55" s="34"/>
      <c r="J55" s="34"/>
      <c r="K55" s="34"/>
      <c r="L55" s="34"/>
      <c r="M55" s="34"/>
      <c r="N55" s="34"/>
      <c r="O55" s="34"/>
      <c r="P55" s="34"/>
      <c r="Q55" s="34"/>
    </row>
    <row r="56" spans="1:17" x14ac:dyDescent="0.2">
      <c r="B56" s="34"/>
      <c r="C56" s="34"/>
      <c r="D56" s="35" t="s">
        <v>155</v>
      </c>
      <c r="E56" s="38">
        <f ca="1">INDIRECT(""&amp;B48&amp;"!CX10")</f>
        <v>0.13469999999999999</v>
      </c>
      <c r="F56" s="34"/>
      <c r="G56" s="34"/>
      <c r="H56" s="34"/>
      <c r="I56" s="34"/>
      <c r="J56" s="34"/>
      <c r="K56" s="34"/>
      <c r="L56" s="34"/>
      <c r="M56" s="34"/>
    </row>
    <row r="57" spans="1:17" x14ac:dyDescent="0.2">
      <c r="B57" s="34"/>
      <c r="C57" s="34"/>
      <c r="D57" s="34"/>
      <c r="E57" s="34"/>
      <c r="F57" s="34"/>
      <c r="G57" s="34"/>
      <c r="H57" s="34"/>
      <c r="I57" s="34"/>
      <c r="J57" s="34"/>
      <c r="K57" s="34"/>
      <c r="L57" s="34"/>
      <c r="M57" s="34"/>
    </row>
    <row r="58" spans="1:17" x14ac:dyDescent="0.2">
      <c r="B58" s="34"/>
      <c r="C58" s="34"/>
      <c r="D58" s="34"/>
      <c r="E58" s="34"/>
      <c r="F58" s="34"/>
      <c r="G58" s="34"/>
      <c r="H58" s="34"/>
      <c r="I58" s="34"/>
      <c r="J58" s="34"/>
      <c r="K58" s="34"/>
      <c r="L58" s="34"/>
      <c r="M58" s="34"/>
    </row>
    <row r="59" spans="1:17" x14ac:dyDescent="0.2">
      <c r="B59" s="34"/>
      <c r="C59" s="34"/>
      <c r="D59" s="34"/>
      <c r="E59" s="34"/>
      <c r="F59" s="34"/>
      <c r="G59" s="34"/>
      <c r="H59" s="34"/>
      <c r="I59" s="34"/>
      <c r="J59" s="34"/>
      <c r="K59" s="34"/>
      <c r="L59" s="34"/>
      <c r="M59" s="34"/>
    </row>
    <row r="60" spans="1:17" x14ac:dyDescent="0.2">
      <c r="B60" s="34"/>
      <c r="C60" s="34"/>
      <c r="D60" s="34"/>
      <c r="E60" s="34"/>
      <c r="F60" s="34"/>
      <c r="G60" s="34"/>
      <c r="H60" s="34"/>
      <c r="I60" s="34"/>
      <c r="J60" s="34"/>
      <c r="K60" s="34"/>
      <c r="L60" s="34"/>
      <c r="M60" s="34"/>
    </row>
    <row r="61" spans="1:17" x14ac:dyDescent="0.2">
      <c r="B61" s="34"/>
      <c r="C61" s="34"/>
      <c r="D61" s="34"/>
      <c r="E61" s="34"/>
      <c r="F61" s="34"/>
      <c r="G61" s="34"/>
      <c r="H61" s="34"/>
      <c r="I61" s="34"/>
      <c r="J61" s="34"/>
      <c r="K61" s="34"/>
      <c r="L61" s="34"/>
      <c r="M61" s="34"/>
    </row>
    <row r="62" spans="1:17" x14ac:dyDescent="0.2">
      <c r="B62" s="34"/>
      <c r="C62" s="34"/>
      <c r="D62" s="34"/>
      <c r="E62" s="34"/>
      <c r="F62" s="34"/>
      <c r="G62" s="34"/>
      <c r="H62" s="34"/>
      <c r="I62" s="34"/>
      <c r="J62" s="34"/>
      <c r="K62" s="34"/>
      <c r="L62" s="34"/>
      <c r="M62" s="34"/>
    </row>
    <row r="63" spans="1:17" x14ac:dyDescent="0.2">
      <c r="B63" s="34"/>
      <c r="C63" s="34"/>
      <c r="D63" s="34"/>
      <c r="E63" s="34"/>
      <c r="F63" s="34"/>
      <c r="G63" s="34"/>
      <c r="H63" s="34"/>
      <c r="I63" s="34"/>
      <c r="J63" s="34"/>
      <c r="K63" s="34"/>
      <c r="L63" s="34"/>
      <c r="M63" s="34"/>
    </row>
    <row r="64" spans="1:17" x14ac:dyDescent="0.2">
      <c r="B64" s="34"/>
      <c r="C64" s="34"/>
      <c r="D64" s="34"/>
      <c r="E64" s="34"/>
      <c r="F64" s="34"/>
      <c r="G64" s="34"/>
      <c r="H64" s="34"/>
      <c r="I64" s="34"/>
      <c r="J64" s="34"/>
      <c r="K64" s="34"/>
      <c r="L64" s="34"/>
      <c r="M64" s="34"/>
    </row>
    <row r="65" spans="2:13" x14ac:dyDescent="0.2">
      <c r="B65" s="34"/>
      <c r="C65" s="34"/>
      <c r="D65" s="34"/>
      <c r="E65" s="34"/>
      <c r="F65" s="34"/>
      <c r="G65" s="34"/>
      <c r="H65" s="34"/>
      <c r="I65" s="34"/>
      <c r="J65" s="34"/>
      <c r="K65" s="34"/>
      <c r="L65" s="34"/>
      <c r="M65" s="34"/>
    </row>
    <row r="66" spans="2:13" x14ac:dyDescent="0.2">
      <c r="B66" s="34"/>
      <c r="C66" s="34"/>
      <c r="D66" s="34"/>
      <c r="E66" s="34"/>
      <c r="F66" s="34"/>
      <c r="G66" s="34"/>
      <c r="H66" s="34"/>
      <c r="I66" s="34"/>
      <c r="J66" s="34"/>
      <c r="K66" s="34"/>
      <c r="L66" s="34"/>
      <c r="M66" s="34"/>
    </row>
    <row r="67" spans="2:13" x14ac:dyDescent="0.2">
      <c r="B67" s="34"/>
      <c r="C67" s="34"/>
      <c r="D67" s="34"/>
      <c r="E67" s="34"/>
      <c r="F67" s="34"/>
      <c r="G67" s="34"/>
      <c r="H67" s="34"/>
      <c r="I67" s="34"/>
      <c r="J67" s="34"/>
      <c r="K67" s="34"/>
      <c r="L67" s="34"/>
      <c r="M67" s="34"/>
    </row>
    <row r="68" spans="2:13" x14ac:dyDescent="0.2">
      <c r="B68" s="34"/>
      <c r="C68" s="34"/>
      <c r="D68" s="34"/>
      <c r="E68" s="34"/>
      <c r="F68" s="34"/>
      <c r="G68" s="34"/>
      <c r="H68" s="34"/>
      <c r="I68" s="34"/>
      <c r="J68" s="34"/>
      <c r="K68" s="34"/>
      <c r="L68" s="34"/>
      <c r="M68" s="34"/>
    </row>
    <row r="69" spans="2:13" x14ac:dyDescent="0.2">
      <c r="B69" s="34"/>
      <c r="C69" s="34"/>
      <c r="D69" s="34"/>
      <c r="E69" s="34"/>
      <c r="F69" s="34"/>
      <c r="G69" s="34"/>
      <c r="H69" s="34"/>
      <c r="I69" s="34"/>
      <c r="J69" s="34"/>
      <c r="K69" s="34"/>
      <c r="L69" s="34"/>
      <c r="M69" s="34"/>
    </row>
    <row r="70" spans="2:13" x14ac:dyDescent="0.2">
      <c r="B70" s="34"/>
      <c r="C70" s="34"/>
      <c r="D70" s="34"/>
      <c r="E70" s="34"/>
      <c r="F70" s="34"/>
      <c r="G70" s="34"/>
      <c r="H70" s="34"/>
      <c r="I70" s="34"/>
      <c r="J70" s="34"/>
      <c r="K70" s="34"/>
      <c r="L70" s="34"/>
      <c r="M70" s="34"/>
    </row>
  </sheetData>
  <sheetProtection selectLockedCells="1"/>
  <mergeCells count="4">
    <mergeCell ref="C4:J4"/>
    <mergeCell ref="C23:J23"/>
    <mergeCell ref="C27:J28"/>
    <mergeCell ref="K31:L31"/>
  </mergeCells>
  <hyperlinks>
    <hyperlink ref="K31:L31" location="Selection!D6" display="Back to selection"/>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W90"/>
  <sheetViews>
    <sheetView showZeros="0" topLeftCell="A4" workbookViewId="0">
      <selection activeCell="C23" sqref="C23:J23"/>
    </sheetView>
  </sheetViews>
  <sheetFormatPr defaultColWidth="8.69921875" defaultRowHeight="14.25" x14ac:dyDescent="0.2"/>
  <cols>
    <col min="1" max="3" width="8.69921875" style="7"/>
    <col min="4" max="4" width="9.5" style="7" bestFit="1" customWidth="1"/>
    <col min="5" max="5" width="12.19921875" style="7" customWidth="1"/>
    <col min="6" max="9" width="8.69921875" style="7"/>
    <col min="10" max="10" width="12.5" style="7" customWidth="1"/>
    <col min="1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
        <v>310</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2" x14ac:dyDescent="0.2">
      <c r="B17" s="99"/>
      <c r="C17" s="32"/>
      <c r="D17" s="32"/>
      <c r="E17" s="32"/>
      <c r="F17" s="32"/>
      <c r="G17" s="32"/>
      <c r="H17" s="32"/>
      <c r="I17" s="32"/>
      <c r="J17" s="32"/>
      <c r="K17" s="100"/>
    </row>
    <row r="18" spans="2:12" x14ac:dyDescent="0.2">
      <c r="B18" s="99"/>
      <c r="C18" s="32"/>
      <c r="D18" s="32"/>
      <c r="E18" s="32"/>
      <c r="F18" s="32"/>
      <c r="G18" s="32"/>
      <c r="H18" s="32"/>
      <c r="I18" s="32"/>
      <c r="J18" s="32"/>
      <c r="K18" s="100"/>
    </row>
    <row r="19" spans="2:12" x14ac:dyDescent="0.2">
      <c r="B19" s="99"/>
      <c r="C19" s="32"/>
      <c r="D19" s="32"/>
      <c r="E19" s="32"/>
      <c r="F19" s="32"/>
      <c r="G19" s="32"/>
      <c r="H19" s="32"/>
      <c r="I19" s="32"/>
      <c r="J19" s="32"/>
      <c r="K19" s="100"/>
    </row>
    <row r="20" spans="2:12" x14ac:dyDescent="0.2">
      <c r="B20" s="99"/>
      <c r="C20" s="32"/>
      <c r="D20" s="32"/>
      <c r="E20" s="32"/>
      <c r="F20" s="32"/>
      <c r="G20" s="32"/>
      <c r="H20" s="32"/>
      <c r="I20" s="32"/>
      <c r="J20" s="32"/>
      <c r="K20" s="100"/>
    </row>
    <row r="21" spans="2:12" x14ac:dyDescent="0.2">
      <c r="B21" s="99"/>
      <c r="C21" s="32"/>
      <c r="D21" s="32"/>
      <c r="E21" s="32"/>
      <c r="F21" s="32"/>
      <c r="G21" s="32"/>
      <c r="H21" s="32"/>
      <c r="I21" s="32"/>
      <c r="J21" s="32"/>
      <c r="K21" s="100"/>
    </row>
    <row r="22" spans="2:12" x14ac:dyDescent="0.2">
      <c r="B22" s="99"/>
      <c r="C22" s="32"/>
      <c r="D22" s="32"/>
      <c r="E22" s="32"/>
      <c r="F22" s="32"/>
      <c r="G22" s="32"/>
      <c r="H22" s="32"/>
      <c r="I22" s="32"/>
      <c r="J22" s="32"/>
      <c r="K22" s="100"/>
    </row>
    <row r="23" spans="2:12" x14ac:dyDescent="0.2">
      <c r="B23" s="99"/>
      <c r="C23" s="221" t="s">
        <v>318</v>
      </c>
      <c r="D23" s="221"/>
      <c r="E23" s="221"/>
      <c r="F23" s="221"/>
      <c r="G23" s="221"/>
      <c r="H23" s="221"/>
      <c r="I23" s="221"/>
      <c r="J23" s="221"/>
      <c r="K23" s="100"/>
    </row>
    <row r="24" spans="2:12" ht="15" thickBot="1" x14ac:dyDescent="0.25">
      <c r="B24" s="101"/>
      <c r="C24" s="23"/>
      <c r="D24" s="23"/>
      <c r="E24" s="23"/>
      <c r="F24" s="23"/>
      <c r="G24" s="23"/>
      <c r="H24" s="23"/>
      <c r="I24" s="23"/>
      <c r="J24" s="23"/>
      <c r="K24" s="102"/>
    </row>
    <row r="25" spans="2:12" ht="15.75" thickTop="1" thickBot="1" x14ac:dyDescent="0.25"/>
    <row r="26" spans="2:12" x14ac:dyDescent="0.2">
      <c r="B26" s="103"/>
      <c r="C26" s="104"/>
      <c r="D26" s="104"/>
      <c r="E26" s="104"/>
      <c r="F26" s="104"/>
      <c r="G26" s="104"/>
      <c r="H26" s="104"/>
      <c r="I26" s="104"/>
      <c r="J26" s="104"/>
      <c r="K26" s="105"/>
    </row>
    <row r="27" spans="2:12" ht="13.9" customHeight="1" x14ac:dyDescent="0.2">
      <c r="B27" s="106"/>
      <c r="C27" s="222" t="str">
        <f ca="1">CONCATENATE("The volunteering levels in Greater Manchester vary from ", (TEXT((ABS(D41)),"0.0%")), " in ", D42, " to ", (TEXT((ABS(E41)),"0.0%")), " in ",E42, ". ", (COUNTIF(C42:C51,"&lt;"&amp;C40)), " boroughs in Greater Manchester have a lower rate of volunteering than the national average." )</f>
        <v>The volunteering levels in Greater Manchester vary from 0.0% in Bolton to 0.0% in Bolton. 10 boroughs in Greater Manchester have a lower rate of volunteering than the national average.</v>
      </c>
      <c r="D27" s="222"/>
      <c r="E27" s="222"/>
      <c r="F27" s="222"/>
      <c r="G27" s="222"/>
      <c r="H27" s="222"/>
      <c r="I27" s="222"/>
      <c r="J27" s="222"/>
      <c r="K27" s="107"/>
    </row>
    <row r="28" spans="2:12" x14ac:dyDescent="0.2">
      <c r="B28" s="106"/>
      <c r="C28" s="222"/>
      <c r="D28" s="222"/>
      <c r="E28" s="222"/>
      <c r="F28" s="222"/>
      <c r="G28" s="222"/>
      <c r="H28" s="222"/>
      <c r="I28" s="222"/>
      <c r="J28" s="222"/>
      <c r="K28" s="107"/>
    </row>
    <row r="29" spans="2:12" x14ac:dyDescent="0.2">
      <c r="B29" s="106"/>
      <c r="C29" s="222"/>
      <c r="D29" s="222"/>
      <c r="E29" s="222"/>
      <c r="F29" s="222"/>
      <c r="G29" s="222"/>
      <c r="H29" s="222"/>
      <c r="I29" s="222"/>
      <c r="J29" s="222"/>
      <c r="K29" s="107"/>
    </row>
    <row r="30" spans="2:12" ht="15" thickBot="1" x14ac:dyDescent="0.25">
      <c r="B30" s="108"/>
      <c r="C30" s="109"/>
      <c r="D30" s="109"/>
      <c r="E30" s="109"/>
      <c r="F30" s="109"/>
      <c r="G30" s="109"/>
      <c r="H30" s="109"/>
      <c r="I30" s="109"/>
      <c r="J30" s="109"/>
      <c r="K30" s="110"/>
    </row>
    <row r="32" spans="2:12" x14ac:dyDescent="0.2">
      <c r="K32" s="195" t="s">
        <v>147</v>
      </c>
      <c r="L32" s="195"/>
    </row>
    <row r="33" spans="2:21" x14ac:dyDescent="0.2">
      <c r="B33" s="67"/>
      <c r="C33" s="34"/>
      <c r="D33" s="34"/>
      <c r="E33" s="34"/>
      <c r="F33" s="34"/>
      <c r="G33" s="34"/>
      <c r="H33" s="34"/>
      <c r="I33" s="34"/>
      <c r="J33" s="34"/>
      <c r="K33" s="34"/>
      <c r="L33" s="34"/>
      <c r="M33" s="34"/>
      <c r="N33" s="34"/>
    </row>
    <row r="34" spans="2:21" x14ac:dyDescent="0.2">
      <c r="B34" s="34"/>
      <c r="C34" s="34"/>
      <c r="D34" s="34"/>
      <c r="E34" s="34"/>
      <c r="F34" s="34"/>
      <c r="G34" s="34"/>
      <c r="H34" s="34"/>
      <c r="I34" s="34"/>
      <c r="J34" s="34"/>
      <c r="K34" s="34"/>
      <c r="L34" s="34"/>
      <c r="M34" s="34"/>
      <c r="N34" s="34"/>
    </row>
    <row r="35" spans="2:21" x14ac:dyDescent="0.2">
      <c r="B35" s="34"/>
      <c r="C35" s="34"/>
      <c r="D35" s="34"/>
      <c r="E35" s="34"/>
      <c r="F35" s="34"/>
      <c r="G35" s="34"/>
      <c r="H35" s="34"/>
      <c r="I35" s="34"/>
      <c r="J35" s="34"/>
      <c r="K35" s="34"/>
      <c r="L35" s="34"/>
      <c r="M35" s="34"/>
      <c r="N35" s="34"/>
    </row>
    <row r="36" spans="2:21" x14ac:dyDescent="0.2">
      <c r="D36" s="34"/>
      <c r="E36" s="34"/>
      <c r="F36" s="34"/>
      <c r="H36" s="34"/>
      <c r="I36" s="34"/>
      <c r="J36" s="34"/>
      <c r="K36" s="34"/>
      <c r="L36" s="34"/>
      <c r="M36" s="34"/>
      <c r="N36" s="34"/>
    </row>
    <row r="37" spans="2:21" x14ac:dyDescent="0.2">
      <c r="B37" s="34"/>
      <c r="C37" s="34"/>
      <c r="D37" s="34"/>
      <c r="E37" s="34"/>
      <c r="F37" s="34"/>
      <c r="G37" s="34"/>
      <c r="H37" s="34"/>
      <c r="I37" s="34"/>
      <c r="J37" s="34"/>
      <c r="K37" s="34"/>
      <c r="L37" s="34"/>
      <c r="M37" s="34"/>
      <c r="N37" s="34"/>
    </row>
    <row r="38" spans="2:21" x14ac:dyDescent="0.2">
      <c r="B38" s="34"/>
      <c r="C38" s="34"/>
      <c r="D38" s="34"/>
      <c r="E38" s="34"/>
      <c r="F38" s="34"/>
      <c r="G38" s="34"/>
      <c r="H38" s="34"/>
      <c r="I38" s="34"/>
      <c r="J38" s="34"/>
      <c r="K38" s="34"/>
      <c r="L38" s="34"/>
      <c r="M38" s="34"/>
      <c r="N38" s="34"/>
    </row>
    <row r="39" spans="2:21" x14ac:dyDescent="0.2">
      <c r="B39" s="34"/>
      <c r="C39" s="34"/>
      <c r="D39" s="34">
        <f>(IF(C38="Age","75+",IF(C38="Gender","Female",IF(C38="Socio-Economic","NS-SEC 6-8",IF(C38="Disability","LT Limiting Disability",0)))))</f>
        <v>0</v>
      </c>
      <c r="F39" s="34"/>
      <c r="G39" s="34"/>
      <c r="H39" s="34"/>
      <c r="I39" s="34"/>
      <c r="J39" s="34"/>
      <c r="K39" s="34"/>
      <c r="L39" s="34"/>
      <c r="M39" s="34"/>
      <c r="N39" s="34"/>
    </row>
    <row r="40" spans="2:21" x14ac:dyDescent="0.2">
      <c r="B40" s="34" t="s">
        <v>107</v>
      </c>
      <c r="C40" s="37">
        <f t="shared" ref="C40:C51" ca="1" si="0">INDIRECT(""&amp;B40&amp;"!CX10")</f>
        <v>0.13469999999999999</v>
      </c>
      <c r="D40" s="38">
        <f t="array" ref="D40">MIN(IF(ISNUMBER(#REF!), ABS(#REF!)))</f>
        <v>0</v>
      </c>
      <c r="E40" s="49">
        <f t="array" ref="E40">MAX( IF(ISNUMBER(#REF!),#REF!))</f>
        <v>0</v>
      </c>
      <c r="F40" s="34"/>
      <c r="G40" s="34"/>
      <c r="H40" s="34"/>
      <c r="I40" s="34"/>
      <c r="K40" s="34"/>
      <c r="L40" s="34"/>
      <c r="M40" s="34"/>
      <c r="N40" s="34"/>
      <c r="O40" s="34"/>
      <c r="P40" s="34"/>
      <c r="Q40" s="34"/>
      <c r="R40" s="34"/>
      <c r="S40" s="34"/>
      <c r="T40" s="34"/>
      <c r="U40" s="34"/>
    </row>
    <row r="41" spans="2:21" x14ac:dyDescent="0.2">
      <c r="B41" s="34" t="s">
        <v>108</v>
      </c>
      <c r="C41" s="37">
        <f t="shared" ca="1" si="0"/>
        <v>0.1113</v>
      </c>
      <c r="D41" s="38">
        <f ca="1">MIN(C42:C51)</f>
        <v>0</v>
      </c>
      <c r="E41" s="38">
        <f ca="1">MAX(C42:C51)</f>
        <v>0</v>
      </c>
      <c r="F41" s="34"/>
      <c r="G41" s="34"/>
      <c r="H41" s="34"/>
      <c r="I41" s="34"/>
      <c r="K41" s="34"/>
      <c r="L41" s="34"/>
      <c r="M41" s="35"/>
      <c r="N41" s="34"/>
      <c r="O41" s="34"/>
      <c r="P41" s="34"/>
      <c r="Q41" s="34"/>
      <c r="R41" s="34"/>
      <c r="S41" s="39"/>
      <c r="T41" s="37"/>
      <c r="U41" s="38"/>
    </row>
    <row r="42" spans="2:21" x14ac:dyDescent="0.2">
      <c r="B42" s="34" t="s">
        <v>109</v>
      </c>
      <c r="C42" s="37">
        <f t="shared" ca="1" si="0"/>
        <v>0</v>
      </c>
      <c r="D42" s="34" t="str">
        <f ca="1">INDEX(B42:B51, MATCH((MIN(C42:C51)), C42:C51,0))</f>
        <v>Bolton</v>
      </c>
      <c r="E42" s="34" t="str">
        <f ca="1">INDEX(B42:B51, MATCH((MAX(C42:C51)), C42:C51,0))</f>
        <v>Bolton</v>
      </c>
      <c r="F42" s="34"/>
      <c r="G42" s="34"/>
      <c r="H42" s="34"/>
      <c r="I42" s="34"/>
      <c r="K42" s="34"/>
      <c r="L42" s="34"/>
      <c r="M42" s="34"/>
      <c r="N42" s="37"/>
      <c r="O42" s="37"/>
      <c r="P42" s="37"/>
      <c r="Q42" s="38"/>
      <c r="R42" s="34"/>
      <c r="S42" s="34"/>
      <c r="T42" s="37"/>
      <c r="U42" s="37"/>
    </row>
    <row r="43" spans="2:21" x14ac:dyDescent="0.2">
      <c r="B43" s="34" t="s">
        <v>110</v>
      </c>
      <c r="C43" s="37">
        <f t="shared" ca="1" si="0"/>
        <v>0</v>
      </c>
      <c r="E43" s="34"/>
      <c r="F43" s="34"/>
      <c r="G43" s="34"/>
      <c r="H43" s="34"/>
      <c r="I43" s="34"/>
      <c r="K43" s="34"/>
      <c r="L43" s="34"/>
      <c r="M43" s="34"/>
      <c r="N43" s="37"/>
      <c r="O43" s="37"/>
      <c r="P43" s="37"/>
      <c r="Q43" s="38"/>
      <c r="R43" s="34"/>
      <c r="S43" s="37"/>
      <c r="T43" s="37"/>
      <c r="U43" s="37"/>
    </row>
    <row r="44" spans="2:21" x14ac:dyDescent="0.2">
      <c r="B44" s="34" t="s">
        <v>111</v>
      </c>
      <c r="C44" s="37">
        <f t="shared" ca="1" si="0"/>
        <v>0</v>
      </c>
      <c r="E44" s="34"/>
      <c r="F44" s="34"/>
      <c r="G44" s="34"/>
      <c r="H44" s="34"/>
      <c r="I44" s="34"/>
      <c r="K44" s="34"/>
      <c r="L44" s="34"/>
      <c r="M44" s="34"/>
      <c r="N44" s="37"/>
      <c r="O44" s="37"/>
      <c r="P44" s="37"/>
      <c r="Q44" s="38"/>
      <c r="R44" s="34"/>
      <c r="S44" s="34"/>
      <c r="T44" s="37"/>
      <c r="U44" s="37"/>
    </row>
    <row r="45" spans="2:21" x14ac:dyDescent="0.2">
      <c r="B45" s="34" t="s">
        <v>112</v>
      </c>
      <c r="C45" s="37">
        <f t="shared" ca="1" si="0"/>
        <v>0</v>
      </c>
      <c r="E45" s="34"/>
      <c r="F45" s="34"/>
      <c r="G45" s="34"/>
      <c r="H45" s="34"/>
      <c r="I45" s="34"/>
      <c r="K45" s="34"/>
      <c r="L45" s="34"/>
      <c r="M45" s="34"/>
      <c r="N45" s="37"/>
      <c r="O45" s="37"/>
      <c r="P45" s="37"/>
      <c r="Q45" s="38"/>
      <c r="R45" s="34"/>
      <c r="S45" s="34"/>
      <c r="T45" s="37"/>
      <c r="U45" s="37"/>
    </row>
    <row r="46" spans="2:21" x14ac:dyDescent="0.2">
      <c r="B46" s="34" t="s">
        <v>113</v>
      </c>
      <c r="C46" s="37">
        <f t="shared" ca="1" si="0"/>
        <v>0</v>
      </c>
      <c r="E46" s="34"/>
      <c r="F46" s="34"/>
      <c r="G46" s="34"/>
      <c r="H46" s="34"/>
      <c r="I46" s="34"/>
      <c r="K46" s="34"/>
      <c r="L46" s="34"/>
      <c r="M46" s="34"/>
      <c r="N46" s="37"/>
      <c r="O46" s="37"/>
      <c r="P46" s="37"/>
      <c r="Q46" s="38"/>
      <c r="R46" s="34"/>
      <c r="S46" s="34"/>
      <c r="T46" s="37"/>
      <c r="U46" s="37"/>
    </row>
    <row r="47" spans="2:21" x14ac:dyDescent="0.2">
      <c r="B47" s="34" t="s">
        <v>114</v>
      </c>
      <c r="C47" s="37">
        <f t="shared" ca="1" si="0"/>
        <v>0</v>
      </c>
      <c r="E47" s="34"/>
      <c r="F47" s="34"/>
      <c r="G47" s="34"/>
      <c r="H47" s="34"/>
      <c r="I47" s="34"/>
      <c r="K47" s="34"/>
      <c r="L47" s="34"/>
      <c r="M47" s="34"/>
      <c r="N47" s="34"/>
      <c r="O47" s="34"/>
      <c r="P47" s="34"/>
      <c r="Q47" s="34"/>
      <c r="R47" s="34"/>
      <c r="S47" s="34"/>
      <c r="T47" s="37"/>
      <c r="U47" s="37"/>
    </row>
    <row r="48" spans="2:21" x14ac:dyDescent="0.2">
      <c r="B48" s="34" t="s">
        <v>115</v>
      </c>
      <c r="C48" s="37">
        <f t="shared" ca="1" si="0"/>
        <v>0</v>
      </c>
      <c r="E48" s="34"/>
      <c r="F48" s="34"/>
      <c r="G48" s="34"/>
      <c r="H48" s="34"/>
      <c r="I48" s="34"/>
      <c r="K48" s="34"/>
      <c r="L48" s="34"/>
      <c r="M48" s="35"/>
      <c r="N48" s="34"/>
      <c r="O48" s="34"/>
      <c r="P48" s="34"/>
      <c r="Q48" s="34"/>
      <c r="R48" s="34"/>
      <c r="S48" s="38"/>
      <c r="T48" s="37"/>
      <c r="U48" s="37"/>
    </row>
    <row r="49" spans="2:23" x14ac:dyDescent="0.2">
      <c r="B49" s="34" t="s">
        <v>116</v>
      </c>
      <c r="C49" s="37">
        <f t="shared" ca="1" si="0"/>
        <v>0</v>
      </c>
      <c r="E49" s="34"/>
      <c r="F49" s="34"/>
      <c r="G49" s="34"/>
      <c r="H49" s="34"/>
      <c r="I49" s="34"/>
      <c r="K49" s="34"/>
      <c r="L49" s="34"/>
      <c r="M49" s="34"/>
      <c r="N49" s="37"/>
      <c r="O49" s="37"/>
      <c r="P49" s="37"/>
      <c r="Q49" s="38"/>
      <c r="R49" s="34"/>
      <c r="S49" s="34"/>
      <c r="T49" s="37"/>
      <c r="U49" s="37"/>
    </row>
    <row r="50" spans="2:23" x14ac:dyDescent="0.2">
      <c r="B50" s="34" t="s">
        <v>117</v>
      </c>
      <c r="C50" s="37">
        <f t="shared" ca="1" si="0"/>
        <v>0</v>
      </c>
      <c r="E50" s="34"/>
      <c r="F50" s="34"/>
      <c r="G50" s="34"/>
      <c r="H50" s="34"/>
      <c r="I50" s="34"/>
      <c r="K50" s="34"/>
      <c r="L50" s="34"/>
      <c r="M50" s="34"/>
      <c r="N50" s="37"/>
      <c r="O50" s="37"/>
      <c r="P50" s="37"/>
      <c r="Q50" s="38"/>
      <c r="R50" s="34"/>
      <c r="S50" s="34"/>
      <c r="T50" s="37"/>
      <c r="U50" s="37"/>
    </row>
    <row r="51" spans="2:23" x14ac:dyDescent="0.2">
      <c r="B51" s="34" t="s">
        <v>118</v>
      </c>
      <c r="C51" s="37">
        <f t="shared" ca="1" si="0"/>
        <v>0</v>
      </c>
      <c r="E51" s="34"/>
      <c r="F51" s="34"/>
      <c r="G51" s="34"/>
      <c r="H51" s="34"/>
      <c r="I51" s="34"/>
      <c r="K51" s="34"/>
      <c r="L51" s="34"/>
      <c r="M51" s="34"/>
      <c r="N51" s="37"/>
      <c r="O51" s="37"/>
      <c r="P51" s="37"/>
      <c r="Q51" s="38"/>
      <c r="R51" s="34"/>
      <c r="S51" s="34"/>
      <c r="T51" s="37"/>
      <c r="U51" s="37"/>
    </row>
    <row r="52" spans="2:23" x14ac:dyDescent="0.2">
      <c r="B52" s="34"/>
      <c r="C52" s="34"/>
      <c r="D52" s="34"/>
      <c r="E52" s="34"/>
      <c r="F52" s="34"/>
      <c r="G52" s="34"/>
      <c r="H52" s="34"/>
      <c r="I52" s="34"/>
      <c r="J52" s="34"/>
      <c r="K52" s="34"/>
      <c r="M52" s="34"/>
      <c r="N52" s="34"/>
      <c r="O52" s="34"/>
      <c r="P52" s="37"/>
      <c r="Q52" s="37"/>
      <c r="R52" s="37"/>
      <c r="S52" s="38"/>
      <c r="T52" s="34"/>
      <c r="U52" s="34"/>
      <c r="V52" s="37"/>
      <c r="W52" s="37"/>
    </row>
    <row r="53" spans="2:23" x14ac:dyDescent="0.2">
      <c r="B53" s="34"/>
      <c r="C53" s="34"/>
      <c r="D53" s="34"/>
      <c r="E53" s="34"/>
      <c r="F53" s="34"/>
      <c r="G53" s="34"/>
      <c r="H53" s="34"/>
      <c r="I53" s="34"/>
      <c r="J53" s="34"/>
      <c r="K53" s="34"/>
      <c r="M53" s="34"/>
      <c r="N53" s="34"/>
      <c r="O53" s="34"/>
      <c r="P53" s="37"/>
      <c r="Q53" s="37"/>
      <c r="R53" s="37"/>
      <c r="S53" s="38"/>
      <c r="T53" s="34"/>
      <c r="U53" s="34"/>
      <c r="V53" s="37"/>
      <c r="W53" s="37"/>
    </row>
    <row r="54" spans="2:23" x14ac:dyDescent="0.2">
      <c r="B54" s="34"/>
      <c r="C54" s="34"/>
      <c r="D54" s="34"/>
      <c r="E54" s="34"/>
      <c r="F54" s="34"/>
      <c r="G54" s="34"/>
      <c r="H54" s="34"/>
      <c r="I54" s="34"/>
      <c r="J54" s="34"/>
      <c r="K54" s="34"/>
      <c r="M54" s="34"/>
      <c r="N54" s="34"/>
      <c r="O54" s="34"/>
      <c r="P54" s="34"/>
      <c r="Q54" s="34"/>
      <c r="R54" s="34"/>
      <c r="S54" s="34"/>
      <c r="T54" s="34"/>
      <c r="U54" s="34"/>
      <c r="V54" s="37"/>
      <c r="W54" s="37"/>
    </row>
    <row r="55" spans="2:23" x14ac:dyDescent="0.2">
      <c r="B55" s="34"/>
      <c r="C55" s="34"/>
      <c r="D55" s="34"/>
      <c r="E55" s="34"/>
      <c r="F55" s="34"/>
      <c r="G55" s="34"/>
      <c r="H55" s="34"/>
      <c r="I55" s="34"/>
      <c r="J55" s="34"/>
      <c r="K55" s="34"/>
      <c r="M55" s="34"/>
      <c r="N55" s="34"/>
      <c r="O55" s="35"/>
      <c r="P55" s="34"/>
      <c r="Q55" s="34"/>
      <c r="R55" s="34"/>
      <c r="S55" s="34"/>
      <c r="T55" s="34"/>
      <c r="U55" s="34"/>
      <c r="V55" s="37"/>
      <c r="W55" s="37"/>
    </row>
    <row r="56" spans="2:23" x14ac:dyDescent="0.2">
      <c r="B56" s="34"/>
      <c r="C56" s="34"/>
      <c r="D56" s="34"/>
      <c r="E56" s="34"/>
      <c r="F56" s="34"/>
      <c r="G56" s="34"/>
      <c r="H56" s="34"/>
      <c r="I56" s="34"/>
      <c r="J56" s="34"/>
      <c r="K56" s="34"/>
      <c r="M56" s="34"/>
      <c r="N56" s="34"/>
      <c r="O56" s="34"/>
      <c r="P56" s="37"/>
      <c r="Q56" s="37"/>
      <c r="R56" s="37"/>
      <c r="S56" s="38"/>
      <c r="T56" s="34"/>
      <c r="U56" s="34"/>
      <c r="V56" s="37"/>
      <c r="W56" s="37"/>
    </row>
    <row r="57" spans="2:23" x14ac:dyDescent="0.2">
      <c r="B57" s="34"/>
      <c r="C57" s="34"/>
      <c r="D57" s="34"/>
      <c r="E57" s="34"/>
      <c r="F57" s="34"/>
      <c r="G57" s="34"/>
      <c r="H57" s="34"/>
      <c r="I57" s="34"/>
      <c r="J57" s="34"/>
      <c r="K57" s="34"/>
      <c r="M57" s="34"/>
      <c r="N57" s="34"/>
      <c r="O57" s="34"/>
      <c r="P57" s="37"/>
      <c r="Q57" s="37"/>
      <c r="R57" s="37"/>
      <c r="S57" s="38"/>
      <c r="T57" s="34"/>
      <c r="U57" s="34"/>
      <c r="V57" s="37"/>
      <c r="W57" s="37"/>
    </row>
    <row r="58" spans="2:23" x14ac:dyDescent="0.2">
      <c r="B58" s="34"/>
      <c r="C58" s="34"/>
      <c r="D58" s="34"/>
      <c r="E58" s="34"/>
      <c r="F58" s="34"/>
      <c r="G58" s="34"/>
      <c r="H58" s="34"/>
      <c r="I58" s="34"/>
      <c r="J58" s="34"/>
      <c r="K58" s="34"/>
      <c r="M58" s="34"/>
      <c r="N58" s="34"/>
      <c r="O58" s="34"/>
      <c r="P58" s="37"/>
      <c r="Q58" s="37"/>
      <c r="R58" s="37"/>
      <c r="S58" s="38"/>
      <c r="T58" s="34"/>
      <c r="U58" s="34"/>
      <c r="V58" s="37"/>
      <c r="W58" s="37"/>
    </row>
    <row r="59" spans="2:23" x14ac:dyDescent="0.2">
      <c r="B59" s="34"/>
      <c r="C59" s="34"/>
      <c r="D59" s="34"/>
      <c r="E59" s="34"/>
      <c r="F59" s="34"/>
      <c r="G59" s="34"/>
      <c r="H59" s="34"/>
      <c r="I59" s="34"/>
      <c r="J59" s="34"/>
      <c r="K59" s="34"/>
      <c r="M59" s="34"/>
      <c r="N59" s="34"/>
      <c r="O59" s="34"/>
      <c r="P59" s="37"/>
      <c r="Q59" s="37"/>
      <c r="R59" s="37"/>
      <c r="S59" s="38"/>
      <c r="T59" s="34"/>
      <c r="U59" s="34"/>
      <c r="V59" s="37"/>
      <c r="W59" s="37"/>
    </row>
    <row r="60" spans="2:23" x14ac:dyDescent="0.2">
      <c r="B60" s="34"/>
      <c r="C60" s="34"/>
      <c r="D60" s="34"/>
      <c r="E60" s="34"/>
      <c r="F60" s="34"/>
      <c r="G60" s="34"/>
      <c r="H60" s="34"/>
      <c r="I60" s="34"/>
      <c r="J60" s="34"/>
      <c r="K60" s="34"/>
      <c r="M60" s="34"/>
      <c r="N60" s="34"/>
      <c r="O60" s="34"/>
      <c r="P60" s="37"/>
      <c r="Q60" s="37"/>
      <c r="R60" s="37"/>
      <c r="S60" s="38"/>
      <c r="T60" s="34"/>
      <c r="U60" s="34"/>
      <c r="V60" s="37"/>
      <c r="W60" s="37"/>
    </row>
    <row r="61" spans="2:23" x14ac:dyDescent="0.2">
      <c r="B61" s="34"/>
      <c r="C61" s="34"/>
      <c r="D61" s="34"/>
      <c r="E61" s="34"/>
      <c r="F61" s="34"/>
      <c r="G61" s="34"/>
      <c r="H61" s="34"/>
      <c r="I61" s="34"/>
      <c r="J61" s="34"/>
      <c r="K61" s="34"/>
      <c r="M61" s="34"/>
      <c r="N61" s="34"/>
      <c r="O61" s="34"/>
      <c r="P61" s="34"/>
      <c r="Q61" s="34"/>
      <c r="R61" s="34"/>
      <c r="S61" s="34"/>
      <c r="T61" s="34"/>
      <c r="U61" s="34"/>
      <c r="V61" s="37"/>
      <c r="W61" s="37"/>
    </row>
    <row r="62" spans="2:23" x14ac:dyDescent="0.2">
      <c r="B62" s="34"/>
      <c r="C62" s="34"/>
      <c r="D62" s="34"/>
      <c r="E62" s="34"/>
      <c r="F62" s="34"/>
      <c r="G62" s="34"/>
      <c r="H62" s="34"/>
      <c r="I62" s="34"/>
      <c r="J62" s="34"/>
      <c r="K62" s="34"/>
      <c r="M62" s="34"/>
      <c r="N62" s="34"/>
      <c r="O62" s="35"/>
      <c r="P62" s="34"/>
      <c r="Q62" s="34"/>
      <c r="R62" s="34"/>
      <c r="S62" s="34"/>
      <c r="T62" s="34"/>
      <c r="U62" s="34"/>
      <c r="V62" s="37"/>
      <c r="W62" s="37"/>
    </row>
    <row r="63" spans="2:23" x14ac:dyDescent="0.2">
      <c r="B63" s="34"/>
      <c r="C63" s="34"/>
      <c r="D63" s="34"/>
      <c r="E63" s="34"/>
      <c r="F63" s="34"/>
      <c r="G63" s="34"/>
      <c r="H63" s="34"/>
      <c r="I63" s="34"/>
      <c r="J63" s="34"/>
      <c r="K63" s="34"/>
      <c r="M63" s="34"/>
      <c r="N63" s="34"/>
      <c r="O63" s="34"/>
      <c r="P63" s="37"/>
      <c r="Q63" s="37"/>
      <c r="R63" s="37"/>
      <c r="S63" s="38"/>
      <c r="T63" s="34"/>
      <c r="U63" s="34"/>
      <c r="V63" s="37"/>
      <c r="W63" s="37"/>
    </row>
    <row r="64" spans="2:23" x14ac:dyDescent="0.2">
      <c r="B64" s="34"/>
      <c r="C64" s="34"/>
      <c r="D64" s="34"/>
      <c r="E64" s="34"/>
      <c r="F64" s="34"/>
      <c r="G64" s="34"/>
      <c r="H64" s="34"/>
      <c r="I64" s="34"/>
      <c r="J64" s="34"/>
      <c r="K64" s="34"/>
      <c r="M64" s="34"/>
      <c r="N64" s="34"/>
      <c r="O64" s="34"/>
      <c r="P64" s="37"/>
      <c r="Q64" s="37"/>
      <c r="R64" s="37"/>
      <c r="S64" s="38"/>
      <c r="T64" s="34"/>
      <c r="U64" s="34"/>
      <c r="V64" s="37"/>
      <c r="W64" s="37"/>
    </row>
    <row r="65" spans="2:23" x14ac:dyDescent="0.2">
      <c r="B65" s="34"/>
      <c r="C65" s="34"/>
      <c r="D65" s="34"/>
      <c r="E65" s="34"/>
      <c r="F65" s="34"/>
      <c r="G65" s="34"/>
      <c r="H65" s="34"/>
      <c r="I65" s="34"/>
      <c r="J65" s="34"/>
      <c r="K65" s="34"/>
      <c r="M65" s="34"/>
      <c r="N65" s="34"/>
      <c r="O65" s="34"/>
      <c r="P65" s="37"/>
      <c r="Q65" s="37"/>
      <c r="R65" s="37"/>
      <c r="S65" s="38"/>
      <c r="T65" s="34"/>
      <c r="U65" s="34"/>
      <c r="V65" s="37"/>
      <c r="W65" s="37"/>
    </row>
    <row r="66" spans="2:23" x14ac:dyDescent="0.2">
      <c r="B66" s="34"/>
      <c r="C66" s="34"/>
      <c r="D66" s="34"/>
      <c r="E66" s="34"/>
      <c r="F66" s="34"/>
      <c r="G66" s="34"/>
      <c r="H66" s="34"/>
      <c r="I66" s="34"/>
      <c r="J66" s="34"/>
      <c r="K66" s="34"/>
      <c r="M66" s="34"/>
      <c r="N66" s="34"/>
      <c r="O66" s="34"/>
      <c r="P66" s="37"/>
      <c r="Q66" s="37"/>
      <c r="R66" s="37"/>
      <c r="S66" s="38"/>
      <c r="T66" s="34"/>
      <c r="U66" s="34"/>
      <c r="V66" s="37"/>
      <c r="W66" s="37"/>
    </row>
    <row r="67" spans="2:23" x14ac:dyDescent="0.2">
      <c r="B67" s="34"/>
      <c r="C67" s="34"/>
      <c r="D67" s="34"/>
      <c r="E67" s="34"/>
      <c r="F67" s="34"/>
      <c r="G67" s="34"/>
      <c r="H67" s="34"/>
      <c r="I67" s="34"/>
      <c r="J67" s="34"/>
      <c r="K67" s="34"/>
      <c r="M67" s="34"/>
      <c r="N67" s="34"/>
      <c r="O67" s="34"/>
      <c r="P67" s="37"/>
      <c r="Q67" s="37"/>
      <c r="R67" s="37"/>
      <c r="S67" s="38"/>
      <c r="T67" s="34"/>
      <c r="U67" s="34"/>
      <c r="V67" s="37"/>
      <c r="W67" s="37"/>
    </row>
    <row r="68" spans="2:23" x14ac:dyDescent="0.2">
      <c r="B68" s="34"/>
      <c r="C68" s="34"/>
      <c r="D68" s="34"/>
      <c r="E68" s="34"/>
      <c r="F68" s="34"/>
      <c r="G68" s="34"/>
      <c r="H68" s="34"/>
      <c r="I68" s="34"/>
      <c r="J68" s="34"/>
      <c r="K68" s="34"/>
      <c r="M68" s="34"/>
      <c r="N68" s="34"/>
      <c r="O68" s="34"/>
      <c r="P68" s="34"/>
      <c r="Q68" s="34"/>
      <c r="R68" s="34"/>
      <c r="S68" s="34"/>
      <c r="T68" s="34"/>
      <c r="U68" s="34"/>
      <c r="V68" s="37"/>
      <c r="W68" s="37"/>
    </row>
    <row r="69" spans="2:23" x14ac:dyDescent="0.2">
      <c r="B69" s="34"/>
      <c r="C69" s="34"/>
      <c r="D69" s="34"/>
      <c r="E69" s="34"/>
      <c r="F69" s="34"/>
      <c r="G69" s="34"/>
      <c r="H69" s="34"/>
      <c r="I69" s="34"/>
      <c r="J69" s="34"/>
      <c r="K69" s="34"/>
      <c r="M69" s="34"/>
      <c r="N69" s="34"/>
      <c r="O69" s="35"/>
      <c r="P69" s="34"/>
      <c r="Q69" s="34"/>
      <c r="R69" s="34"/>
      <c r="S69" s="34"/>
      <c r="T69" s="34"/>
      <c r="U69" s="34"/>
      <c r="V69" s="37"/>
      <c r="W69" s="37"/>
    </row>
    <row r="70" spans="2:23" x14ac:dyDescent="0.2">
      <c r="B70" s="34"/>
      <c r="C70" s="34"/>
      <c r="D70" s="34"/>
      <c r="E70" s="34"/>
      <c r="F70" s="34"/>
      <c r="G70" s="34"/>
      <c r="H70" s="34"/>
      <c r="I70" s="34"/>
      <c r="J70" s="34"/>
      <c r="K70" s="34"/>
      <c r="M70" s="34"/>
      <c r="N70" s="34"/>
      <c r="O70" s="34"/>
      <c r="P70" s="37"/>
      <c r="Q70" s="37"/>
      <c r="R70" s="37"/>
      <c r="S70" s="38"/>
      <c r="T70" s="34"/>
      <c r="U70" s="34"/>
      <c r="V70" s="37"/>
      <c r="W70" s="37"/>
    </row>
    <row r="71" spans="2:23" x14ac:dyDescent="0.2">
      <c r="B71" s="34"/>
      <c r="C71" s="34"/>
      <c r="D71" s="34"/>
      <c r="E71" s="34"/>
      <c r="F71" s="34"/>
      <c r="G71" s="34"/>
      <c r="H71" s="34"/>
      <c r="I71" s="34"/>
      <c r="J71" s="34"/>
      <c r="K71" s="34"/>
      <c r="M71" s="34"/>
      <c r="N71" s="34"/>
      <c r="O71" s="34"/>
      <c r="P71" s="37"/>
      <c r="Q71" s="37"/>
      <c r="R71" s="37"/>
      <c r="S71" s="38"/>
      <c r="T71" s="34"/>
      <c r="U71" s="34"/>
      <c r="V71" s="37"/>
      <c r="W71" s="37"/>
    </row>
    <row r="72" spans="2:23" x14ac:dyDescent="0.2">
      <c r="B72" s="34"/>
      <c r="C72" s="34"/>
      <c r="D72" s="34"/>
      <c r="E72" s="34"/>
      <c r="F72" s="34"/>
      <c r="G72" s="34"/>
      <c r="H72" s="34"/>
      <c r="I72" s="34"/>
      <c r="J72" s="34"/>
      <c r="K72" s="34"/>
      <c r="M72" s="34"/>
      <c r="N72" s="34"/>
      <c r="O72" s="34"/>
      <c r="P72" s="37"/>
      <c r="Q72" s="37"/>
      <c r="R72" s="37"/>
      <c r="S72" s="38"/>
      <c r="T72" s="34"/>
      <c r="U72" s="34"/>
      <c r="V72" s="37"/>
      <c r="W72" s="37"/>
    </row>
    <row r="73" spans="2:23" x14ac:dyDescent="0.2">
      <c r="B73" s="34"/>
      <c r="C73" s="34"/>
      <c r="D73" s="34"/>
      <c r="E73" s="34"/>
      <c r="F73" s="34"/>
      <c r="G73" s="34"/>
      <c r="H73" s="34"/>
      <c r="I73" s="34"/>
      <c r="J73" s="34"/>
      <c r="K73" s="34"/>
      <c r="M73" s="34"/>
      <c r="N73" s="34"/>
      <c r="O73" s="34"/>
      <c r="P73" s="37"/>
      <c r="Q73" s="37"/>
      <c r="R73" s="37"/>
      <c r="S73" s="38"/>
      <c r="T73" s="34"/>
      <c r="U73" s="34"/>
      <c r="V73" s="37"/>
      <c r="W73" s="37"/>
    </row>
    <row r="74" spans="2:23" x14ac:dyDescent="0.2">
      <c r="B74" s="34"/>
      <c r="C74" s="34"/>
      <c r="D74" s="34"/>
      <c r="E74" s="34"/>
      <c r="F74" s="34"/>
      <c r="G74" s="34"/>
      <c r="H74" s="34"/>
      <c r="I74" s="34"/>
      <c r="J74" s="34"/>
      <c r="K74" s="34"/>
      <c r="M74" s="34"/>
      <c r="N74" s="34"/>
      <c r="O74" s="34"/>
      <c r="P74" s="37"/>
      <c r="Q74" s="37"/>
      <c r="R74" s="37"/>
      <c r="S74" s="38"/>
      <c r="T74" s="34"/>
      <c r="U74" s="34"/>
      <c r="V74" s="37"/>
      <c r="W74" s="37"/>
    </row>
    <row r="75" spans="2:23" x14ac:dyDescent="0.2">
      <c r="B75" s="34"/>
      <c r="C75" s="34"/>
      <c r="D75" s="34"/>
      <c r="E75" s="34"/>
      <c r="F75" s="34"/>
      <c r="G75" s="34"/>
      <c r="H75" s="34"/>
      <c r="I75" s="34"/>
      <c r="J75" s="34"/>
      <c r="K75" s="34"/>
      <c r="M75" s="34"/>
      <c r="N75" s="34"/>
      <c r="O75" s="34"/>
      <c r="P75" s="34"/>
      <c r="Q75" s="34"/>
      <c r="R75" s="34"/>
      <c r="S75" s="34"/>
      <c r="T75" s="34"/>
      <c r="U75" s="34"/>
      <c r="V75" s="37"/>
      <c r="W75" s="37"/>
    </row>
    <row r="76" spans="2:23" x14ac:dyDescent="0.2">
      <c r="B76" s="34"/>
      <c r="C76" s="34"/>
      <c r="D76" s="34"/>
      <c r="E76" s="34"/>
      <c r="F76" s="34"/>
      <c r="G76" s="34"/>
      <c r="H76" s="34"/>
      <c r="I76" s="34"/>
      <c r="J76" s="34"/>
      <c r="K76" s="34"/>
      <c r="M76" s="34"/>
      <c r="N76" s="34"/>
      <c r="O76" s="35"/>
      <c r="P76" s="34"/>
      <c r="Q76" s="34"/>
      <c r="R76" s="34"/>
      <c r="S76" s="34"/>
      <c r="T76" s="34"/>
      <c r="U76" s="34"/>
      <c r="V76" s="37"/>
      <c r="W76" s="37"/>
    </row>
    <row r="77" spans="2:23" x14ac:dyDescent="0.2">
      <c r="B77" s="34"/>
      <c r="C77" s="34"/>
      <c r="D77" s="34"/>
      <c r="E77" s="34"/>
      <c r="F77" s="34"/>
      <c r="G77" s="34"/>
      <c r="H77" s="34"/>
      <c r="I77" s="34"/>
      <c r="J77" s="34"/>
      <c r="K77" s="34"/>
      <c r="M77" s="34"/>
      <c r="N77" s="34"/>
      <c r="O77" s="34"/>
      <c r="P77" s="37"/>
      <c r="Q77" s="37"/>
      <c r="R77" s="37"/>
      <c r="S77" s="38"/>
      <c r="T77" s="34"/>
      <c r="U77" s="34"/>
      <c r="V77" s="37"/>
      <c r="W77" s="37"/>
    </row>
    <row r="78" spans="2:23" x14ac:dyDescent="0.2">
      <c r="B78" s="34"/>
      <c r="C78" s="34"/>
      <c r="D78" s="34"/>
      <c r="E78" s="34"/>
      <c r="F78" s="34"/>
      <c r="G78" s="34"/>
      <c r="H78" s="34"/>
      <c r="I78" s="34"/>
      <c r="J78" s="34"/>
      <c r="K78" s="34"/>
      <c r="M78" s="34"/>
      <c r="N78" s="34"/>
      <c r="O78" s="34"/>
      <c r="P78" s="37"/>
      <c r="Q78" s="37"/>
      <c r="R78" s="37"/>
      <c r="S78" s="38"/>
      <c r="T78" s="34"/>
      <c r="U78" s="34"/>
      <c r="V78" s="37"/>
      <c r="W78" s="37"/>
    </row>
    <row r="79" spans="2:23" x14ac:dyDescent="0.2">
      <c r="B79" s="34"/>
      <c r="C79" s="34"/>
      <c r="D79" s="34"/>
      <c r="E79" s="34"/>
      <c r="F79" s="34"/>
      <c r="G79" s="34"/>
      <c r="H79" s="34"/>
      <c r="I79" s="34"/>
      <c r="J79" s="34"/>
      <c r="K79" s="34"/>
      <c r="M79" s="34"/>
      <c r="N79" s="34"/>
      <c r="O79" s="34"/>
      <c r="P79" s="37"/>
      <c r="Q79" s="37"/>
      <c r="R79" s="37"/>
      <c r="S79" s="38"/>
      <c r="T79" s="34"/>
      <c r="U79" s="34"/>
      <c r="V79" s="37"/>
      <c r="W79" s="37"/>
    </row>
    <row r="80" spans="2:23" x14ac:dyDescent="0.2">
      <c r="B80" s="34"/>
      <c r="C80" s="34"/>
      <c r="D80" s="34"/>
      <c r="E80" s="34"/>
      <c r="F80" s="34"/>
      <c r="G80" s="34"/>
      <c r="H80" s="34"/>
      <c r="I80" s="34"/>
      <c r="J80" s="34"/>
      <c r="K80" s="34"/>
      <c r="M80" s="34"/>
      <c r="N80" s="34"/>
      <c r="O80" s="34"/>
      <c r="P80" s="37"/>
      <c r="Q80" s="37"/>
      <c r="R80" s="37"/>
      <c r="S80" s="38"/>
      <c r="T80" s="34"/>
      <c r="U80" s="34"/>
      <c r="V80" s="37"/>
      <c r="W80" s="37"/>
    </row>
    <row r="81" spans="2:23" x14ac:dyDescent="0.2">
      <c r="B81" s="34"/>
      <c r="C81" s="34"/>
      <c r="D81" s="34"/>
      <c r="E81" s="34"/>
      <c r="F81" s="34"/>
      <c r="G81" s="34"/>
      <c r="H81" s="34"/>
      <c r="I81" s="34"/>
      <c r="J81" s="34"/>
      <c r="K81" s="34"/>
      <c r="M81" s="34"/>
      <c r="N81" s="34"/>
      <c r="O81" s="34"/>
      <c r="P81" s="37"/>
      <c r="Q81" s="37"/>
      <c r="R81" s="37"/>
      <c r="S81" s="38"/>
      <c r="T81" s="34"/>
      <c r="U81" s="34"/>
      <c r="V81" s="37"/>
      <c r="W81" s="37"/>
    </row>
    <row r="82" spans="2:23" x14ac:dyDescent="0.2">
      <c r="B82" s="34"/>
      <c r="C82" s="34"/>
      <c r="D82" s="34"/>
      <c r="E82" s="34"/>
      <c r="F82" s="34"/>
      <c r="G82" s="34"/>
      <c r="H82" s="34"/>
      <c r="I82" s="34"/>
      <c r="J82" s="34"/>
      <c r="K82" s="34"/>
      <c r="M82" s="34"/>
      <c r="N82" s="34"/>
      <c r="O82" s="35"/>
      <c r="P82" s="34"/>
      <c r="Q82" s="34"/>
      <c r="R82" s="34"/>
      <c r="S82" s="34"/>
      <c r="T82" s="34"/>
      <c r="U82" s="34"/>
      <c r="V82" s="34"/>
      <c r="W82" s="34"/>
    </row>
    <row r="83" spans="2:23" x14ac:dyDescent="0.2">
      <c r="B83" s="34"/>
      <c r="C83" s="34"/>
      <c r="D83" s="34"/>
      <c r="E83" s="34"/>
      <c r="F83" s="34"/>
      <c r="G83" s="34"/>
      <c r="H83" s="34"/>
      <c r="I83" s="34"/>
      <c r="J83" s="34"/>
      <c r="K83" s="34"/>
      <c r="M83" s="34"/>
      <c r="N83" s="34"/>
      <c r="O83" s="35"/>
      <c r="P83" s="34"/>
      <c r="Q83" s="34"/>
      <c r="R83" s="34"/>
      <c r="S83" s="34"/>
      <c r="T83" s="34"/>
      <c r="U83" s="34"/>
      <c r="V83" s="34"/>
      <c r="W83" s="34"/>
    </row>
    <row r="84" spans="2:23" x14ac:dyDescent="0.2">
      <c r="B84" s="34"/>
      <c r="C84" s="34"/>
      <c r="D84" s="34"/>
      <c r="E84" s="34"/>
      <c r="F84" s="34"/>
      <c r="G84" s="34"/>
      <c r="H84" s="34"/>
      <c r="I84" s="34"/>
      <c r="J84" s="34"/>
      <c r="K84" s="34"/>
      <c r="M84" s="34"/>
      <c r="N84" s="34"/>
      <c r="O84" s="34"/>
      <c r="P84" s="37"/>
      <c r="Q84" s="37"/>
      <c r="R84" s="37"/>
      <c r="S84" s="38"/>
      <c r="T84" s="34"/>
      <c r="U84" s="34"/>
      <c r="V84" s="34"/>
      <c r="W84" s="34"/>
    </row>
    <row r="85" spans="2:23" x14ac:dyDescent="0.2">
      <c r="B85" s="34"/>
      <c r="C85" s="34"/>
      <c r="D85" s="34"/>
      <c r="E85" s="34"/>
      <c r="F85" s="34"/>
      <c r="G85" s="34"/>
      <c r="H85" s="34"/>
      <c r="I85" s="34"/>
      <c r="J85" s="34"/>
      <c r="K85" s="34"/>
      <c r="M85" s="34"/>
      <c r="N85" s="34"/>
      <c r="O85" s="34"/>
      <c r="P85" s="37"/>
      <c r="Q85" s="37"/>
      <c r="R85" s="37"/>
      <c r="S85" s="38"/>
      <c r="T85" s="34"/>
      <c r="U85" s="37"/>
      <c r="V85" s="34"/>
      <c r="W85" s="34"/>
    </row>
    <row r="86" spans="2:23" x14ac:dyDescent="0.2">
      <c r="B86" s="34"/>
      <c r="C86" s="34"/>
      <c r="D86" s="34"/>
      <c r="E86" s="34"/>
      <c r="F86" s="34"/>
      <c r="G86" s="34"/>
      <c r="H86" s="34"/>
      <c r="I86" s="34"/>
      <c r="J86" s="34"/>
      <c r="K86" s="34"/>
      <c r="M86" s="34"/>
      <c r="N86" s="34"/>
      <c r="O86" s="34"/>
      <c r="P86" s="37"/>
      <c r="Q86" s="37"/>
      <c r="R86" s="37"/>
      <c r="S86" s="38"/>
      <c r="T86" s="34"/>
      <c r="U86" s="34"/>
      <c r="V86" s="34"/>
      <c r="W86" s="34"/>
    </row>
    <row r="87" spans="2:23" x14ac:dyDescent="0.2">
      <c r="M87" s="34"/>
      <c r="N87" s="34"/>
      <c r="O87" s="34"/>
      <c r="P87" s="37"/>
      <c r="Q87" s="37"/>
      <c r="R87" s="37"/>
      <c r="S87" s="38"/>
      <c r="T87" s="34"/>
      <c r="U87" s="34"/>
      <c r="V87" s="34"/>
      <c r="W87" s="34"/>
    </row>
    <row r="88" spans="2:23" x14ac:dyDescent="0.2">
      <c r="B88" s="34"/>
      <c r="C88" s="34"/>
      <c r="D88" s="35"/>
      <c r="E88" s="38"/>
      <c r="F88" s="38"/>
      <c r="G88" s="38"/>
      <c r="H88" s="38"/>
      <c r="I88" s="34"/>
      <c r="J88" s="34"/>
      <c r="K88" s="34"/>
      <c r="L88" s="34"/>
      <c r="M88" s="34"/>
      <c r="N88" s="34"/>
    </row>
    <row r="89" spans="2:23" x14ac:dyDescent="0.2">
      <c r="B89" s="34"/>
      <c r="C89" s="34"/>
      <c r="D89" s="35"/>
      <c r="E89" s="38"/>
      <c r="F89" s="38"/>
      <c r="G89" s="38"/>
      <c r="H89" s="38"/>
      <c r="I89" s="34"/>
      <c r="J89" s="34"/>
      <c r="K89" s="34"/>
      <c r="L89" s="34"/>
      <c r="M89" s="34"/>
      <c r="N89" s="34"/>
    </row>
    <row r="90" spans="2:23" x14ac:dyDescent="0.2">
      <c r="D90" s="22"/>
    </row>
  </sheetData>
  <sheetProtection selectLockedCells="1"/>
  <mergeCells count="4">
    <mergeCell ref="C4:J4"/>
    <mergeCell ref="C23:J23"/>
    <mergeCell ref="C27:J29"/>
    <mergeCell ref="K32:L32"/>
  </mergeCells>
  <hyperlinks>
    <hyperlink ref="K32:L32" location="Selection!D6" display="Back to selection"/>
  </hyperlink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7"/>
  </sheetPr>
  <dimension ref="B1:O59"/>
  <sheetViews>
    <sheetView workbookViewId="0">
      <selection activeCell="L74" sqref="L74"/>
    </sheetView>
  </sheetViews>
  <sheetFormatPr defaultColWidth="8.69921875" defaultRowHeight="14.25" x14ac:dyDescent="0.2"/>
  <cols>
    <col min="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"Activity Levels Over Time in "&amp;B36</f>
        <v>Activity Levels Over Time in GM</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5" x14ac:dyDescent="0.2">
      <c r="B17" s="99"/>
      <c r="C17" s="32"/>
      <c r="D17" s="32"/>
      <c r="E17" s="32"/>
      <c r="F17" s="32"/>
      <c r="G17" s="32"/>
      <c r="H17" s="32"/>
      <c r="I17" s="32"/>
      <c r="J17" s="32"/>
      <c r="K17" s="100"/>
    </row>
    <row r="18" spans="2:15" x14ac:dyDescent="0.2">
      <c r="B18" s="99"/>
      <c r="C18" s="32"/>
      <c r="D18" s="32"/>
      <c r="E18" s="32"/>
      <c r="F18" s="32"/>
      <c r="G18" s="32"/>
      <c r="H18" s="32"/>
      <c r="I18" s="32"/>
      <c r="J18" s="32"/>
      <c r="K18" s="100"/>
    </row>
    <row r="19" spans="2:15" x14ac:dyDescent="0.2">
      <c r="B19" s="99"/>
      <c r="C19" s="32"/>
      <c r="D19" s="32"/>
      <c r="E19" s="32"/>
      <c r="F19" s="32"/>
      <c r="G19" s="32"/>
      <c r="H19" s="32"/>
      <c r="I19" s="32"/>
      <c r="J19" s="32"/>
      <c r="K19" s="100"/>
    </row>
    <row r="20" spans="2:15" x14ac:dyDescent="0.2">
      <c r="B20" s="99"/>
      <c r="C20" s="32"/>
      <c r="D20" s="32"/>
      <c r="E20" s="32"/>
      <c r="F20" s="32"/>
      <c r="G20" s="32"/>
      <c r="H20" s="32"/>
      <c r="I20" s="32"/>
      <c r="J20" s="32"/>
      <c r="K20" s="100"/>
    </row>
    <row r="21" spans="2:15" x14ac:dyDescent="0.2">
      <c r="B21" s="99"/>
      <c r="C21" s="32"/>
      <c r="D21" s="32"/>
      <c r="E21" s="32"/>
      <c r="F21" s="32"/>
      <c r="G21" s="32"/>
      <c r="H21" s="32"/>
      <c r="I21" s="32"/>
      <c r="J21" s="32"/>
      <c r="K21" s="100"/>
    </row>
    <row r="22" spans="2:15" x14ac:dyDescent="0.2">
      <c r="B22" s="99"/>
      <c r="C22" s="32"/>
      <c r="D22" s="32"/>
      <c r="E22" s="32"/>
      <c r="F22" s="32"/>
      <c r="G22" s="32"/>
      <c r="H22" s="32"/>
      <c r="I22" s="32"/>
      <c r="J22" s="32"/>
      <c r="K22" s="100"/>
    </row>
    <row r="23" spans="2:15" ht="22.15" customHeight="1" x14ac:dyDescent="0.2">
      <c r="B23" s="99"/>
      <c r="C23" s="226" t="s">
        <v>136</v>
      </c>
      <c r="D23" s="226"/>
      <c r="E23" s="226"/>
      <c r="F23" s="226"/>
      <c r="G23" s="226"/>
      <c r="H23" s="226"/>
      <c r="I23" s="226"/>
      <c r="J23" s="226"/>
      <c r="K23" s="100"/>
    </row>
    <row r="24" spans="2:15" x14ac:dyDescent="0.2">
      <c r="B24" s="99"/>
      <c r="C24" s="32"/>
      <c r="D24" s="32"/>
      <c r="E24" s="32"/>
      <c r="F24" s="32"/>
      <c r="G24" s="32"/>
      <c r="H24" s="32"/>
      <c r="I24" s="32"/>
      <c r="J24" s="32"/>
      <c r="K24" s="100"/>
    </row>
    <row r="25" spans="2:15" ht="15" thickBot="1" x14ac:dyDescent="0.25">
      <c r="B25" s="101"/>
      <c r="C25" s="23"/>
      <c r="D25" s="23"/>
      <c r="E25" s="23"/>
      <c r="F25" s="23"/>
      <c r="G25" s="23"/>
      <c r="H25" s="23"/>
      <c r="I25" s="23"/>
      <c r="J25" s="23"/>
      <c r="K25" s="102"/>
    </row>
    <row r="26" spans="2:15" ht="15" thickTop="1" x14ac:dyDescent="0.2"/>
    <row r="27" spans="2:15" x14ac:dyDescent="0.2">
      <c r="K27" s="195" t="s">
        <v>147</v>
      </c>
      <c r="L27" s="195"/>
    </row>
    <row r="31" spans="2:15" x14ac:dyDescent="0.2">
      <c r="B31" s="34"/>
      <c r="C31" s="34"/>
      <c r="D31" s="34"/>
      <c r="E31" s="34"/>
      <c r="F31" s="34"/>
      <c r="G31" s="34"/>
      <c r="H31" s="34"/>
      <c r="I31" s="34"/>
      <c r="J31" s="34"/>
      <c r="K31" s="34"/>
      <c r="L31" s="34"/>
      <c r="M31" s="34"/>
      <c r="N31" s="34"/>
      <c r="O31" s="34"/>
    </row>
    <row r="32" spans="2:15" x14ac:dyDescent="0.2">
      <c r="B32" s="34"/>
      <c r="C32" s="34"/>
      <c r="D32" s="34"/>
      <c r="E32" s="34"/>
      <c r="F32" s="34"/>
      <c r="G32" s="34"/>
      <c r="H32" s="34"/>
      <c r="I32" s="34"/>
      <c r="J32" s="34"/>
      <c r="K32" s="34"/>
      <c r="L32" s="34"/>
      <c r="M32" s="34"/>
      <c r="N32" s="34"/>
      <c r="O32" s="34"/>
    </row>
    <row r="33" spans="2:15" x14ac:dyDescent="0.2">
      <c r="B33" s="34"/>
      <c r="C33" s="34"/>
      <c r="D33" s="34"/>
      <c r="E33" s="34"/>
      <c r="F33" s="34"/>
      <c r="G33" s="34"/>
      <c r="H33" s="34"/>
      <c r="I33" s="34"/>
      <c r="J33" s="34"/>
      <c r="K33" s="34"/>
      <c r="L33" s="34"/>
      <c r="M33" s="34"/>
      <c r="N33" s="34"/>
      <c r="O33" s="34"/>
    </row>
    <row r="34" spans="2:15" x14ac:dyDescent="0.2">
      <c r="B34" s="34"/>
      <c r="C34" s="34"/>
      <c r="D34" s="34"/>
      <c r="E34" s="34"/>
      <c r="F34" s="34"/>
      <c r="G34" s="34"/>
      <c r="H34" s="34"/>
      <c r="I34" s="34"/>
      <c r="J34" s="34"/>
      <c r="K34" s="34"/>
      <c r="L34" s="34"/>
      <c r="M34" s="34"/>
      <c r="N34" s="34"/>
      <c r="O34" s="34"/>
    </row>
    <row r="35" spans="2:15" x14ac:dyDescent="0.2">
      <c r="B35" s="34"/>
      <c r="C35" s="34"/>
      <c r="D35" s="34"/>
      <c r="E35" s="34"/>
      <c r="F35" s="34"/>
      <c r="G35" s="34"/>
      <c r="H35" s="34"/>
      <c r="I35" s="34"/>
      <c r="J35" s="34"/>
      <c r="K35" s="34"/>
      <c r="L35" s="34"/>
      <c r="M35" s="34"/>
      <c r="N35" s="34"/>
      <c r="O35" s="34"/>
    </row>
    <row r="36" spans="2:15" x14ac:dyDescent="0.2">
      <c r="B36" s="34" t="str">
        <f>Selection!H7</f>
        <v>GM</v>
      </c>
      <c r="C36" s="34"/>
      <c r="D36" s="34"/>
      <c r="E36" s="34" t="s">
        <v>121</v>
      </c>
      <c r="F36" s="34" t="s">
        <v>120</v>
      </c>
      <c r="G36" s="34" t="s">
        <v>126</v>
      </c>
      <c r="H36" s="34" t="s">
        <v>99</v>
      </c>
      <c r="I36" s="34"/>
      <c r="J36" s="34"/>
      <c r="K36" s="34"/>
      <c r="L36" s="34"/>
      <c r="M36" s="34"/>
      <c r="N36" s="34"/>
      <c r="O36" s="34"/>
    </row>
    <row r="37" spans="2:15" x14ac:dyDescent="0.2">
      <c r="B37" s="34"/>
      <c r="C37" s="34"/>
      <c r="D37" s="36" t="s">
        <v>132</v>
      </c>
      <c r="E37" s="37">
        <f ca="1">INDIRECT("'"&amp;B36&amp;" CYP'!C3")</f>
        <v>0.39900000000000002</v>
      </c>
      <c r="F37" s="37">
        <f ca="1">INDIRECT("'"&amp;B36&amp;" CYP'!E3")</f>
        <v>0.2432</v>
      </c>
      <c r="G37" s="37">
        <f ca="1">INDIRECT("'"&amp;B36&amp;" CYP'!G3")</f>
        <v>0.35780000000000001</v>
      </c>
      <c r="H37" s="38">
        <f ca="1">SUM(E37:F37)</f>
        <v>0.64219999999999999</v>
      </c>
      <c r="I37" s="34"/>
      <c r="J37" s="34"/>
      <c r="K37" s="34"/>
      <c r="L37" s="34"/>
      <c r="M37" s="34"/>
      <c r="N37" s="34"/>
      <c r="O37" s="34"/>
    </row>
    <row r="38" spans="2:15" x14ac:dyDescent="0.2">
      <c r="B38" s="34"/>
      <c r="C38" s="34"/>
      <c r="D38" s="36" t="s">
        <v>133</v>
      </c>
      <c r="E38" s="37">
        <f ca="1">INDIRECT("'"&amp;B36&amp;" CYP'!C4")</f>
        <v>0.45150000000000001</v>
      </c>
      <c r="F38" s="37">
        <f ca="1">INDIRECT("'"&amp;B36&amp;" CYP'!E4")</f>
        <v>0.22989999999999999</v>
      </c>
      <c r="G38" s="37">
        <f ca="1">INDIRECT("'"&amp;B36&amp;" CYP'!G4")</f>
        <v>0.31850000000000001</v>
      </c>
      <c r="H38" s="38">
        <f ca="1">SUM(F38:G38)</f>
        <v>0.5484</v>
      </c>
      <c r="I38" s="34"/>
      <c r="J38" s="34"/>
      <c r="K38" s="34"/>
      <c r="L38" s="34"/>
      <c r="M38" s="34"/>
      <c r="N38" s="34"/>
      <c r="O38" s="34"/>
    </row>
    <row r="39" spans="2:15" x14ac:dyDescent="0.2">
      <c r="B39" s="34"/>
      <c r="C39" s="34"/>
      <c r="D39" s="34"/>
      <c r="E39" s="34"/>
      <c r="F39" s="34"/>
      <c r="G39" s="34"/>
      <c r="H39" s="34"/>
      <c r="I39" s="34"/>
      <c r="J39" s="34"/>
      <c r="K39" s="34"/>
      <c r="L39" s="34"/>
      <c r="M39" s="34"/>
      <c r="N39" s="34"/>
      <c r="O39" s="34"/>
    </row>
    <row r="40" spans="2:15" x14ac:dyDescent="0.2">
      <c r="B40" s="34"/>
      <c r="C40" s="34"/>
      <c r="D40" s="34"/>
      <c r="E40" s="34"/>
      <c r="F40" s="34"/>
      <c r="G40" s="34"/>
      <c r="H40" s="34"/>
      <c r="I40" s="34"/>
      <c r="J40" s="34"/>
      <c r="K40" s="34"/>
      <c r="L40" s="34"/>
      <c r="M40" s="34"/>
      <c r="N40" s="34"/>
      <c r="O40" s="34"/>
    </row>
    <row r="41" spans="2:15" x14ac:dyDescent="0.2">
      <c r="B41" s="34"/>
      <c r="C41" s="34"/>
      <c r="D41" s="34"/>
      <c r="E41" s="34"/>
      <c r="F41" s="34"/>
      <c r="G41" s="34"/>
      <c r="H41" s="34"/>
      <c r="I41" s="34"/>
      <c r="J41" s="34"/>
      <c r="K41" s="34"/>
      <c r="L41" s="34"/>
      <c r="M41" s="34"/>
      <c r="N41" s="34"/>
      <c r="O41" s="34"/>
    </row>
    <row r="42" spans="2:15" x14ac:dyDescent="0.2">
      <c r="B42" s="34"/>
      <c r="C42" s="34"/>
      <c r="D42" s="34"/>
      <c r="E42" s="34"/>
      <c r="F42" s="34"/>
      <c r="G42" s="34"/>
      <c r="H42" s="34"/>
      <c r="I42" s="34"/>
      <c r="J42" s="34"/>
      <c r="K42" s="34"/>
      <c r="L42" s="34"/>
      <c r="M42" s="34"/>
      <c r="N42" s="34"/>
      <c r="O42" s="34"/>
    </row>
    <row r="43" spans="2:15" x14ac:dyDescent="0.2">
      <c r="B43" s="34"/>
      <c r="C43" s="34"/>
      <c r="D43" s="34"/>
      <c r="E43" s="34"/>
      <c r="F43" s="34"/>
      <c r="G43" s="34"/>
      <c r="H43" s="34"/>
      <c r="I43" s="34"/>
      <c r="J43" s="34"/>
      <c r="K43" s="34"/>
      <c r="L43" s="34"/>
      <c r="M43" s="34"/>
      <c r="N43" s="34"/>
      <c r="O43" s="34"/>
    </row>
    <row r="44" spans="2:15" x14ac:dyDescent="0.2">
      <c r="B44" s="34"/>
      <c r="C44" s="34"/>
      <c r="D44" s="34"/>
      <c r="E44" s="34"/>
      <c r="F44" s="34"/>
      <c r="G44" s="34"/>
      <c r="H44" s="34"/>
      <c r="I44" s="34"/>
      <c r="J44" s="34"/>
      <c r="K44" s="34"/>
      <c r="L44" s="34"/>
      <c r="M44" s="34"/>
      <c r="N44" s="34"/>
      <c r="O44" s="34"/>
    </row>
    <row r="45" spans="2:15" x14ac:dyDescent="0.2">
      <c r="B45" s="34"/>
      <c r="C45" s="34"/>
      <c r="D45" s="34"/>
      <c r="E45" s="34"/>
      <c r="F45" s="34"/>
      <c r="G45" s="34"/>
      <c r="H45" s="34"/>
      <c r="I45" s="34"/>
      <c r="J45" s="34"/>
      <c r="K45" s="34"/>
      <c r="L45" s="34"/>
      <c r="M45" s="34"/>
      <c r="N45" s="34"/>
      <c r="O45" s="34"/>
    </row>
    <row r="46" spans="2:15" x14ac:dyDescent="0.2">
      <c r="B46" s="34"/>
      <c r="C46" s="34"/>
      <c r="D46" s="34"/>
      <c r="E46" s="34"/>
      <c r="F46" s="34"/>
      <c r="G46" s="34"/>
      <c r="H46" s="34"/>
      <c r="I46" s="34"/>
      <c r="J46" s="34"/>
      <c r="K46" s="34"/>
      <c r="L46" s="34"/>
      <c r="M46" s="34"/>
      <c r="N46" s="34"/>
      <c r="O46" s="34"/>
    </row>
    <row r="47" spans="2:15" x14ac:dyDescent="0.2">
      <c r="B47" s="34"/>
      <c r="C47" s="34"/>
      <c r="D47" s="34"/>
      <c r="E47" s="34"/>
      <c r="F47" s="34"/>
      <c r="G47" s="34"/>
      <c r="H47" s="34"/>
      <c r="I47" s="34"/>
      <c r="J47" s="34"/>
      <c r="K47" s="34"/>
      <c r="L47" s="34"/>
      <c r="M47" s="34"/>
      <c r="N47" s="34"/>
      <c r="O47" s="34"/>
    </row>
    <row r="48" spans="2:15" x14ac:dyDescent="0.2">
      <c r="B48" s="34"/>
      <c r="C48" s="34"/>
      <c r="D48" s="34"/>
      <c r="E48" s="34"/>
      <c r="F48" s="34"/>
      <c r="G48" s="34"/>
      <c r="H48" s="34"/>
      <c r="I48" s="34"/>
      <c r="J48" s="34"/>
      <c r="K48" s="34"/>
      <c r="L48" s="34"/>
      <c r="M48" s="34"/>
      <c r="N48" s="34"/>
      <c r="O48" s="34"/>
    </row>
    <row r="49" spans="2:15" x14ac:dyDescent="0.2">
      <c r="B49" s="34"/>
      <c r="C49" s="34"/>
      <c r="D49" s="34"/>
      <c r="E49" s="34"/>
      <c r="F49" s="34"/>
      <c r="G49" s="34"/>
      <c r="H49" s="34"/>
      <c r="I49" s="34"/>
      <c r="J49" s="34"/>
      <c r="K49" s="34"/>
      <c r="L49" s="34"/>
      <c r="M49" s="34"/>
      <c r="N49" s="34"/>
      <c r="O49" s="34"/>
    </row>
    <row r="50" spans="2:15" x14ac:dyDescent="0.2">
      <c r="B50" s="34"/>
      <c r="C50" s="34"/>
      <c r="D50" s="34"/>
      <c r="E50" s="34"/>
      <c r="F50" s="34"/>
      <c r="G50" s="34"/>
      <c r="H50" s="34"/>
      <c r="I50" s="34"/>
      <c r="J50" s="34"/>
      <c r="K50" s="34"/>
      <c r="L50" s="34"/>
      <c r="M50" s="34"/>
      <c r="N50" s="34"/>
      <c r="O50" s="34"/>
    </row>
    <row r="51" spans="2:15" x14ac:dyDescent="0.2">
      <c r="B51" s="34"/>
      <c r="C51" s="34"/>
      <c r="D51" s="34"/>
      <c r="E51" s="34"/>
      <c r="F51" s="34"/>
      <c r="G51" s="34"/>
      <c r="H51" s="34"/>
      <c r="I51" s="34"/>
      <c r="J51" s="34"/>
      <c r="K51" s="34"/>
      <c r="L51" s="34"/>
      <c r="M51" s="34"/>
      <c r="N51" s="34"/>
      <c r="O51" s="34"/>
    </row>
    <row r="52" spans="2:15" x14ac:dyDescent="0.2">
      <c r="B52" s="34"/>
      <c r="C52" s="34"/>
      <c r="D52" s="34"/>
      <c r="E52" s="34"/>
      <c r="F52" s="34"/>
      <c r="G52" s="34"/>
      <c r="H52" s="34"/>
      <c r="I52" s="34"/>
      <c r="J52" s="34"/>
      <c r="K52" s="34"/>
      <c r="L52" s="34"/>
      <c r="M52" s="34"/>
      <c r="N52" s="34"/>
      <c r="O52" s="34"/>
    </row>
    <row r="53" spans="2:15" x14ac:dyDescent="0.2">
      <c r="B53" s="34"/>
      <c r="C53" s="34"/>
      <c r="D53" s="34"/>
      <c r="E53" s="34"/>
      <c r="F53" s="34"/>
      <c r="G53" s="34"/>
      <c r="H53" s="34"/>
      <c r="I53" s="34"/>
      <c r="J53" s="34"/>
      <c r="K53" s="34"/>
      <c r="L53" s="34"/>
      <c r="M53" s="34"/>
      <c r="N53" s="34"/>
      <c r="O53" s="34"/>
    </row>
    <row r="54" spans="2:15" x14ac:dyDescent="0.2">
      <c r="B54" s="34"/>
      <c r="C54" s="34"/>
      <c r="D54" s="34"/>
      <c r="E54" s="34"/>
      <c r="F54" s="34"/>
      <c r="G54" s="34"/>
      <c r="H54" s="34"/>
      <c r="I54" s="34"/>
      <c r="J54" s="34"/>
      <c r="K54" s="34"/>
      <c r="L54" s="34"/>
      <c r="M54" s="34"/>
      <c r="N54" s="34"/>
      <c r="O54" s="34"/>
    </row>
    <row r="55" spans="2:15" x14ac:dyDescent="0.2">
      <c r="B55" s="34"/>
      <c r="C55" s="34"/>
      <c r="D55" s="34"/>
      <c r="E55" s="34"/>
      <c r="F55" s="34"/>
      <c r="G55" s="34"/>
      <c r="H55" s="34"/>
      <c r="I55" s="34"/>
      <c r="J55" s="34"/>
      <c r="K55" s="34"/>
      <c r="L55" s="34"/>
      <c r="M55" s="34"/>
      <c r="N55" s="34"/>
      <c r="O55" s="34"/>
    </row>
    <row r="56" spans="2:15" x14ac:dyDescent="0.2">
      <c r="B56" s="34"/>
      <c r="C56" s="34"/>
      <c r="D56" s="34"/>
      <c r="E56" s="34"/>
      <c r="F56" s="34"/>
      <c r="G56" s="34"/>
      <c r="H56" s="34"/>
      <c r="I56" s="34"/>
      <c r="J56" s="34"/>
      <c r="K56" s="34"/>
      <c r="L56" s="34"/>
      <c r="M56" s="34"/>
      <c r="N56" s="34"/>
      <c r="O56" s="34"/>
    </row>
    <row r="57" spans="2:15" x14ac:dyDescent="0.2">
      <c r="B57" s="34"/>
      <c r="C57" s="34"/>
      <c r="D57" s="34"/>
      <c r="E57" s="34"/>
      <c r="F57" s="34"/>
      <c r="G57" s="34"/>
      <c r="H57" s="34"/>
      <c r="I57" s="34"/>
      <c r="J57" s="34"/>
      <c r="K57" s="34"/>
      <c r="L57" s="34"/>
      <c r="M57" s="34"/>
      <c r="N57" s="34"/>
      <c r="O57" s="34"/>
    </row>
    <row r="58" spans="2:15" x14ac:dyDescent="0.2">
      <c r="B58" s="34"/>
      <c r="C58" s="34"/>
      <c r="D58" s="34"/>
      <c r="E58" s="34"/>
      <c r="F58" s="34"/>
      <c r="G58" s="34"/>
      <c r="H58" s="34"/>
      <c r="I58" s="34"/>
      <c r="J58" s="34"/>
      <c r="K58" s="34"/>
      <c r="L58" s="34"/>
      <c r="M58" s="34"/>
      <c r="N58" s="34"/>
      <c r="O58" s="34"/>
    </row>
    <row r="59" spans="2:15" x14ac:dyDescent="0.2">
      <c r="B59" s="34"/>
      <c r="C59" s="34"/>
      <c r="D59" s="34"/>
      <c r="E59" s="34"/>
      <c r="F59" s="34"/>
      <c r="G59" s="34"/>
      <c r="H59" s="34"/>
      <c r="I59" s="34"/>
      <c r="J59" s="34"/>
      <c r="K59" s="34"/>
      <c r="L59" s="34"/>
      <c r="M59" s="34"/>
      <c r="N59" s="34"/>
      <c r="O59" s="34"/>
    </row>
  </sheetData>
  <sheetProtection selectLockedCells="1"/>
  <mergeCells count="3">
    <mergeCell ref="C4:J4"/>
    <mergeCell ref="C23:J23"/>
    <mergeCell ref="K27:L27"/>
  </mergeCells>
  <hyperlinks>
    <hyperlink ref="K27:L27" location="Selection!D14" display="Back to selection"/>
  </hyperlink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7"/>
  </sheetPr>
  <dimension ref="B1:N64"/>
  <sheetViews>
    <sheetView workbookViewId="0">
      <selection activeCell="I73" sqref="I73"/>
    </sheetView>
  </sheetViews>
  <sheetFormatPr defaultColWidth="8.69921875" defaultRowHeight="14.25" x14ac:dyDescent="0.2"/>
  <cols>
    <col min="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"Activity Levels Over Time in "&amp;B41&amp;" and "&amp;B45</f>
        <v>Activity Levels Over Time in GM and England</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2" x14ac:dyDescent="0.2">
      <c r="B17" s="99"/>
      <c r="C17" s="32"/>
      <c r="D17" s="32"/>
      <c r="E17" s="32"/>
      <c r="F17" s="32"/>
      <c r="G17" s="32"/>
      <c r="H17" s="32"/>
      <c r="I17" s="32"/>
      <c r="J17" s="32"/>
      <c r="K17" s="100"/>
    </row>
    <row r="18" spans="2:12" x14ac:dyDescent="0.2">
      <c r="B18" s="99"/>
      <c r="C18" s="32"/>
      <c r="D18" s="32"/>
      <c r="E18" s="32"/>
      <c r="F18" s="32"/>
      <c r="G18" s="32"/>
      <c r="H18" s="32"/>
      <c r="I18" s="32"/>
      <c r="J18" s="32"/>
      <c r="K18" s="100"/>
    </row>
    <row r="19" spans="2:12" x14ac:dyDescent="0.2">
      <c r="B19" s="99"/>
      <c r="C19" s="32"/>
      <c r="D19" s="32"/>
      <c r="E19" s="32"/>
      <c r="F19" s="32"/>
      <c r="G19" s="32"/>
      <c r="H19" s="32"/>
      <c r="I19" s="32"/>
      <c r="J19" s="32"/>
      <c r="K19" s="100"/>
    </row>
    <row r="20" spans="2:12" x14ac:dyDescent="0.2">
      <c r="B20" s="99"/>
      <c r="C20" s="32"/>
      <c r="D20" s="32"/>
      <c r="E20" s="32"/>
      <c r="F20" s="32"/>
      <c r="G20" s="32"/>
      <c r="H20" s="32"/>
      <c r="I20" s="32"/>
      <c r="J20" s="32"/>
      <c r="K20" s="100"/>
    </row>
    <row r="21" spans="2:12" x14ac:dyDescent="0.2">
      <c r="B21" s="99"/>
      <c r="C21" s="32"/>
      <c r="D21" s="32"/>
      <c r="E21" s="32"/>
      <c r="F21" s="32"/>
      <c r="G21" s="32"/>
      <c r="H21" s="32"/>
      <c r="I21" s="32"/>
      <c r="J21" s="32"/>
      <c r="K21" s="100"/>
    </row>
    <row r="22" spans="2:12" x14ac:dyDescent="0.2">
      <c r="B22" s="99"/>
      <c r="C22" s="32"/>
      <c r="D22" s="32"/>
      <c r="E22" s="32"/>
      <c r="F22" s="32"/>
      <c r="G22" s="32"/>
      <c r="H22" s="32"/>
      <c r="I22" s="32"/>
      <c r="J22" s="32"/>
      <c r="K22" s="100"/>
    </row>
    <row r="23" spans="2:12" x14ac:dyDescent="0.2">
      <c r="B23" s="99"/>
      <c r="C23" s="226" t="s">
        <v>136</v>
      </c>
      <c r="D23" s="226"/>
      <c r="E23" s="226"/>
      <c r="F23" s="226"/>
      <c r="G23" s="226"/>
      <c r="H23" s="226"/>
      <c r="I23" s="226"/>
      <c r="J23" s="226"/>
      <c r="K23" s="100"/>
    </row>
    <row r="24" spans="2:12" x14ac:dyDescent="0.2">
      <c r="B24" s="99"/>
      <c r="C24" s="226"/>
      <c r="D24" s="226"/>
      <c r="E24" s="226"/>
      <c r="F24" s="226"/>
      <c r="G24" s="226"/>
      <c r="H24" s="226"/>
      <c r="I24" s="226"/>
      <c r="J24" s="226"/>
      <c r="K24" s="100"/>
    </row>
    <row r="25" spans="2:12" ht="15" thickBot="1" x14ac:dyDescent="0.25">
      <c r="B25" s="101"/>
      <c r="C25" s="23"/>
      <c r="D25" s="23"/>
      <c r="E25" s="23"/>
      <c r="F25" s="23"/>
      <c r="G25" s="23"/>
      <c r="H25" s="23"/>
      <c r="I25" s="23"/>
      <c r="J25" s="23"/>
      <c r="K25" s="102"/>
    </row>
    <row r="26" spans="2:12" ht="15.75" thickTop="1" thickBot="1" x14ac:dyDescent="0.25"/>
    <row r="27" spans="2:12" x14ac:dyDescent="0.2">
      <c r="B27" s="103"/>
      <c r="C27" s="104"/>
      <c r="D27" s="104"/>
      <c r="E27" s="104"/>
      <c r="F27" s="104"/>
      <c r="G27" s="104"/>
      <c r="H27" s="104"/>
      <c r="I27" s="104"/>
      <c r="J27" s="104"/>
      <c r="K27" s="105"/>
    </row>
    <row r="28" spans="2:12" x14ac:dyDescent="0.2">
      <c r="B28" s="106"/>
      <c r="C28" s="222" t="str">
        <f ca="1">CONCATENATE("The percentage of young people moving in ",B41, " has ", (IF(H43&gt;H42, "increased ", "decreased ")), "by ", (TEXT((ABS(H43-H42)), "0.0%")), " this compares to a ", (TEXT((ABS(H47-H46)),"0.0%")), (IF(H47&gt;H46, " increase "," decrease ")), "in ",B45,".")</f>
        <v>The percentage of young people moving in GM has increased by 3.9% this compares to a 3.9% increase in England.</v>
      </c>
      <c r="D28" s="222"/>
      <c r="E28" s="222"/>
      <c r="F28" s="222"/>
      <c r="G28" s="222"/>
      <c r="H28" s="222"/>
      <c r="I28" s="222"/>
      <c r="J28" s="222"/>
      <c r="K28" s="107"/>
    </row>
    <row r="29" spans="2:12" x14ac:dyDescent="0.2">
      <c r="B29" s="106"/>
      <c r="C29" s="222"/>
      <c r="D29" s="222"/>
      <c r="E29" s="222"/>
      <c r="F29" s="222"/>
      <c r="G29" s="222"/>
      <c r="H29" s="222"/>
      <c r="I29" s="222"/>
      <c r="J29" s="222"/>
      <c r="K29" s="107"/>
    </row>
    <row r="30" spans="2:12" ht="15" thickBot="1" x14ac:dyDescent="0.25">
      <c r="B30" s="108"/>
      <c r="C30" s="109"/>
      <c r="D30" s="109"/>
      <c r="E30" s="109"/>
      <c r="F30" s="109"/>
      <c r="G30" s="109"/>
      <c r="H30" s="109"/>
      <c r="I30" s="109"/>
      <c r="J30" s="109"/>
      <c r="K30" s="110"/>
    </row>
    <row r="32" spans="2:12" x14ac:dyDescent="0.2">
      <c r="K32" s="195" t="s">
        <v>147</v>
      </c>
      <c r="L32" s="195"/>
    </row>
    <row r="37" spans="2:14" x14ac:dyDescent="0.2">
      <c r="B37" s="34"/>
      <c r="C37" s="34"/>
      <c r="D37" s="34"/>
      <c r="E37" s="34"/>
      <c r="F37" s="34"/>
      <c r="G37" s="34"/>
      <c r="H37" s="34"/>
      <c r="I37" s="34"/>
      <c r="J37" s="34"/>
      <c r="K37" s="34"/>
      <c r="L37" s="34"/>
      <c r="M37" s="34"/>
      <c r="N37" s="34"/>
    </row>
    <row r="38" spans="2:14" x14ac:dyDescent="0.2">
      <c r="B38" s="34"/>
      <c r="C38" s="34"/>
      <c r="D38" s="34"/>
      <c r="E38" s="34"/>
      <c r="F38" s="34"/>
      <c r="G38" s="34"/>
      <c r="H38" s="34"/>
      <c r="I38" s="34"/>
      <c r="J38" s="34"/>
      <c r="K38" s="34"/>
      <c r="L38" s="34"/>
      <c r="M38" s="34"/>
      <c r="N38" s="34"/>
    </row>
    <row r="39" spans="2:14" x14ac:dyDescent="0.2">
      <c r="B39" s="34"/>
      <c r="C39" s="34"/>
      <c r="D39" s="34"/>
      <c r="E39" s="34"/>
      <c r="F39" s="34"/>
      <c r="G39" s="34"/>
      <c r="H39" s="34"/>
      <c r="I39" s="34"/>
      <c r="J39" s="34"/>
      <c r="K39" s="34"/>
      <c r="L39" s="34"/>
      <c r="M39" s="34"/>
      <c r="N39" s="34"/>
    </row>
    <row r="40" spans="2:14" x14ac:dyDescent="0.2">
      <c r="B40" s="34"/>
      <c r="C40" s="34"/>
      <c r="D40" s="34"/>
      <c r="E40" s="34"/>
      <c r="F40" s="34"/>
      <c r="G40" s="34"/>
      <c r="H40" s="34"/>
      <c r="I40" s="34"/>
      <c r="J40" s="34"/>
      <c r="K40" s="34"/>
      <c r="L40" s="34"/>
      <c r="M40" s="34"/>
      <c r="N40" s="34"/>
    </row>
    <row r="41" spans="2:14" x14ac:dyDescent="0.2">
      <c r="B41" s="34" t="str">
        <f>Selection!H7</f>
        <v>GM</v>
      </c>
      <c r="C41" s="34"/>
      <c r="D41" s="34"/>
      <c r="E41" s="34" t="s">
        <v>121</v>
      </c>
      <c r="F41" s="34" t="s">
        <v>120</v>
      </c>
      <c r="G41" s="34" t="s">
        <v>126</v>
      </c>
      <c r="H41" s="34" t="s">
        <v>99</v>
      </c>
      <c r="I41" s="34"/>
      <c r="J41" s="34"/>
      <c r="K41" s="34"/>
      <c r="L41" s="34"/>
      <c r="M41" s="34"/>
      <c r="N41" s="34"/>
    </row>
    <row r="42" spans="2:14" x14ac:dyDescent="0.2">
      <c r="B42" s="34"/>
      <c r="C42" s="34"/>
      <c r="D42" s="36" t="s">
        <v>132</v>
      </c>
      <c r="E42" s="37">
        <f ca="1">INDIRECT("'"&amp;B41&amp;" CYP'!C3")</f>
        <v>0.39900000000000002</v>
      </c>
      <c r="F42" s="37">
        <f ca="1">INDIRECT("'"&amp;B41&amp;" CYP'!E3")</f>
        <v>0.2432</v>
      </c>
      <c r="G42" s="37">
        <f ca="1">INDIRECT("'"&amp;B41&amp;" CYP'!G3")</f>
        <v>0.35780000000000001</v>
      </c>
      <c r="H42" s="38">
        <f ca="1">SUM(E42:F42)</f>
        <v>0.64219999999999999</v>
      </c>
      <c r="I42" s="34"/>
      <c r="J42" s="34"/>
      <c r="K42" s="34"/>
      <c r="L42" s="34"/>
      <c r="M42" s="34"/>
      <c r="N42" s="34"/>
    </row>
    <row r="43" spans="2:14" x14ac:dyDescent="0.2">
      <c r="B43" s="34"/>
      <c r="C43" s="34"/>
      <c r="D43" s="36" t="s">
        <v>133</v>
      </c>
      <c r="E43" s="37">
        <f ca="1">INDIRECT("'"&amp;B41&amp;" CYP'!C4")</f>
        <v>0.45150000000000001</v>
      </c>
      <c r="F43" s="37">
        <f ca="1">INDIRECT("'"&amp;B41&amp;" CYP'!E4")</f>
        <v>0.22989999999999999</v>
      </c>
      <c r="G43" s="37">
        <f ca="1">INDIRECT("'"&amp;B41&amp;" CYP'!G4")</f>
        <v>0.31850000000000001</v>
      </c>
      <c r="H43" s="38">
        <f ca="1">SUM(E43:F43)</f>
        <v>0.68140000000000001</v>
      </c>
      <c r="I43" s="34"/>
      <c r="J43" s="34"/>
      <c r="K43" s="34"/>
      <c r="L43" s="34"/>
      <c r="M43" s="34"/>
      <c r="N43" s="34"/>
    </row>
    <row r="44" spans="2:14" x14ac:dyDescent="0.2">
      <c r="B44" s="34"/>
      <c r="C44" s="34"/>
      <c r="D44" s="35"/>
      <c r="E44" s="34"/>
      <c r="F44" s="34"/>
      <c r="G44" s="34"/>
      <c r="H44" s="34"/>
      <c r="I44" s="34"/>
      <c r="J44" s="34"/>
      <c r="K44" s="34"/>
      <c r="L44" s="34"/>
      <c r="M44" s="34"/>
      <c r="N44" s="34"/>
    </row>
    <row r="45" spans="2:14" x14ac:dyDescent="0.2">
      <c r="B45" s="34" t="str">
        <f>Selection!H12</f>
        <v>England</v>
      </c>
      <c r="C45" s="34"/>
      <c r="D45" s="34"/>
      <c r="E45" s="34" t="s">
        <v>121</v>
      </c>
      <c r="F45" s="34" t="s">
        <v>120</v>
      </c>
      <c r="G45" s="34" t="s">
        <v>126</v>
      </c>
      <c r="H45" s="34" t="s">
        <v>99</v>
      </c>
      <c r="I45" s="34"/>
      <c r="J45" s="34"/>
      <c r="K45" s="34"/>
      <c r="L45" s="34"/>
      <c r="M45" s="34"/>
      <c r="N45" s="34"/>
    </row>
    <row r="46" spans="2:14" x14ac:dyDescent="0.2">
      <c r="B46" s="34"/>
      <c r="C46" s="34"/>
      <c r="D46" s="36" t="s">
        <v>132</v>
      </c>
      <c r="E46" s="37">
        <f ca="1">INDIRECT("'"&amp;B45&amp;" CYP'!C3")</f>
        <v>0.43259999999999998</v>
      </c>
      <c r="F46" s="37">
        <f ca="1">INDIRECT("'"&amp;B45&amp;" CYP'!E3")</f>
        <v>0.23880000000000001</v>
      </c>
      <c r="G46" s="37">
        <f ca="1">INDIRECT("'"&amp;B45&amp;" CYP'!G3")</f>
        <v>0.32850000000000001</v>
      </c>
      <c r="H46" s="38">
        <f ca="1">SUM(E46:F46)</f>
        <v>0.6714</v>
      </c>
      <c r="I46" s="34"/>
      <c r="J46" s="34"/>
      <c r="K46" s="34"/>
      <c r="L46" s="34"/>
      <c r="M46" s="34"/>
      <c r="N46" s="34"/>
    </row>
    <row r="47" spans="2:14" x14ac:dyDescent="0.2">
      <c r="B47" s="34"/>
      <c r="C47" s="34"/>
      <c r="D47" s="36" t="s">
        <v>133</v>
      </c>
      <c r="E47" s="37">
        <f ca="1">INDIRECT("'"&amp;B45&amp;" CYP'!C4")</f>
        <v>0.46810000000000002</v>
      </c>
      <c r="F47" s="37">
        <f ca="1">INDIRECT("'"&amp;B45&amp;" CYP'!E4")</f>
        <v>0.24199999999999999</v>
      </c>
      <c r="G47" s="37">
        <f ca="1">INDIRECT("'"&amp;B45&amp;" CYP'!G4")</f>
        <v>0.2898</v>
      </c>
      <c r="H47" s="38">
        <f ca="1">SUM(E47:F47)</f>
        <v>0.71009999999999995</v>
      </c>
      <c r="I47" s="34"/>
      <c r="J47" s="34"/>
      <c r="K47" s="34"/>
      <c r="L47" s="34"/>
      <c r="M47" s="34"/>
      <c r="N47" s="34"/>
    </row>
    <row r="48" spans="2:14" x14ac:dyDescent="0.2">
      <c r="B48" s="34"/>
      <c r="C48" s="34"/>
      <c r="D48" s="34"/>
      <c r="E48" s="34"/>
      <c r="F48" s="34"/>
      <c r="G48" s="34"/>
      <c r="H48" s="34"/>
      <c r="I48" s="34"/>
      <c r="J48" s="34"/>
      <c r="K48" s="34"/>
      <c r="L48" s="34"/>
      <c r="M48" s="34"/>
      <c r="N48" s="34"/>
    </row>
    <row r="49" spans="2:14" x14ac:dyDescent="0.2">
      <c r="B49" s="34"/>
      <c r="C49" s="34"/>
      <c r="D49" s="34"/>
      <c r="E49" s="34"/>
      <c r="F49" s="34"/>
      <c r="G49" s="34"/>
      <c r="H49" s="34"/>
      <c r="I49" s="34"/>
      <c r="J49" s="34"/>
      <c r="K49" s="34"/>
      <c r="L49" s="34"/>
      <c r="M49" s="34"/>
      <c r="N49" s="34"/>
    </row>
    <row r="50" spans="2:14" x14ac:dyDescent="0.2">
      <c r="B50" s="34"/>
      <c r="C50" s="34"/>
      <c r="D50" s="34"/>
      <c r="E50" s="34"/>
      <c r="F50" s="34"/>
      <c r="G50" s="34"/>
      <c r="H50" s="34"/>
      <c r="I50" s="34"/>
      <c r="J50" s="34"/>
      <c r="K50" s="34"/>
      <c r="L50" s="34"/>
      <c r="M50" s="34"/>
      <c r="N50" s="34"/>
    </row>
    <row r="51" spans="2:14" x14ac:dyDescent="0.2">
      <c r="B51" s="34"/>
      <c r="C51" s="34"/>
      <c r="D51" s="34"/>
      <c r="E51" s="34"/>
      <c r="F51" s="34"/>
      <c r="G51" s="34"/>
      <c r="H51" s="34"/>
      <c r="I51" s="34"/>
      <c r="J51" s="34"/>
      <c r="K51" s="34"/>
      <c r="L51" s="34"/>
      <c r="M51" s="34"/>
      <c r="N51" s="34"/>
    </row>
    <row r="52" spans="2:14" x14ac:dyDescent="0.2">
      <c r="B52" s="34"/>
      <c r="C52" s="34"/>
      <c r="D52" s="34"/>
      <c r="E52" s="34"/>
      <c r="F52" s="34"/>
      <c r="G52" s="34"/>
      <c r="H52" s="34"/>
      <c r="I52" s="34"/>
      <c r="J52" s="34"/>
      <c r="K52" s="34"/>
      <c r="L52" s="34"/>
      <c r="M52" s="34"/>
      <c r="N52" s="34"/>
    </row>
    <row r="53" spans="2:14" x14ac:dyDescent="0.2">
      <c r="B53" s="34"/>
      <c r="C53" s="34"/>
      <c r="D53" s="34"/>
      <c r="E53" s="34"/>
      <c r="F53" s="34"/>
      <c r="G53" s="34"/>
      <c r="H53" s="34"/>
      <c r="I53" s="34"/>
      <c r="J53" s="34"/>
      <c r="K53" s="34"/>
      <c r="L53" s="34"/>
      <c r="M53" s="34"/>
      <c r="N53" s="34"/>
    </row>
    <row r="54" spans="2:14" x14ac:dyDescent="0.2">
      <c r="B54" s="34"/>
      <c r="C54" s="34"/>
      <c r="D54" s="34"/>
      <c r="E54" s="34"/>
      <c r="F54" s="34"/>
      <c r="G54" s="34"/>
      <c r="H54" s="34"/>
      <c r="I54" s="34"/>
      <c r="J54" s="34"/>
      <c r="K54" s="34"/>
      <c r="L54" s="34"/>
      <c r="M54" s="34"/>
      <c r="N54" s="34"/>
    </row>
    <row r="55" spans="2:14" x14ac:dyDescent="0.2">
      <c r="B55" s="34"/>
      <c r="C55" s="34"/>
      <c r="D55" s="34"/>
      <c r="E55" s="34"/>
      <c r="F55" s="34"/>
      <c r="G55" s="34"/>
      <c r="H55" s="34"/>
      <c r="I55" s="34"/>
      <c r="J55" s="34"/>
      <c r="K55" s="34"/>
      <c r="L55" s="34"/>
      <c r="M55" s="34"/>
      <c r="N55" s="34"/>
    </row>
    <row r="56" spans="2:14" x14ac:dyDescent="0.2">
      <c r="B56" s="34"/>
      <c r="C56" s="34"/>
      <c r="D56" s="34"/>
      <c r="E56" s="34"/>
      <c r="F56" s="34"/>
      <c r="G56" s="34"/>
      <c r="H56" s="34"/>
      <c r="I56" s="34"/>
      <c r="J56" s="34"/>
      <c r="K56" s="34"/>
      <c r="L56" s="34"/>
      <c r="M56" s="34"/>
      <c r="N56" s="34"/>
    </row>
    <row r="57" spans="2:14" x14ac:dyDescent="0.2">
      <c r="B57" s="34"/>
      <c r="C57" s="34"/>
      <c r="D57" s="34"/>
      <c r="E57" s="34"/>
      <c r="F57" s="34"/>
      <c r="G57" s="34"/>
      <c r="H57" s="34"/>
      <c r="I57" s="34"/>
      <c r="J57" s="34"/>
      <c r="K57" s="34"/>
      <c r="L57" s="34"/>
      <c r="M57" s="34"/>
      <c r="N57" s="34"/>
    </row>
    <row r="58" spans="2:14" x14ac:dyDescent="0.2">
      <c r="B58" s="34"/>
      <c r="C58" s="34"/>
      <c r="D58" s="34"/>
      <c r="E58" s="34"/>
      <c r="F58" s="34"/>
      <c r="G58" s="34"/>
      <c r="H58" s="34"/>
      <c r="I58" s="34"/>
      <c r="J58" s="34"/>
      <c r="K58" s="34"/>
      <c r="L58" s="34"/>
      <c r="M58" s="34"/>
      <c r="N58" s="34"/>
    </row>
    <row r="59" spans="2:14" x14ac:dyDescent="0.2">
      <c r="B59" s="34"/>
      <c r="C59" s="34"/>
      <c r="D59" s="34"/>
      <c r="E59" s="34"/>
      <c r="F59" s="34"/>
      <c r="G59" s="34"/>
      <c r="H59" s="34"/>
      <c r="I59" s="34"/>
      <c r="J59" s="34"/>
      <c r="K59" s="34"/>
      <c r="L59" s="34"/>
      <c r="M59" s="34"/>
      <c r="N59" s="34"/>
    </row>
    <row r="60" spans="2:14" x14ac:dyDescent="0.2">
      <c r="B60" s="34"/>
      <c r="C60" s="34"/>
      <c r="D60" s="34"/>
      <c r="E60" s="34"/>
      <c r="F60" s="34"/>
      <c r="G60" s="34"/>
      <c r="H60" s="34"/>
      <c r="I60" s="34"/>
      <c r="J60" s="34"/>
      <c r="K60" s="34"/>
      <c r="L60" s="34"/>
      <c r="M60" s="34"/>
      <c r="N60" s="34"/>
    </row>
    <row r="61" spans="2:14" x14ac:dyDescent="0.2">
      <c r="B61" s="34"/>
      <c r="C61" s="34"/>
      <c r="D61" s="34"/>
      <c r="E61" s="34"/>
      <c r="F61" s="34"/>
      <c r="G61" s="34"/>
      <c r="H61" s="34"/>
      <c r="I61" s="34"/>
      <c r="J61" s="34"/>
      <c r="K61" s="34"/>
      <c r="L61" s="34"/>
      <c r="M61" s="34"/>
      <c r="N61" s="34"/>
    </row>
    <row r="62" spans="2:14" x14ac:dyDescent="0.2">
      <c r="B62" s="34"/>
      <c r="C62" s="34"/>
      <c r="D62" s="34"/>
      <c r="E62" s="34"/>
      <c r="F62" s="34"/>
      <c r="G62" s="34"/>
      <c r="H62" s="34"/>
      <c r="I62" s="34"/>
      <c r="J62" s="34"/>
      <c r="K62" s="34"/>
      <c r="L62" s="34"/>
      <c r="M62" s="34"/>
      <c r="N62" s="34"/>
    </row>
    <row r="63" spans="2:14" x14ac:dyDescent="0.2">
      <c r="B63" s="34"/>
      <c r="C63" s="34"/>
      <c r="D63" s="34"/>
      <c r="E63" s="34"/>
      <c r="F63" s="34"/>
      <c r="G63" s="34"/>
      <c r="H63" s="34"/>
      <c r="I63" s="34"/>
      <c r="J63" s="34"/>
      <c r="K63" s="34"/>
      <c r="L63" s="34"/>
      <c r="M63" s="34"/>
      <c r="N63" s="34"/>
    </row>
    <row r="64" spans="2:14" x14ac:dyDescent="0.2">
      <c r="B64" s="34"/>
      <c r="C64" s="34"/>
      <c r="D64" s="34"/>
      <c r="E64" s="34"/>
      <c r="F64" s="34"/>
      <c r="G64" s="34"/>
      <c r="H64" s="34"/>
      <c r="I64" s="34"/>
      <c r="J64" s="34"/>
      <c r="K64" s="34"/>
      <c r="L64" s="34"/>
      <c r="M64" s="34"/>
      <c r="N64" s="34"/>
    </row>
  </sheetData>
  <sheetProtection selectLockedCells="1"/>
  <mergeCells count="4">
    <mergeCell ref="C4:J4"/>
    <mergeCell ref="K32:L32"/>
    <mergeCell ref="C23:J24"/>
    <mergeCell ref="C28:J29"/>
  </mergeCells>
  <hyperlinks>
    <hyperlink ref="K32:L32" location="Selection!D14" display="Back to selection"/>
  </hyperlink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0"/>
  <sheetViews>
    <sheetView workbookViewId="0">
      <selection activeCell="I29" sqref="I29"/>
    </sheetView>
  </sheetViews>
  <sheetFormatPr defaultColWidth="8.69921875" defaultRowHeight="14.25" x14ac:dyDescent="0.2"/>
  <cols>
    <col min="1" max="16384" width="8.69921875" style="7"/>
  </cols>
  <sheetData>
    <row r="1" spans="2:11" ht="15" thickBot="1" x14ac:dyDescent="0.25"/>
    <row r="2" spans="2:11" ht="15" thickTop="1" x14ac:dyDescent="0.2">
      <c r="B2" s="11"/>
      <c r="C2" s="12"/>
      <c r="D2" s="12"/>
      <c r="E2" s="12"/>
      <c r="F2" s="12"/>
      <c r="G2" s="12"/>
      <c r="H2" s="12"/>
      <c r="I2" s="12"/>
      <c r="J2" s="12"/>
      <c r="K2" s="13"/>
    </row>
    <row r="3" spans="2:11" x14ac:dyDescent="0.2">
      <c r="B3" s="14"/>
      <c r="C3" s="227" t="str">
        <f>"Inactivity Across Age Groups in "&amp;B36&amp;" Over Time"</f>
        <v>Inactivity Across Age Groups in GM Over Time</v>
      </c>
      <c r="D3" s="227"/>
      <c r="E3" s="227"/>
      <c r="F3" s="227"/>
      <c r="G3" s="227"/>
      <c r="H3" s="227"/>
      <c r="I3" s="227"/>
      <c r="J3" s="227"/>
      <c r="K3" s="15"/>
    </row>
    <row r="4" spans="2:11" x14ac:dyDescent="0.2">
      <c r="B4" s="14"/>
      <c r="C4" s="9"/>
      <c r="D4" s="9"/>
      <c r="E4" s="9"/>
      <c r="F4" s="9"/>
      <c r="G4" s="9"/>
      <c r="H4" s="9"/>
      <c r="I4" s="9"/>
      <c r="J4" s="9"/>
      <c r="K4" s="15"/>
    </row>
    <row r="5" spans="2:11" x14ac:dyDescent="0.2">
      <c r="B5" s="14"/>
      <c r="C5" s="9"/>
      <c r="D5" s="9"/>
      <c r="E5" s="9"/>
      <c r="F5" s="9"/>
      <c r="G5" s="9"/>
      <c r="H5" s="9"/>
      <c r="I5" s="9"/>
      <c r="J5" s="9"/>
      <c r="K5" s="15"/>
    </row>
    <row r="6" spans="2:11" x14ac:dyDescent="0.2">
      <c r="B6" s="14"/>
      <c r="C6" s="9"/>
      <c r="D6" s="9"/>
      <c r="E6" s="9"/>
      <c r="F6" s="9"/>
      <c r="G6" s="9"/>
      <c r="H6" s="9"/>
      <c r="I6" s="9"/>
      <c r="J6" s="9"/>
      <c r="K6" s="15"/>
    </row>
    <row r="7" spans="2:11" x14ac:dyDescent="0.2">
      <c r="B7" s="14"/>
      <c r="C7" s="9"/>
      <c r="D7" s="9"/>
      <c r="E7" s="9"/>
      <c r="F7" s="9"/>
      <c r="G7" s="9"/>
      <c r="H7" s="9"/>
      <c r="I7" s="9"/>
      <c r="J7" s="9"/>
      <c r="K7" s="15"/>
    </row>
    <row r="8" spans="2:11" x14ac:dyDescent="0.2">
      <c r="B8" s="14"/>
      <c r="C8" s="9"/>
      <c r="D8" s="9"/>
      <c r="E8" s="9"/>
      <c r="F8" s="9"/>
      <c r="G8" s="9"/>
      <c r="H8" s="9"/>
      <c r="I8" s="9"/>
      <c r="J8" s="9"/>
      <c r="K8" s="15"/>
    </row>
    <row r="9" spans="2:11" x14ac:dyDescent="0.2">
      <c r="B9" s="14"/>
      <c r="C9" s="9"/>
      <c r="D9" s="9"/>
      <c r="E9" s="9"/>
      <c r="F9" s="9"/>
      <c r="G9" s="9"/>
      <c r="H9" s="9"/>
      <c r="I9" s="9"/>
      <c r="J9" s="9"/>
      <c r="K9" s="15"/>
    </row>
    <row r="10" spans="2:11" x14ac:dyDescent="0.2">
      <c r="B10" s="14"/>
      <c r="C10" s="9"/>
      <c r="D10" s="9"/>
      <c r="E10" s="9"/>
      <c r="F10" s="9"/>
      <c r="G10" s="9"/>
      <c r="H10" s="9"/>
      <c r="I10" s="9"/>
      <c r="J10" s="9"/>
      <c r="K10" s="15"/>
    </row>
    <row r="11" spans="2:11" x14ac:dyDescent="0.2">
      <c r="B11" s="14"/>
      <c r="C11" s="9"/>
      <c r="D11" s="9"/>
      <c r="E11" s="9"/>
      <c r="F11" s="9"/>
      <c r="G11" s="9"/>
      <c r="H11" s="9"/>
      <c r="I11" s="9"/>
      <c r="J11" s="9"/>
      <c r="K11" s="15"/>
    </row>
    <row r="12" spans="2:11" x14ac:dyDescent="0.2">
      <c r="B12" s="14"/>
      <c r="C12" s="9"/>
      <c r="D12" s="9"/>
      <c r="E12" s="9"/>
      <c r="F12" s="9"/>
      <c r="G12" s="9"/>
      <c r="H12" s="9"/>
      <c r="I12" s="9"/>
      <c r="J12" s="9"/>
      <c r="K12" s="15"/>
    </row>
    <row r="13" spans="2:11" x14ac:dyDescent="0.2">
      <c r="B13" s="14"/>
      <c r="C13" s="9"/>
      <c r="D13" s="9"/>
      <c r="E13" s="9"/>
      <c r="F13" s="9"/>
      <c r="G13" s="9"/>
      <c r="H13" s="9"/>
      <c r="I13" s="9"/>
      <c r="J13" s="9"/>
      <c r="K13" s="15"/>
    </row>
    <row r="14" spans="2:11" x14ac:dyDescent="0.2">
      <c r="B14" s="14"/>
      <c r="C14" s="9"/>
      <c r="D14" s="9"/>
      <c r="E14" s="9"/>
      <c r="F14" s="9"/>
      <c r="G14" s="9"/>
      <c r="H14" s="9"/>
      <c r="I14" s="9"/>
      <c r="J14" s="9"/>
      <c r="K14" s="15"/>
    </row>
    <row r="15" spans="2:11" x14ac:dyDescent="0.2">
      <c r="B15" s="14"/>
      <c r="C15" s="9"/>
      <c r="D15" s="9"/>
      <c r="E15" s="9"/>
      <c r="F15" s="9"/>
      <c r="G15" s="9"/>
      <c r="H15" s="9"/>
      <c r="I15" s="9"/>
      <c r="J15" s="9"/>
      <c r="K15" s="15"/>
    </row>
    <row r="16" spans="2:11" x14ac:dyDescent="0.2">
      <c r="B16" s="14"/>
      <c r="C16" s="9"/>
      <c r="D16" s="9"/>
      <c r="E16" s="9"/>
      <c r="F16" s="9"/>
      <c r="G16" s="9"/>
      <c r="H16" s="9"/>
      <c r="I16" s="9"/>
      <c r="J16" s="9"/>
      <c r="K16" s="15"/>
    </row>
    <row r="17" spans="2:11" x14ac:dyDescent="0.2">
      <c r="B17" s="14"/>
      <c r="C17" s="9"/>
      <c r="D17" s="9"/>
      <c r="E17" s="9"/>
      <c r="F17" s="9"/>
      <c r="G17" s="9"/>
      <c r="H17" s="9"/>
      <c r="I17" s="9"/>
      <c r="J17" s="9"/>
      <c r="K17" s="15"/>
    </row>
    <row r="18" spans="2:11" x14ac:dyDescent="0.2">
      <c r="B18" s="14"/>
      <c r="C18" s="9"/>
      <c r="D18" s="9"/>
      <c r="E18" s="9"/>
      <c r="F18" s="9"/>
      <c r="G18" s="9"/>
      <c r="H18" s="9"/>
      <c r="I18" s="9"/>
      <c r="J18" s="9"/>
      <c r="K18" s="15"/>
    </row>
    <row r="19" spans="2:11" x14ac:dyDescent="0.2">
      <c r="B19" s="14"/>
      <c r="C19" s="9"/>
      <c r="D19" s="9"/>
      <c r="E19" s="9"/>
      <c r="F19" s="9"/>
      <c r="G19" s="9"/>
      <c r="H19" s="9"/>
      <c r="I19" s="9"/>
      <c r="J19" s="9"/>
      <c r="K19" s="15"/>
    </row>
    <row r="20" spans="2:11" x14ac:dyDescent="0.2">
      <c r="B20" s="14"/>
      <c r="C20" s="9"/>
      <c r="D20" s="9"/>
      <c r="E20" s="9"/>
      <c r="F20" s="9"/>
      <c r="G20" s="9"/>
      <c r="H20" s="9"/>
      <c r="I20" s="9"/>
      <c r="J20" s="9"/>
      <c r="K20" s="15"/>
    </row>
    <row r="21" spans="2:11" x14ac:dyDescent="0.2">
      <c r="B21" s="14"/>
      <c r="C21" s="9"/>
      <c r="D21" s="9"/>
      <c r="E21" s="9"/>
      <c r="F21" s="9"/>
      <c r="G21" s="9"/>
      <c r="H21" s="9"/>
      <c r="I21" s="9"/>
      <c r="J21" s="9"/>
      <c r="K21" s="15"/>
    </row>
    <row r="22" spans="2:11" x14ac:dyDescent="0.2">
      <c r="B22" s="14"/>
      <c r="C22" s="228" t="str">
        <f ca="1">CONCATENATE("The inactivity gap in ",B36," is ",(TEXT(J38,"0.0%"))," this is a change since baseline of ",(TEXT(K36,"0.0%")))</f>
        <v>The inactivity gap in GM is 12.3% this is a change since baseline of -162170000.0%</v>
      </c>
      <c r="D22" s="228"/>
      <c r="E22" s="228"/>
      <c r="F22" s="228"/>
      <c r="G22" s="228"/>
      <c r="H22" s="228"/>
      <c r="I22" s="228"/>
      <c r="J22" s="228"/>
      <c r="K22" s="15"/>
    </row>
    <row r="23" spans="2:11" x14ac:dyDescent="0.2">
      <c r="B23" s="14"/>
      <c r="C23" s="10" t="s">
        <v>122</v>
      </c>
      <c r="D23" s="9"/>
      <c r="E23" s="9"/>
      <c r="F23" s="9"/>
      <c r="G23" s="9"/>
      <c r="H23" s="9"/>
      <c r="I23" s="9"/>
      <c r="J23" s="9"/>
      <c r="K23" s="15"/>
    </row>
    <row r="24" spans="2:11" x14ac:dyDescent="0.2">
      <c r="B24" s="14"/>
      <c r="C24" s="9"/>
      <c r="D24" s="9"/>
      <c r="E24" s="9"/>
      <c r="F24" s="9"/>
      <c r="G24" s="9"/>
      <c r="H24" s="9"/>
      <c r="I24" s="9"/>
      <c r="J24" s="9"/>
      <c r="K24" s="15"/>
    </row>
    <row r="25" spans="2:11" ht="15" thickBot="1" x14ac:dyDescent="0.25">
      <c r="B25" s="16"/>
      <c r="C25" s="17"/>
      <c r="D25" s="17"/>
      <c r="E25" s="17"/>
      <c r="F25" s="17"/>
      <c r="G25" s="17"/>
      <c r="H25" s="17"/>
      <c r="I25" s="23"/>
      <c r="J25" s="17"/>
      <c r="K25" s="18"/>
    </row>
    <row r="26" spans="2:11" ht="15" thickTop="1" x14ac:dyDescent="0.2"/>
    <row r="35" spans="2:14" x14ac:dyDescent="0.2">
      <c r="D35" s="7" t="s">
        <v>143</v>
      </c>
      <c r="J35" s="7" t="s">
        <v>144</v>
      </c>
    </row>
    <row r="36" spans="2:14" x14ac:dyDescent="0.2">
      <c r="B36" s="7" t="str">
        <f>Selection!D7</f>
        <v>GM</v>
      </c>
      <c r="D36" s="22"/>
      <c r="E36" s="7" t="s">
        <v>119</v>
      </c>
      <c r="F36" s="7" t="s">
        <v>120</v>
      </c>
      <c r="G36" s="7" t="s">
        <v>121</v>
      </c>
      <c r="H36" s="7" t="s">
        <v>99</v>
      </c>
      <c r="J36" s="8">
        <f ca="1">INDIRECT(""&amp;B36&amp;"!CP10")</f>
        <v>1621700</v>
      </c>
      <c r="K36" s="8">
        <f ca="1">J36*-1</f>
        <v>-1621700</v>
      </c>
      <c r="L36" s="19"/>
    </row>
    <row r="37" spans="2:14" x14ac:dyDescent="0.2">
      <c r="D37" s="7" t="s">
        <v>3</v>
      </c>
      <c r="E37" s="8">
        <f ca="1">INDIRECT(""&amp;B36&amp;"!BI9")</f>
        <v>9.0442332242039014E-2</v>
      </c>
      <c r="F37" s="8">
        <f ca="1">INDIRECT(""&amp;B36&amp;"!Ai9")</f>
        <v>0.10606513400951158</v>
      </c>
      <c r="G37" s="8">
        <f ca="1">INDIRECT(""&amp;B36&amp;"!f9")</f>
        <v>0.59596320236614664</v>
      </c>
      <c r="H37" s="19">
        <f ca="1">SUM(F37:G37)</f>
        <v>0.7020283363756582</v>
      </c>
      <c r="J37" s="7" t="s">
        <v>145</v>
      </c>
      <c r="K37" s="8"/>
      <c r="L37" s="8"/>
      <c r="M37" s="8"/>
      <c r="N37" s="8"/>
    </row>
    <row r="38" spans="2:14" x14ac:dyDescent="0.2">
      <c r="D38" s="7" t="s">
        <v>4</v>
      </c>
      <c r="E38" s="8">
        <f ca="1">INDIRECT(""&amp;B36&amp;"!Bm9")</f>
        <v>0.24835468580352213</v>
      </c>
      <c r="F38" s="8">
        <f ca="1">INDIRECT(""&amp;B36&amp;"!Aj9")</f>
        <v>0.13085984434667339</v>
      </c>
      <c r="G38" s="8">
        <f ca="1">INDIRECT(""&amp;B36&amp;"!g9")</f>
        <v>0.68371523137191359</v>
      </c>
      <c r="H38" s="19">
        <f ca="1">SUM(F38:G38)</f>
        <v>0.81457507571858701</v>
      </c>
      <c r="J38" s="19">
        <f ca="1">E40-E37</f>
        <v>0.12325749496436336</v>
      </c>
      <c r="K38" s="8"/>
      <c r="L38" s="8"/>
      <c r="M38" s="8"/>
      <c r="N38" s="8"/>
    </row>
    <row r="39" spans="2:14" x14ac:dyDescent="0.2">
      <c r="D39" s="7" t="s">
        <v>5</v>
      </c>
      <c r="E39" s="8">
        <f ca="1">INDIRECT(""&amp;B36&amp;"!Bn9")</f>
        <v>0.27317695328717839</v>
      </c>
      <c r="F39" s="8">
        <f ca="1">INDIRECT(""&amp;B36&amp;"!Ak9")</f>
        <v>0.10258494142168577</v>
      </c>
      <c r="G39" s="8">
        <f ca="1">INDIRECT(""&amp;B36&amp;"!h9")</f>
        <v>0.63669797651723858</v>
      </c>
      <c r="H39" s="19">
        <f ca="1">SUM(F39:G39)</f>
        <v>0.73928291793892431</v>
      </c>
      <c r="K39" s="8"/>
      <c r="L39" s="8"/>
      <c r="M39" s="8"/>
      <c r="N39" s="8"/>
    </row>
    <row r="40" spans="2:14" x14ac:dyDescent="0.2">
      <c r="D40" s="7" t="s">
        <v>6</v>
      </c>
      <c r="E40" s="8">
        <f ca="1">INDIRECT(""&amp;B36&amp;"!Bo9")</f>
        <v>0.21369982720640238</v>
      </c>
      <c r="F40" s="8">
        <f ca="1">INDIRECT(""&amp;B36&amp;"!Al9")</f>
        <v>0.1173084846311668</v>
      </c>
      <c r="G40" s="8">
        <f ca="1">INDIRECT(""&amp;B36&amp;"!i9")</f>
        <v>0.5775606155984031</v>
      </c>
      <c r="H40" s="19">
        <f ca="1">SUM(F40:G40)</f>
        <v>0.69486910022956994</v>
      </c>
      <c r="K40" s="8"/>
      <c r="L40" s="8"/>
      <c r="M40" s="8"/>
      <c r="N40" s="8"/>
    </row>
    <row r="41" spans="2:14" x14ac:dyDescent="0.2">
      <c r="D41" s="22"/>
    </row>
    <row r="42" spans="2:14" x14ac:dyDescent="0.2">
      <c r="D42" s="22" t="s">
        <v>146</v>
      </c>
    </row>
    <row r="43" spans="2:14" x14ac:dyDescent="0.2">
      <c r="B43" s="7" t="str">
        <f>Selection!D7</f>
        <v>GM</v>
      </c>
      <c r="D43" s="22"/>
      <c r="E43" s="7" t="s">
        <v>119</v>
      </c>
      <c r="F43" s="7" t="s">
        <v>120</v>
      </c>
      <c r="G43" s="7" t="s">
        <v>121</v>
      </c>
      <c r="H43" s="7" t="s">
        <v>99</v>
      </c>
    </row>
    <row r="44" spans="2:14" x14ac:dyDescent="0.2">
      <c r="D44" s="7" t="s">
        <v>3</v>
      </c>
      <c r="E44" s="8">
        <f ca="1">INDIRECT(""&amp;B43&amp;"!BI3")</f>
        <v>0</v>
      </c>
      <c r="F44" s="8">
        <f ca="1">INDIRECT(""&amp;B43&amp;"!Ai3")</f>
        <v>0.11040878040071769</v>
      </c>
      <c r="G44" s="8">
        <f ca="1">INDIRECT(""&amp;B43&amp;"!f3")</f>
        <v>0.5685940128941529</v>
      </c>
      <c r="H44" s="19">
        <f ca="1">SUM(F44:G44)</f>
        <v>0.67900279329487057</v>
      </c>
    </row>
    <row r="45" spans="2:14" x14ac:dyDescent="0.2">
      <c r="D45" s="7" t="s">
        <v>4</v>
      </c>
      <c r="E45" s="8">
        <f ca="1">INDIRECT(""&amp;B43&amp;"!Bm3")</f>
        <v>0.26831139673792948</v>
      </c>
      <c r="F45" s="8">
        <f ca="1">INDIRECT(""&amp;B43&amp;"!Aj3")</f>
        <v>0.13187914490560534</v>
      </c>
      <c r="G45" s="8">
        <f ca="1">INDIRECT(""&amp;B43&amp;"!g3")</f>
        <v>0.69046617281694611</v>
      </c>
      <c r="H45" s="19">
        <f ca="1">SUM(F45:G45)</f>
        <v>0.82234531772255148</v>
      </c>
    </row>
    <row r="46" spans="2:14" x14ac:dyDescent="0.2">
      <c r="D46" s="7" t="s">
        <v>5</v>
      </c>
      <c r="E46" s="8">
        <f ca="1">INDIRECT(""&amp;B43&amp;"!Bn3")</f>
        <v>0.299526842200245</v>
      </c>
      <c r="F46" s="8">
        <f ca="1">INDIRECT(""&amp;B43&amp;"!Ak3")</f>
        <v>0.11126373831207653</v>
      </c>
      <c r="G46" s="8">
        <f ca="1">INDIRECT(""&amp;B43&amp;"!h3")</f>
        <v>0.60897500112828895</v>
      </c>
      <c r="H46" s="19">
        <f ca="1">SUM(F46:G46)</f>
        <v>0.72023873944036554</v>
      </c>
    </row>
    <row r="47" spans="2:14" x14ac:dyDescent="0.2">
      <c r="D47" s="7" t="s">
        <v>6</v>
      </c>
      <c r="E47" s="8">
        <f ca="1">INDIRECT(""&amp;B43&amp;"!Bo3")</f>
        <v>0.19827008887097503</v>
      </c>
      <c r="F47" s="8">
        <f ca="1">INDIRECT(""&amp;B43&amp;"!Al3")</f>
        <v>0.12264871264464845</v>
      </c>
      <c r="G47" s="8">
        <f ca="1">INDIRECT(""&amp;B43&amp;"!i3")</f>
        <v>0.53122579009302817</v>
      </c>
      <c r="H47" s="19">
        <f ca="1">SUM(F47:G47)</f>
        <v>0.65387450273767667</v>
      </c>
    </row>
    <row r="48" spans="2:14" x14ac:dyDescent="0.2">
      <c r="D48" s="22"/>
      <c r="E48" s="19"/>
      <c r="F48" s="19"/>
      <c r="G48" s="19"/>
      <c r="H48" s="19"/>
    </row>
    <row r="49" spans="4:8" x14ac:dyDescent="0.2">
      <c r="D49" s="22"/>
      <c r="E49" s="19"/>
      <c r="F49" s="19"/>
      <c r="G49" s="19"/>
      <c r="H49" s="19"/>
    </row>
    <row r="50" spans="4:8" x14ac:dyDescent="0.2">
      <c r="D50" s="22"/>
    </row>
  </sheetData>
  <mergeCells count="2">
    <mergeCell ref="C3:J3"/>
    <mergeCell ref="C22:J2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S61"/>
  <sheetViews>
    <sheetView workbookViewId="0">
      <selection activeCell="P26" sqref="P26"/>
    </sheetView>
  </sheetViews>
  <sheetFormatPr defaultColWidth="8.69921875" defaultRowHeight="14.25" x14ac:dyDescent="0.2"/>
  <cols>
    <col min="1" max="4" width="8.69921875" style="7"/>
    <col min="5" max="5" width="12.19921875" style="7" customWidth="1"/>
    <col min="6" max="9" width="8.69921875" style="7"/>
    <col min="10" max="10" width="12.5" style="7" customWidth="1"/>
    <col min="11" max="12" width="8.69921875" style="7"/>
    <col min="13" max="13" width="8.8984375" style="7" bestFit="1" customWidth="1"/>
    <col min="14"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"Inactivity Across "&amp;D42&amp;" Groups in "&amp;B42&amp;" Over Time"</f>
        <v>Inactivity Across Gender Groups in GM Over Time</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9" x14ac:dyDescent="0.2">
      <c r="B17" s="99"/>
      <c r="C17" s="32"/>
      <c r="D17" s="32"/>
      <c r="E17" s="32"/>
      <c r="F17" s="32"/>
      <c r="G17" s="32"/>
      <c r="H17" s="32"/>
      <c r="I17" s="32"/>
      <c r="J17" s="32"/>
      <c r="K17" s="100"/>
    </row>
    <row r="18" spans="2:19" x14ac:dyDescent="0.2">
      <c r="B18" s="99"/>
      <c r="C18" s="32"/>
      <c r="D18" s="32"/>
      <c r="E18" s="32"/>
      <c r="F18" s="32"/>
      <c r="G18" s="32"/>
      <c r="H18" s="32"/>
      <c r="I18" s="32"/>
      <c r="J18" s="32"/>
      <c r="K18" s="100"/>
      <c r="S18" s="37"/>
    </row>
    <row r="19" spans="2:19" x14ac:dyDescent="0.2">
      <c r="B19" s="99"/>
      <c r="C19" s="32"/>
      <c r="D19" s="32"/>
      <c r="E19" s="32"/>
      <c r="F19" s="32"/>
      <c r="G19" s="32"/>
      <c r="H19" s="32"/>
      <c r="I19" s="32"/>
      <c r="J19" s="32"/>
      <c r="K19" s="100"/>
      <c r="S19" s="37"/>
    </row>
    <row r="20" spans="2:19" x14ac:dyDescent="0.2">
      <c r="B20" s="99"/>
      <c r="C20" s="32"/>
      <c r="D20" s="32"/>
      <c r="E20" s="32"/>
      <c r="F20" s="32"/>
      <c r="G20" s="32"/>
      <c r="H20" s="32"/>
      <c r="I20" s="32"/>
      <c r="J20" s="32"/>
      <c r="K20" s="100"/>
      <c r="S20" s="34"/>
    </row>
    <row r="21" spans="2:19" x14ac:dyDescent="0.2">
      <c r="B21" s="99"/>
      <c r="C21" s="32"/>
      <c r="D21" s="32"/>
      <c r="E21" s="32"/>
      <c r="F21" s="32"/>
      <c r="G21" s="32"/>
      <c r="H21" s="32"/>
      <c r="I21" s="32"/>
      <c r="J21" s="32"/>
      <c r="K21" s="100"/>
      <c r="S21" s="34"/>
    </row>
    <row r="22" spans="2:19" x14ac:dyDescent="0.2">
      <c r="B22" s="99"/>
      <c r="C22" s="32"/>
      <c r="D22" s="32"/>
      <c r="E22" s="32"/>
      <c r="F22" s="32"/>
      <c r="G22" s="32"/>
      <c r="H22" s="32"/>
      <c r="I22" s="32"/>
      <c r="J22" s="32"/>
      <c r="K22" s="100"/>
      <c r="S22" s="34"/>
    </row>
    <row r="23" spans="2:19" x14ac:dyDescent="0.2">
      <c r="B23" s="99"/>
      <c r="C23" s="226" t="s">
        <v>136</v>
      </c>
      <c r="D23" s="226"/>
      <c r="E23" s="226"/>
      <c r="F23" s="226"/>
      <c r="G23" s="226"/>
      <c r="H23" s="226"/>
      <c r="I23" s="226"/>
      <c r="J23" s="226"/>
      <c r="K23" s="100"/>
      <c r="S23" s="34"/>
    </row>
    <row r="24" spans="2:19" ht="13.9" customHeight="1" x14ac:dyDescent="0.2">
      <c r="B24" s="99"/>
      <c r="C24" s="226"/>
      <c r="D24" s="226"/>
      <c r="E24" s="226"/>
      <c r="F24" s="226"/>
      <c r="G24" s="226"/>
      <c r="H24" s="226"/>
      <c r="I24" s="226"/>
      <c r="J24" s="226"/>
      <c r="K24" s="100"/>
      <c r="L24" s="34"/>
    </row>
    <row r="25" spans="2:19" ht="15" thickBot="1" x14ac:dyDescent="0.25">
      <c r="B25" s="101"/>
      <c r="C25" s="23"/>
      <c r="D25" s="23"/>
      <c r="E25" s="23"/>
      <c r="F25" s="23"/>
      <c r="G25" s="23"/>
      <c r="H25" s="23"/>
      <c r="I25" s="23"/>
      <c r="J25" s="23"/>
      <c r="K25" s="102"/>
    </row>
    <row r="26" spans="2:19" ht="15.75" thickTop="1" thickBot="1" x14ac:dyDescent="0.25"/>
    <row r="27" spans="2:19" x14ac:dyDescent="0.2">
      <c r="B27" s="103"/>
      <c r="C27" s="104"/>
      <c r="D27" s="104"/>
      <c r="E27" s="104"/>
      <c r="F27" s="104"/>
      <c r="G27" s="104"/>
      <c r="H27" s="104"/>
      <c r="I27" s="104"/>
      <c r="J27" s="104"/>
      <c r="K27" s="105"/>
    </row>
    <row r="28" spans="2:19" ht="13.9" customHeight="1" x14ac:dyDescent="0.2">
      <c r="B28" s="106"/>
      <c r="C28" s="223" t="str">
        <f ca="1">IF(D42="Ethnicity", "Due to the nature of the ethnicity breakdown we do not calculate an inactivity ethnicity gap.",(IFERROR(CONCATENATE("The inactivity ", (LOWER(D42)), " gap in ", B42, " is ", (TEXT((ABS(J44)),"0.0%")), (CONCATENATE(IF(J42&lt;0.1%, ", the gap has remained the same since baseline.", (IF(J53&gt;J44, (CONCATENATE(", this has shrunk since baseline by ", (TEXT(J42, "0.0%")))), (CONCATENATE(", this has widened since baseline by ", (TEXT(J42,"0.0%")),".")))))))), "Due to insufficient survey numbers the inequality gap could not be calculated.")))</f>
        <v>The inactivity gender gap in GM is 3.9%, this has widened since baseline by 1.0%.</v>
      </c>
      <c r="D28" s="223"/>
      <c r="E28" s="223"/>
      <c r="F28" s="223"/>
      <c r="G28" s="223"/>
      <c r="H28" s="223"/>
      <c r="I28" s="223"/>
      <c r="J28" s="223"/>
      <c r="K28" s="107"/>
    </row>
    <row r="29" spans="2:19" ht="13.9" customHeight="1" x14ac:dyDescent="0.2">
      <c r="B29" s="106"/>
      <c r="C29" s="223"/>
      <c r="D29" s="223"/>
      <c r="E29" s="223"/>
      <c r="F29" s="223"/>
      <c r="G29" s="223"/>
      <c r="H29" s="223"/>
      <c r="I29" s="223"/>
      <c r="J29" s="223"/>
      <c r="K29" s="107"/>
    </row>
    <row r="30" spans="2:19" ht="13.9" customHeight="1" x14ac:dyDescent="0.2">
      <c r="B30" s="106"/>
      <c r="C30" s="223" t="str">
        <f ca="1">IF(D42="Gender", IF(ISNA(J44),"",IF(OR(J44&lt;0,J53&lt;0),CONCATENATE("This gap has inverted since baseline",(IF(AND(D42="Gender",E44&lt;E43)," women are now more active than men.", " men are more active than women."))),"")),"")</f>
        <v/>
      </c>
      <c r="D30" s="223"/>
      <c r="E30" s="223"/>
      <c r="F30" s="223"/>
      <c r="G30" s="223"/>
      <c r="H30" s="223"/>
      <c r="I30" s="223"/>
      <c r="J30" s="223"/>
      <c r="K30" s="107"/>
    </row>
    <row r="31" spans="2:19" ht="15" thickBot="1" x14ac:dyDescent="0.25">
      <c r="B31" s="108"/>
      <c r="C31" s="109"/>
      <c r="D31" s="109"/>
      <c r="E31" s="109"/>
      <c r="F31" s="109"/>
      <c r="G31" s="109"/>
      <c r="H31" s="109"/>
      <c r="I31" s="109"/>
      <c r="J31" s="109"/>
      <c r="K31" s="110"/>
    </row>
    <row r="33" spans="1:19" x14ac:dyDescent="0.2">
      <c r="K33" s="195" t="s">
        <v>147</v>
      </c>
      <c r="L33" s="195"/>
    </row>
    <row r="34" spans="1:19" x14ac:dyDescent="0.2">
      <c r="B34" s="91"/>
      <c r="C34" s="91"/>
      <c r="D34" s="91"/>
      <c r="E34" s="91"/>
      <c r="F34" s="91"/>
      <c r="G34" s="91"/>
      <c r="H34" s="91"/>
      <c r="I34" s="91"/>
      <c r="J34" s="91"/>
      <c r="K34" s="91"/>
      <c r="L34" s="91"/>
      <c r="M34" s="91"/>
      <c r="N34" s="91"/>
      <c r="O34" s="91"/>
      <c r="P34" s="91"/>
      <c r="Q34" s="91"/>
      <c r="R34" s="91"/>
      <c r="S34" s="91"/>
    </row>
    <row r="35" spans="1:19" x14ac:dyDescent="0.2">
      <c r="A35" s="142"/>
      <c r="B35" s="143"/>
      <c r="C35" s="143"/>
      <c r="D35" s="144"/>
      <c r="E35" s="144"/>
      <c r="F35" s="144"/>
      <c r="G35" s="144"/>
      <c r="H35" s="144"/>
      <c r="I35" s="144"/>
      <c r="J35" s="144"/>
      <c r="K35" s="144"/>
      <c r="L35" s="91"/>
      <c r="M35" s="91"/>
      <c r="N35" s="91"/>
      <c r="O35" s="91"/>
      <c r="P35" s="91"/>
      <c r="Q35" s="91"/>
      <c r="R35" s="91"/>
      <c r="S35" s="91"/>
    </row>
    <row r="36" spans="1:19" x14ac:dyDescent="0.2">
      <c r="A36" s="145"/>
      <c r="B36" s="145"/>
      <c r="C36" s="142"/>
      <c r="D36" s="142"/>
      <c r="E36" s="142"/>
      <c r="F36" s="142"/>
      <c r="G36" s="142"/>
      <c r="H36" s="145"/>
      <c r="I36" s="142"/>
      <c r="J36" s="145"/>
      <c r="K36" s="145"/>
      <c r="L36" s="34"/>
      <c r="M36" s="34"/>
      <c r="N36" s="34"/>
      <c r="O36" s="34"/>
    </row>
    <row r="37" spans="1:19" x14ac:dyDescent="0.2">
      <c r="A37" s="145"/>
      <c r="B37" s="142"/>
      <c r="C37" s="142"/>
      <c r="D37" s="145"/>
      <c r="E37" s="142"/>
      <c r="F37" s="142"/>
      <c r="G37" s="142"/>
      <c r="H37" s="142"/>
      <c r="I37" s="142"/>
      <c r="J37" s="145"/>
      <c r="K37" s="145"/>
      <c r="L37" s="34"/>
      <c r="M37" s="34"/>
      <c r="N37" s="34"/>
      <c r="O37" s="34"/>
    </row>
    <row r="38" spans="1:19" x14ac:dyDescent="0.2">
      <c r="A38" s="145"/>
      <c r="B38" s="145"/>
      <c r="C38" s="145"/>
      <c r="D38" s="145"/>
      <c r="E38" s="145"/>
      <c r="F38" s="145"/>
      <c r="G38" s="145"/>
      <c r="H38" s="145"/>
      <c r="I38" s="145"/>
      <c r="J38" s="145"/>
      <c r="K38" s="145"/>
      <c r="L38" s="34"/>
      <c r="M38" s="34"/>
      <c r="N38" s="34"/>
      <c r="O38" s="34"/>
    </row>
    <row r="39" spans="1:19" x14ac:dyDescent="0.2">
      <c r="B39" s="34"/>
      <c r="C39" s="34"/>
      <c r="D39" s="34"/>
      <c r="E39" s="34"/>
      <c r="F39" s="34"/>
      <c r="G39" s="34"/>
      <c r="H39" s="34"/>
      <c r="I39" s="34"/>
      <c r="J39" s="34"/>
      <c r="K39" s="34"/>
      <c r="L39" s="34"/>
      <c r="M39" s="34"/>
      <c r="N39" s="34"/>
      <c r="O39" s="34"/>
    </row>
    <row r="40" spans="1:19" x14ac:dyDescent="0.2">
      <c r="B40" s="34"/>
      <c r="C40" s="34"/>
      <c r="D40" s="34"/>
      <c r="E40" s="34"/>
      <c r="F40" s="34"/>
      <c r="G40" s="34"/>
      <c r="H40" s="34"/>
      <c r="I40" s="34"/>
      <c r="J40" s="34"/>
      <c r="K40" s="34"/>
      <c r="L40" s="34"/>
      <c r="M40" s="34"/>
      <c r="N40" s="34"/>
      <c r="O40" s="34"/>
    </row>
    <row r="41" spans="1:19" x14ac:dyDescent="0.2">
      <c r="B41" s="34"/>
      <c r="C41" s="34"/>
      <c r="D41" s="34" t="s">
        <v>143</v>
      </c>
      <c r="E41" s="34"/>
      <c r="F41" s="34"/>
      <c r="G41" s="34"/>
      <c r="H41" s="34"/>
      <c r="I41" s="34"/>
      <c r="J41" s="34" t="s">
        <v>144</v>
      </c>
      <c r="K41" s="34"/>
      <c r="L41" s="34"/>
      <c r="N41" s="34"/>
      <c r="O41" s="34"/>
    </row>
    <row r="42" spans="1:19" x14ac:dyDescent="0.2">
      <c r="B42" s="34" t="str">
        <f>Selection!H7</f>
        <v>GM</v>
      </c>
      <c r="C42" s="34"/>
      <c r="D42" s="35" t="str">
        <f>Selection!H18</f>
        <v>Gender</v>
      </c>
      <c r="E42" s="34" t="s">
        <v>126</v>
      </c>
      <c r="F42" s="34" t="s">
        <v>120</v>
      </c>
      <c r="G42" s="34" t="s">
        <v>121</v>
      </c>
      <c r="H42" s="34" t="s">
        <v>99</v>
      </c>
      <c r="I42" s="34"/>
      <c r="J42" s="37">
        <f ca="1">ABS(ABS(J44)-ABS(J53))</f>
        <v>9.5990217281536339E-3</v>
      </c>
      <c r="K42" s="37"/>
      <c r="L42" s="38"/>
      <c r="N42" s="34"/>
      <c r="O42" s="34"/>
    </row>
    <row r="43" spans="1:19" x14ac:dyDescent="0.2">
      <c r="B43" s="34"/>
      <c r="C43" s="34"/>
      <c r="D43" s="34" t="str">
        <f>(IF(D42="Gender","Boy",IF(D42="Affluence","High",IF(D42="Ethnicity", "White British",0))))</f>
        <v>Boy</v>
      </c>
      <c r="E43" s="37">
        <f ca="1">(IF(D43="High",(INDIRECT("'"&amp;B42&amp;" CYP'!AP4")),IF(D43="Boy",(INDIRECT("'"&amp;B42&amp;" CYP'!AL4")),IF(D43="White British",(INDIRECT("'"&amp;B42&amp;" CYP'!AQ4")),""))))</f>
        <v>0.29514712904777107</v>
      </c>
      <c r="F43" s="37">
        <f ca="1">(IF(D43="High",(INDIRECT("'"&amp;B42&amp;" CYP'!AE4")),IF(D43="Boy",(INDIRECT("'"&amp;B42&amp;" CYP'!AA4")),IF(D43="White British",(INDIRECT("'"&amp;B42&amp;" CYP'!AF4")),""))))</f>
        <v>0.19291594200857121</v>
      </c>
      <c r="G43" s="37">
        <f ca="1">(IF(D43="High",(INDIRECT("'"&amp;B42&amp;" CYP'!T4")),IF(D43="Boy",(INDIRECT("'"&amp;B42&amp;" CYP'!P4")),IF(D43="White British",(INDIRECT("'"&amp;B42&amp;" CYP'!U4")),""))))</f>
        <v>0.51193692894366616</v>
      </c>
      <c r="H43" s="38">
        <f ca="1">SUM(F43,G43)</f>
        <v>0.70485287095223736</v>
      </c>
      <c r="I43" s="34"/>
      <c r="J43" s="34" t="s">
        <v>145</v>
      </c>
      <c r="K43" s="37"/>
      <c r="L43" s="37"/>
      <c r="N43" s="34"/>
      <c r="O43" s="34"/>
    </row>
    <row r="44" spans="1:19" x14ac:dyDescent="0.2">
      <c r="B44" s="34"/>
      <c r="C44" s="34"/>
      <c r="D44" s="34" t="str">
        <f>(IF(D42="Gender","Girl",IF(D42="Affluence","Medium",IF(D42="Ethnicity","White Other",0))))</f>
        <v>Girl</v>
      </c>
      <c r="E44" s="37">
        <f ca="1">(IF(D44="Medium",(INDIRECT("'"&amp;B42&amp;" CYP'!AO4")),IF(D44="Girl",(INDIRECT("'"&amp;B42&amp;" CYP'!AM4")),IF(D44="White Other",(INDIRECT("'"&amp;B42&amp;" CYP'!AR4")),""))))</f>
        <v>0.33394196742143878</v>
      </c>
      <c r="F44" s="37">
        <f ca="1">(IF(D44="Medium",(INDIRECT("'"&amp;B42&amp;" CYP'!AD4")),IF(D44="Girl",(INDIRECT("'"&amp;B42&amp;" CYP'!AB4")),IF(D44="White Other",(INDIRECT("'"&amp;B42&amp;" CYP'!AG4")),""))))</f>
        <v>0.27111435322417377</v>
      </c>
      <c r="G44" s="37">
        <f ca="1">(IF(D44="Medium",(INDIRECT("'"&amp;B42&amp;" CYP'!S4")),IF(D44="Girl",(INDIRECT("'"&amp;B42&amp;" CYP'!Q4")),IF(D44="White Other",(INDIRECT("'"&amp;B42&amp;" CYP'!V4")),""))))</f>
        <v>0.39494367935439567</v>
      </c>
      <c r="H44" s="38">
        <f ca="1">SUM(F44,G44)</f>
        <v>0.66605803257856944</v>
      </c>
      <c r="I44" s="34"/>
      <c r="J44" s="146">
        <f ca="1">IFERROR(IF(D48="Other", NA(), IF(AND(E45="",E44&gt;0,E43&gt;0),E44-E43, IF(AND(E45&gt;0,E43&gt;0),E45-E43,NA()))),NA())</f>
        <v>3.8794838373667706E-2</v>
      </c>
      <c r="K44" s="38"/>
      <c r="N44" s="34"/>
      <c r="O44" s="34"/>
    </row>
    <row r="45" spans="1:19" ht="15" x14ac:dyDescent="0.25">
      <c r="B45" s="34"/>
      <c r="C45" s="34"/>
      <c r="D45" s="37" t="str">
        <f>(IF(D42="Gender","",IF(D42="Affluence","Low",IF(D42="Ethnicity", "Asian",0))))</f>
        <v/>
      </c>
      <c r="E45" s="37" t="str">
        <f ca="1">(IF(D45="Low",(INDIRECT("'"&amp;B42&amp;" CYP'!AN4")),IF(D45="Asian",(INDIRECT("'"&amp;B42&amp;" CYP'!AS4")),"")))</f>
        <v/>
      </c>
      <c r="F45" s="37" t="str">
        <f ca="1">(IF(D45="Low",(INDIRECT("'"&amp;B42&amp;" CYP'!AC4")),IF(D45="Asian",(INDIRECT("'"&amp;B42&amp;" CYP'!AH4")),"")))</f>
        <v/>
      </c>
      <c r="G45" s="37" t="str">
        <f ca="1">(IF(D45="Low",(INDIRECT("'"&amp;B42&amp;" CYP'!R4")),IF(D45="Asian",(INDIRECT("'"&amp;B42&amp;" CYP'!W4")),"")))</f>
        <v/>
      </c>
      <c r="H45" s="38">
        <f ca="1">SUM(F45,G45)</f>
        <v>0</v>
      </c>
      <c r="I45" s="34"/>
      <c r="J45" s="34"/>
      <c r="K45" s="37"/>
      <c r="L45" s="90"/>
      <c r="N45" s="34"/>
      <c r="O45" s="34"/>
    </row>
    <row r="46" spans="1:19" x14ac:dyDescent="0.2">
      <c r="B46" s="34"/>
      <c r="C46" s="34"/>
      <c r="D46" s="34" t="str">
        <f>(IF(D42="Gender","",IF(D42="Affluence","",IF(D42="Ethnicity", "Black",0))))</f>
        <v/>
      </c>
      <c r="E46" s="37" t="str">
        <f ca="1">(IF(D46="Black",(INDIRECT("'"&amp;B42&amp;" CYP'!AT4")),""))</f>
        <v/>
      </c>
      <c r="F46" s="37" t="str">
        <f ca="1">(IF(D46="Black",(INDIRECT("'"&amp;B42&amp;" CYP'!AI4")),""))</f>
        <v/>
      </c>
      <c r="G46" s="37" t="str">
        <f ca="1">(IF(D46="Black",(INDIRECT("'"&amp;B42&amp;" CYP'!X4")),""))</f>
        <v/>
      </c>
      <c r="H46" s="38">
        <f ca="1">SUM(F46,G46)</f>
        <v>0</v>
      </c>
      <c r="I46" s="34"/>
      <c r="J46" s="34"/>
      <c r="K46" s="37"/>
      <c r="L46" s="34"/>
      <c r="N46" s="37"/>
      <c r="O46" s="34"/>
    </row>
    <row r="47" spans="1:19" x14ac:dyDescent="0.2">
      <c r="B47" s="34"/>
      <c r="C47" s="34"/>
      <c r="D47" s="37" t="str">
        <f>(IF(D42="Gender","",IF(D42="Affluence","",IF(D42="Ethnicity", "Mixed",0))))</f>
        <v/>
      </c>
      <c r="E47" s="37" t="str">
        <f ca="1">IF(D47="Mixed",(INDIRECT("'"&amp;B42&amp;" CYP'!AU4")),"")</f>
        <v/>
      </c>
      <c r="F47" s="37" t="str">
        <f ca="1">IF(D47="Mixed",(INDIRECT("'"&amp;B42&amp;" CYP'!AJ4")),"")</f>
        <v/>
      </c>
      <c r="G47" s="37" t="str">
        <f ca="1">IF(D47="Mixed",(INDIRECT("'"&amp;B42&amp;" CYP'!Y4")),"")</f>
        <v/>
      </c>
      <c r="H47" s="38">
        <f t="shared" ref="H47:H48" ca="1" si="0">SUM(F47,G47)</f>
        <v>0</v>
      </c>
      <c r="I47" s="34"/>
      <c r="J47" s="34"/>
      <c r="K47" s="37"/>
      <c r="L47" s="34"/>
      <c r="N47" s="37"/>
      <c r="O47" s="34"/>
    </row>
    <row r="48" spans="1:19" x14ac:dyDescent="0.2">
      <c r="B48" s="34"/>
      <c r="C48" s="34"/>
      <c r="D48" s="37" t="str">
        <f>(IF(D42="Gender","",IF(D42="Affluence","",IF(D42="Ethnicity", "Other",0))))</f>
        <v/>
      </c>
      <c r="E48" s="37" t="str">
        <f ca="1">IF(D48="Other",(INDIRECT("'"&amp;B42&amp;" CYP'!AV4")),"")</f>
        <v/>
      </c>
      <c r="F48" s="37" t="str">
        <f ca="1">IF(D48="Other",(INDIRECT("'"&amp;B42&amp;" CYP'!AK4")),"")</f>
        <v/>
      </c>
      <c r="G48" s="37" t="str">
        <f ca="1">IF(D48="Other",(INDIRECT("'"&amp;B42&amp;" CYP'!Z4")),"")</f>
        <v/>
      </c>
      <c r="H48" s="38">
        <f t="shared" ca="1" si="0"/>
        <v>0</v>
      </c>
      <c r="I48" s="34"/>
      <c r="J48" s="34"/>
      <c r="K48" s="37"/>
      <c r="L48" s="34"/>
      <c r="N48" s="37"/>
      <c r="O48" s="34"/>
    </row>
    <row r="49" spans="2:15" x14ac:dyDescent="0.2">
      <c r="B49" s="34"/>
      <c r="C49" s="34"/>
      <c r="D49" s="35"/>
      <c r="E49" s="34"/>
      <c r="F49" s="34"/>
      <c r="G49" s="34"/>
      <c r="H49" s="34"/>
      <c r="I49" s="34"/>
      <c r="J49" s="34"/>
      <c r="K49" s="34"/>
      <c r="N49" s="34"/>
      <c r="O49" s="34"/>
    </row>
    <row r="50" spans="2:15" x14ac:dyDescent="0.2">
      <c r="B50" s="34"/>
      <c r="C50" s="34"/>
      <c r="D50" s="35" t="s">
        <v>146</v>
      </c>
      <c r="E50" s="34"/>
      <c r="F50" s="34"/>
      <c r="G50" s="34"/>
      <c r="H50" s="34"/>
      <c r="I50" s="34"/>
      <c r="J50" s="34"/>
      <c r="K50" s="34"/>
      <c r="M50" s="34"/>
      <c r="N50" s="34"/>
      <c r="O50" s="34"/>
    </row>
    <row r="51" spans="2:15" x14ac:dyDescent="0.2">
      <c r="B51" s="34" t="str">
        <f>Selection!H7</f>
        <v>GM</v>
      </c>
      <c r="C51" s="34"/>
      <c r="D51" s="35" t="str">
        <f>Selection!H18</f>
        <v>Gender</v>
      </c>
      <c r="E51" s="34" t="s">
        <v>119</v>
      </c>
      <c r="F51" s="34" t="s">
        <v>120</v>
      </c>
      <c r="G51" s="34" t="s">
        <v>121</v>
      </c>
      <c r="H51" s="34" t="s">
        <v>99</v>
      </c>
      <c r="I51" s="34"/>
      <c r="J51" s="34"/>
      <c r="K51" s="34"/>
      <c r="M51" s="34"/>
      <c r="N51" s="34"/>
      <c r="O51" s="34"/>
    </row>
    <row r="52" spans="2:15" x14ac:dyDescent="0.2">
      <c r="B52" s="34"/>
      <c r="C52" s="34"/>
      <c r="D52" s="34" t="str">
        <f>(IF(D51="Gender","Boy",IF(D51="Affluence","High",IF(D51="Ethnicity", "White British",0))))</f>
        <v>Boy</v>
      </c>
      <c r="E52" s="37">
        <f ca="1">(IF(D52="High",(INDIRECT("'"&amp;B51&amp;" CYP'!AP3")),IF(D52="Boy",(INDIRECT("'"&amp;B51&amp;" CYP'!AL3")),IF(D52="White British",(INDIRECT("'"&amp;B51&amp;" CYP'!AQ3")),""))))</f>
        <v>0.34356569361219885</v>
      </c>
      <c r="F52" s="37">
        <f ca="1">(IF(D52="High",(INDIRECT("'"&amp;B51&amp;" CYP'!AE3")),IF(D52="Boy",(INDIRECT("'"&amp;B51&amp;" CYP'!AA3")),IF(D52="White British",(INDIRECT("'"&amp;B51&amp;" CYP'!AF3")),""))))</f>
        <v>0.21267674680146503</v>
      </c>
      <c r="G52" s="37">
        <f ca="1">(IF(D52="High",(INDIRECT("'"&amp;B51&amp;" CYP'!T3")),IF(D52="Boy",(INDIRECT("'"&amp;B51&amp;" CYP'!P3")),IF(D52="White British",(INDIRECT("'"&amp;B51&amp;" CYP'!U3")),""))))</f>
        <v>0.44375755958633872</v>
      </c>
      <c r="H52" s="38">
        <f ca="1">SUM(F43,G43)</f>
        <v>0.70485287095223736</v>
      </c>
      <c r="I52" s="34"/>
      <c r="J52" s="34" t="s">
        <v>145</v>
      </c>
      <c r="K52" s="34"/>
      <c r="M52" s="34"/>
      <c r="N52" s="34"/>
      <c r="O52" s="34"/>
    </row>
    <row r="53" spans="2:15" x14ac:dyDescent="0.2">
      <c r="B53" s="34"/>
      <c r="C53" s="34"/>
      <c r="D53" s="34" t="str">
        <f>(IF(D51="Gender","Girl",IF(D51="Affluence","Medium",IF(D51="Ethnicity","White Other",0))))</f>
        <v>Girl</v>
      </c>
      <c r="E53" s="37">
        <f ca="1">(IF(D53="Medium",(INDIRECT("'"&amp;B51&amp;" CYP'!AO3")),IF(D53="Girl",(INDIRECT("'"&amp;B51&amp;" CYP'!AM3")),IF(D53="White Other",(INDIRECT("'"&amp;B51&amp;" CYP'!AR3")),""))))</f>
        <v>0.37276151025771292</v>
      </c>
      <c r="F53" s="37">
        <f ca="1">(IF(D53="Medium",(INDIRECT("'"&amp;B51&amp;" CYP'!AD3")),IF(D53="Girl",(INDIRECT("'"&amp;B51&amp;" CYP'!AB3")),IF(D53="White Other",(INDIRECT("'"&amp;B51&amp;" CYP'!AG3")),""))))</f>
        <v>0.27481971546663037</v>
      </c>
      <c r="G53" s="37">
        <f ca="1">(IF(D53="Medium",(INDIRECT("'"&amp;B51&amp;" CYP'!S3")),IF(D53="Girl",(INDIRECT("'"&amp;B51&amp;" CYP'!Q3")),IF(D53="White Other",(INDIRECT("'"&amp;B51&amp;" CYP'!V3")),""))))</f>
        <v>0.35241877427564333</v>
      </c>
      <c r="H53" s="38">
        <f ca="1">SUM(F44,G44)</f>
        <v>0.66605803257856944</v>
      </c>
      <c r="I53" s="34"/>
      <c r="J53" s="146">
        <f ca="1">IFERROR(IF(D57="Other", NA(), IF(AND(E54="",E53&gt;0,E52&gt;0),E53-E52, IF(AND(E54&gt;0,E52&gt;0),E54-E52,NA()))),NA())</f>
        <v>2.9195816645514072E-2</v>
      </c>
      <c r="K53" s="34"/>
      <c r="M53" s="34"/>
      <c r="N53" s="34"/>
      <c r="O53" s="34"/>
    </row>
    <row r="54" spans="2:15" x14ac:dyDescent="0.2">
      <c r="B54" s="34"/>
      <c r="C54" s="34"/>
      <c r="D54" s="37" t="str">
        <f>(IF(D51="Gender","",IF(D51="Affluence","Low",IF(D51="Ethnicity", "Asian",0))))</f>
        <v/>
      </c>
      <c r="E54" s="37" t="str">
        <f ca="1">(IF(D54="Low",(INDIRECT("'"&amp;B51&amp;" CYP'!AN3")),IF(D54="Asian",(INDIRECT("'"&amp;B51&amp;" CYP'!AS3")),"")))</f>
        <v/>
      </c>
      <c r="F54" s="37" t="str">
        <f ca="1">(IF(D54="Low",(INDIRECT("'"&amp;B51&amp;" CYP'!AC3")),IF(D54="Asian",(INDIRECT("'"&amp;B51&amp;" CYP'!AH3")),"")))</f>
        <v/>
      </c>
      <c r="G54" s="37" t="str">
        <f ca="1">(IF(D54="Low",(INDIRECT("'"&amp;B51&amp;" CYP'!R3")),IF(D54="Asian",(INDIRECT("'"&amp;B51&amp;" CYP'!W3")),"")))</f>
        <v/>
      </c>
      <c r="H54" s="38">
        <f ca="1">SUM(F45,G45)</f>
        <v>0</v>
      </c>
      <c r="I54" s="34"/>
      <c r="J54" s="34"/>
      <c r="K54" s="34"/>
      <c r="L54" s="34"/>
      <c r="M54" s="34"/>
      <c r="N54" s="34"/>
      <c r="O54" s="34"/>
    </row>
    <row r="55" spans="2:15" x14ac:dyDescent="0.2">
      <c r="B55" s="34"/>
      <c r="C55" s="34"/>
      <c r="D55" s="34" t="str">
        <f>(IF(D51="Gender","",IF(D51="Affluence","",IF(D51="Ethnicity", "Black",0))))</f>
        <v/>
      </c>
      <c r="E55" s="37" t="str">
        <f ca="1">(IF(D55="Black",(INDIRECT("'"&amp;B51&amp;" CYP'!AT3")),""))</f>
        <v/>
      </c>
      <c r="F55" s="37" t="str">
        <f ca="1">(IF(D55="Black",(INDIRECT("'"&amp;B51&amp;" CYP'!AI3")),""))</f>
        <v/>
      </c>
      <c r="G55" s="37" t="str">
        <f ca="1">(IF(D55="Black",(INDIRECT("'"&amp;B51&amp;" CYP'!X3")),""))</f>
        <v/>
      </c>
      <c r="H55" s="38">
        <f ca="1">SUM(F46,G46)</f>
        <v>0</v>
      </c>
      <c r="I55" s="34"/>
      <c r="J55" s="34"/>
      <c r="K55" s="34"/>
      <c r="L55" s="34"/>
      <c r="M55" s="34"/>
      <c r="N55" s="34"/>
      <c r="O55" s="34"/>
    </row>
    <row r="56" spans="2:15" x14ac:dyDescent="0.2">
      <c r="B56" s="34"/>
      <c r="C56" s="34"/>
      <c r="D56" s="37" t="str">
        <f>(IF(D51="Gender","",IF(D51="Affluence","",IF(D51="Ethnicity", "Mixed",0))))</f>
        <v/>
      </c>
      <c r="E56" s="37" t="str">
        <f ca="1">IF(D56="Mixed",(INDIRECT("'"&amp;B51&amp;" CYP'!AU3")),"")</f>
        <v/>
      </c>
      <c r="F56" s="37" t="str">
        <f ca="1">IF(D56="Mixed",(INDIRECT("'"&amp;B51&amp;" CYP'!AJ3")),"")</f>
        <v/>
      </c>
      <c r="G56" s="37" t="str">
        <f ca="1">IF(D56="Mixed",(INDIRECT("'"&amp;B51&amp;" CYP'!Y3")),"")</f>
        <v/>
      </c>
      <c r="H56" s="38">
        <f t="shared" ref="H56:H57" ca="1" si="1">SUM(F47,G47)</f>
        <v>0</v>
      </c>
      <c r="I56" s="34"/>
      <c r="J56" s="34"/>
      <c r="K56" s="34"/>
      <c r="M56" s="34"/>
      <c r="N56" s="34"/>
      <c r="O56" s="34"/>
    </row>
    <row r="57" spans="2:15" x14ac:dyDescent="0.2">
      <c r="B57" s="34"/>
      <c r="C57" s="34"/>
      <c r="D57" s="37" t="str">
        <f>(IF(D51="Gender","",IF(D51="Affluence","",IF(D51="Ethnicity", "Other",0))))</f>
        <v/>
      </c>
      <c r="E57" s="37" t="str">
        <f ca="1">IF(D57="Other",(INDIRECT("'"&amp;B51&amp;" CYP'!AV3")),"")</f>
        <v/>
      </c>
      <c r="F57" s="37" t="str">
        <f ca="1">IF(D57="Other",(INDIRECT("'"&amp;B51&amp;" CYP'!AK3")),"")</f>
        <v/>
      </c>
      <c r="G57" s="37" t="str">
        <f ca="1">IF(D57="Other",(INDIRECT("'"&amp;B51&amp;" CYP'!Z3")),"")</f>
        <v/>
      </c>
      <c r="H57" s="38">
        <f t="shared" ca="1" si="1"/>
        <v>0</v>
      </c>
      <c r="I57" s="34"/>
      <c r="J57" s="34"/>
      <c r="K57" s="34"/>
      <c r="L57" s="34"/>
      <c r="M57" s="34"/>
      <c r="N57" s="34"/>
      <c r="O57" s="34"/>
    </row>
    <row r="58" spans="2:15" x14ac:dyDescent="0.2">
      <c r="B58" s="34"/>
      <c r="C58" s="34"/>
      <c r="D58" s="34"/>
      <c r="E58" s="34"/>
      <c r="F58" s="34"/>
      <c r="G58" s="34"/>
      <c r="H58" s="34"/>
      <c r="I58" s="34"/>
      <c r="J58" s="34"/>
      <c r="K58" s="34"/>
      <c r="L58" s="34"/>
      <c r="M58" s="34"/>
      <c r="N58" s="34"/>
      <c r="O58" s="34"/>
    </row>
    <row r="59" spans="2:15" x14ac:dyDescent="0.2">
      <c r="B59" s="34"/>
      <c r="C59" s="34"/>
      <c r="D59" s="34"/>
      <c r="E59" s="34"/>
      <c r="F59" s="34"/>
      <c r="G59" s="34"/>
      <c r="H59" s="34"/>
      <c r="I59" s="34"/>
      <c r="J59" s="34"/>
      <c r="K59" s="34"/>
      <c r="L59" s="34"/>
      <c r="M59" s="34"/>
      <c r="N59" s="34"/>
      <c r="O59" s="34"/>
    </row>
    <row r="60" spans="2:15" x14ac:dyDescent="0.2">
      <c r="B60" s="34"/>
      <c r="C60" s="34"/>
      <c r="D60" s="34"/>
      <c r="E60" s="34"/>
      <c r="F60" s="34"/>
      <c r="G60" s="34"/>
      <c r="H60" s="34"/>
      <c r="I60" s="34"/>
      <c r="J60" s="34"/>
      <c r="K60" s="34"/>
      <c r="L60" s="34"/>
      <c r="M60" s="34"/>
      <c r="N60" s="34"/>
      <c r="O60" s="34"/>
    </row>
    <row r="61" spans="2:15" x14ac:dyDescent="0.2">
      <c r="B61" s="34"/>
      <c r="C61" s="34"/>
      <c r="D61" s="34"/>
      <c r="E61" s="34"/>
      <c r="F61" s="34"/>
      <c r="G61" s="34"/>
      <c r="H61" s="34"/>
      <c r="I61" s="34"/>
      <c r="J61" s="34"/>
      <c r="K61" s="34"/>
      <c r="L61" s="34"/>
      <c r="M61" s="34"/>
      <c r="N61" s="34"/>
      <c r="O61" s="34"/>
    </row>
  </sheetData>
  <mergeCells count="5">
    <mergeCell ref="C4:J4"/>
    <mergeCell ref="C28:J29"/>
    <mergeCell ref="C30:J30"/>
    <mergeCell ref="K33:L33"/>
    <mergeCell ref="C23:J24"/>
  </mergeCells>
  <hyperlinks>
    <hyperlink ref="K33:L33" location="Selection!D6" display="Back to selection"/>
  </hyperlinks>
  <pageMargins left="0.7" right="0.7" top="0.75" bottom="0.75" header="0.3" footer="0.3"/>
  <pageSetup paperSize="9" orientation="portrait" horizontalDpi="4294967293"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E14"/>
  <sheetViews>
    <sheetView workbookViewId="0">
      <selection activeCell="C9" sqref="C9"/>
    </sheetView>
  </sheetViews>
  <sheetFormatPr defaultRowHeight="14.25" x14ac:dyDescent="0.2"/>
  <cols>
    <col min="3" max="3" width="13.5" customWidth="1"/>
    <col min="5" max="5" width="13.5" customWidth="1"/>
  </cols>
  <sheetData>
    <row r="2" spans="1:5" x14ac:dyDescent="0.2">
      <c r="A2" t="s">
        <v>106</v>
      </c>
      <c r="C2" t="s">
        <v>139</v>
      </c>
      <c r="E2" t="s">
        <v>139</v>
      </c>
    </row>
    <row r="3" spans="1:5" x14ac:dyDescent="0.2">
      <c r="A3" t="s">
        <v>109</v>
      </c>
      <c r="C3" t="s">
        <v>140</v>
      </c>
      <c r="E3" t="s">
        <v>140</v>
      </c>
    </row>
    <row r="4" spans="1:5" x14ac:dyDescent="0.2">
      <c r="A4" t="s">
        <v>110</v>
      </c>
      <c r="C4" t="s">
        <v>141</v>
      </c>
      <c r="E4" t="s">
        <v>292</v>
      </c>
    </row>
    <row r="5" spans="1:5" x14ac:dyDescent="0.2">
      <c r="A5" t="s">
        <v>111</v>
      </c>
      <c r="C5" t="s">
        <v>101</v>
      </c>
      <c r="E5" t="s">
        <v>257</v>
      </c>
    </row>
    <row r="6" spans="1:5" x14ac:dyDescent="0.2">
      <c r="A6" t="s">
        <v>112</v>
      </c>
      <c r="C6" t="s">
        <v>142</v>
      </c>
    </row>
    <row r="7" spans="1:5" x14ac:dyDescent="0.2">
      <c r="A7" t="s">
        <v>113</v>
      </c>
      <c r="C7" t="s">
        <v>257</v>
      </c>
    </row>
    <row r="8" spans="1:5" x14ac:dyDescent="0.2">
      <c r="A8" t="s">
        <v>114</v>
      </c>
      <c r="C8" s="29" t="s">
        <v>302</v>
      </c>
    </row>
    <row r="9" spans="1:5" x14ac:dyDescent="0.2">
      <c r="A9" t="s">
        <v>115</v>
      </c>
    </row>
    <row r="10" spans="1:5" x14ac:dyDescent="0.2">
      <c r="A10" t="s">
        <v>116</v>
      </c>
    </row>
    <row r="11" spans="1:5" x14ac:dyDescent="0.2">
      <c r="A11" t="s">
        <v>117</v>
      </c>
    </row>
    <row r="12" spans="1:5" x14ac:dyDescent="0.2">
      <c r="A12" t="s">
        <v>118</v>
      </c>
    </row>
    <row r="13" spans="1:5" x14ac:dyDescent="0.2">
      <c r="A13" t="s">
        <v>108</v>
      </c>
    </row>
    <row r="14" spans="1:5" x14ac:dyDescent="0.2">
      <c r="A14" t="s">
        <v>107</v>
      </c>
    </row>
  </sheetData>
  <pageMargins left="0.7" right="0.7" top="0.75" bottom="0.75" header="0.3" footer="0.3"/>
  <tableParts count="3">
    <tablePart r:id="rId1"/>
    <tablePart r:id="rId2"/>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1:N64"/>
  <sheetViews>
    <sheetView topLeftCell="A16" workbookViewId="0">
      <selection activeCell="E43" sqref="E43"/>
    </sheetView>
  </sheetViews>
  <sheetFormatPr defaultColWidth="8.69921875" defaultRowHeight="14.25" x14ac:dyDescent="0.2"/>
  <cols>
    <col min="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tr">
        <f>"Volunteering Levels Over Time in "&amp;B41&amp;" and "&amp;B45</f>
        <v>Volunteering Levels Over Time in GM and England</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2" x14ac:dyDescent="0.2">
      <c r="B17" s="99"/>
      <c r="C17" s="32"/>
      <c r="D17" s="32"/>
      <c r="E17" s="32"/>
      <c r="F17" s="32"/>
      <c r="G17" s="32"/>
      <c r="H17" s="32"/>
      <c r="I17" s="32"/>
      <c r="J17" s="32"/>
      <c r="K17" s="100"/>
    </row>
    <row r="18" spans="2:12" x14ac:dyDescent="0.2">
      <c r="B18" s="99"/>
      <c r="C18" s="32"/>
      <c r="D18" s="32"/>
      <c r="E18" s="32"/>
      <c r="F18" s="32"/>
      <c r="G18" s="32"/>
      <c r="H18" s="32"/>
      <c r="I18" s="32"/>
      <c r="J18" s="32"/>
      <c r="K18" s="100"/>
    </row>
    <row r="19" spans="2:12" x14ac:dyDescent="0.2">
      <c r="B19" s="99"/>
      <c r="C19" s="32"/>
      <c r="D19" s="32"/>
      <c r="E19" s="32"/>
      <c r="F19" s="32"/>
      <c r="G19" s="32"/>
      <c r="H19" s="32"/>
      <c r="I19" s="32"/>
      <c r="J19" s="32"/>
      <c r="K19" s="100"/>
    </row>
    <row r="20" spans="2:12" x14ac:dyDescent="0.2">
      <c r="B20" s="99"/>
      <c r="C20" s="32"/>
      <c r="D20" s="32"/>
      <c r="E20" s="32"/>
      <c r="F20" s="32"/>
      <c r="G20" s="32"/>
      <c r="H20" s="32"/>
      <c r="I20" s="32"/>
      <c r="J20" s="32"/>
      <c r="K20" s="100"/>
    </row>
    <row r="21" spans="2:12" x14ac:dyDescent="0.2">
      <c r="B21" s="99"/>
      <c r="C21" s="32"/>
      <c r="D21" s="32"/>
      <c r="E21" s="32"/>
      <c r="F21" s="32"/>
      <c r="G21" s="32"/>
      <c r="H21" s="32"/>
      <c r="I21" s="32"/>
      <c r="J21" s="32"/>
      <c r="K21" s="100"/>
    </row>
    <row r="22" spans="2:12" x14ac:dyDescent="0.2">
      <c r="B22" s="99"/>
      <c r="C22" s="32"/>
      <c r="D22" s="32"/>
      <c r="E22" s="32"/>
      <c r="F22" s="32"/>
      <c r="G22" s="32"/>
      <c r="H22" s="32"/>
      <c r="I22" s="32"/>
      <c r="J22" s="32"/>
      <c r="K22" s="100"/>
    </row>
    <row r="23" spans="2:12" x14ac:dyDescent="0.2">
      <c r="B23" s="99"/>
      <c r="C23" s="226" t="s">
        <v>309</v>
      </c>
      <c r="D23" s="226"/>
      <c r="E23" s="226"/>
      <c r="F23" s="226"/>
      <c r="G23" s="226"/>
      <c r="H23" s="226"/>
      <c r="I23" s="226"/>
      <c r="J23" s="226"/>
      <c r="K23" s="100"/>
    </row>
    <row r="24" spans="2:12" x14ac:dyDescent="0.2">
      <c r="B24" s="99"/>
      <c r="C24" s="226"/>
      <c r="D24" s="226"/>
      <c r="E24" s="226"/>
      <c r="F24" s="226"/>
      <c r="G24" s="226"/>
      <c r="H24" s="226"/>
      <c r="I24" s="226"/>
      <c r="J24" s="226"/>
      <c r="K24" s="100"/>
    </row>
    <row r="25" spans="2:12" ht="15" thickBot="1" x14ac:dyDescent="0.25">
      <c r="B25" s="101"/>
      <c r="C25" s="23"/>
      <c r="D25" s="23"/>
      <c r="E25" s="23"/>
      <c r="F25" s="23"/>
      <c r="G25" s="23"/>
      <c r="H25" s="23"/>
      <c r="I25" s="23"/>
      <c r="J25" s="23"/>
      <c r="K25" s="102"/>
    </row>
    <row r="26" spans="2:12" ht="15.75" thickTop="1" thickBot="1" x14ac:dyDescent="0.25"/>
    <row r="27" spans="2:12" x14ac:dyDescent="0.2">
      <c r="B27" s="103"/>
      <c r="C27" s="104"/>
      <c r="D27" s="104"/>
      <c r="E27" s="104"/>
      <c r="F27" s="104"/>
      <c r="G27" s="104"/>
      <c r="H27" s="104"/>
      <c r="I27" s="104"/>
      <c r="J27" s="104"/>
      <c r="K27" s="105"/>
    </row>
    <row r="28" spans="2:12" x14ac:dyDescent="0.2">
      <c r="B28" s="106"/>
      <c r="C28" s="222" t="str">
        <f ca="1">CONCATENATE("The percentage of young people volunteering in ",B41, " has ", (IF(E43&gt;E42, "increased ", "decreased ")), "by ", (TEXT((ABS(E43-E42)), "0.0%")), " this compares to a ", (TEXT((ABS(E47-E46)),"0.0%")), (IF(E47&gt;E46, " increase "," decrease ")), "in ",B45,".")</f>
        <v>The percentage of young people volunteering in GM has increased by 1.5% this compares to a 0.4% increase in England.</v>
      </c>
      <c r="D28" s="222"/>
      <c r="E28" s="222"/>
      <c r="F28" s="222"/>
      <c r="G28" s="222"/>
      <c r="H28" s="222"/>
      <c r="I28" s="222"/>
      <c r="J28" s="222"/>
      <c r="K28" s="107"/>
    </row>
    <row r="29" spans="2:12" x14ac:dyDescent="0.2">
      <c r="B29" s="106"/>
      <c r="C29" s="222"/>
      <c r="D29" s="222"/>
      <c r="E29" s="222"/>
      <c r="F29" s="222"/>
      <c r="G29" s="222"/>
      <c r="H29" s="222"/>
      <c r="I29" s="222"/>
      <c r="J29" s="222"/>
      <c r="K29" s="107"/>
    </row>
    <row r="30" spans="2:12" ht="15" thickBot="1" x14ac:dyDescent="0.25">
      <c r="B30" s="108"/>
      <c r="C30" s="109"/>
      <c r="D30" s="109"/>
      <c r="E30" s="109"/>
      <c r="F30" s="109"/>
      <c r="G30" s="109"/>
      <c r="H30" s="109"/>
      <c r="I30" s="109"/>
      <c r="J30" s="109"/>
      <c r="K30" s="110"/>
    </row>
    <row r="32" spans="2:12" x14ac:dyDescent="0.2">
      <c r="K32" s="195" t="s">
        <v>147</v>
      </c>
      <c r="L32" s="195"/>
    </row>
    <row r="37" spans="2:14" x14ac:dyDescent="0.2">
      <c r="B37" s="34"/>
      <c r="C37" s="34"/>
      <c r="D37" s="34"/>
      <c r="E37" s="34"/>
      <c r="F37" s="34"/>
      <c r="G37" s="34"/>
      <c r="H37" s="34"/>
      <c r="I37" s="34"/>
      <c r="J37" s="34"/>
      <c r="K37" s="34"/>
      <c r="L37" s="34"/>
      <c r="M37" s="34"/>
      <c r="N37" s="34"/>
    </row>
    <row r="38" spans="2:14" x14ac:dyDescent="0.2">
      <c r="B38" s="34"/>
      <c r="C38" s="34"/>
      <c r="D38" s="34"/>
      <c r="E38" s="34"/>
      <c r="F38" s="34"/>
      <c r="G38" s="34"/>
      <c r="H38" s="34"/>
      <c r="I38" s="34"/>
      <c r="J38" s="34"/>
      <c r="K38" s="34"/>
      <c r="L38" s="34"/>
      <c r="M38" s="34"/>
      <c r="N38" s="34"/>
    </row>
    <row r="39" spans="2:14" x14ac:dyDescent="0.2">
      <c r="B39" s="34"/>
      <c r="C39" s="34"/>
      <c r="D39" s="34"/>
      <c r="E39" s="34"/>
      <c r="F39" s="34"/>
      <c r="G39" s="34"/>
      <c r="H39" s="34"/>
      <c r="I39" s="34"/>
      <c r="J39" s="34"/>
      <c r="K39" s="34"/>
      <c r="L39" s="34"/>
      <c r="M39" s="34"/>
      <c r="N39" s="34"/>
    </row>
    <row r="40" spans="2:14" x14ac:dyDescent="0.2">
      <c r="B40" s="34"/>
      <c r="C40" s="34"/>
      <c r="D40" s="34"/>
      <c r="E40" s="34"/>
      <c r="F40" s="34"/>
      <c r="G40" s="34"/>
      <c r="H40" s="34"/>
      <c r="I40" s="34"/>
      <c r="J40" s="34"/>
      <c r="K40" s="34"/>
      <c r="L40" s="34"/>
      <c r="M40" s="34"/>
      <c r="N40" s="34"/>
    </row>
    <row r="41" spans="2:14" x14ac:dyDescent="0.2">
      <c r="B41" s="34" t="str">
        <f>Selection!H7</f>
        <v>GM</v>
      </c>
      <c r="C41" s="34"/>
      <c r="D41" s="34"/>
      <c r="E41" s="34" t="s">
        <v>301</v>
      </c>
      <c r="F41" s="34"/>
      <c r="G41" s="34"/>
      <c r="H41" s="34"/>
      <c r="I41" s="34"/>
      <c r="J41" s="34"/>
      <c r="K41" s="34"/>
    </row>
    <row r="42" spans="2:14" x14ac:dyDescent="0.2">
      <c r="B42" s="34"/>
      <c r="C42" s="34"/>
      <c r="D42" s="36" t="s">
        <v>132</v>
      </c>
      <c r="E42" s="37">
        <f ca="1">INDIRECT("'"&amp;B41&amp;" CYP'!M3")</f>
        <v>0.34429999999999999</v>
      </c>
      <c r="F42" s="34"/>
      <c r="G42" s="34"/>
      <c r="H42" s="34"/>
      <c r="I42" s="34"/>
      <c r="J42" s="34"/>
      <c r="K42" s="34"/>
    </row>
    <row r="43" spans="2:14" x14ac:dyDescent="0.2">
      <c r="B43" s="34"/>
      <c r="C43" s="34"/>
      <c r="D43" s="36" t="s">
        <v>133</v>
      </c>
      <c r="E43" s="37">
        <f ca="1">INDIRECT("'"&amp;B41&amp;" CYP'!M4")</f>
        <v>0.35899999999999999</v>
      </c>
      <c r="F43" s="34"/>
      <c r="G43" s="34"/>
      <c r="H43" s="34"/>
      <c r="I43" s="34"/>
      <c r="J43" s="34"/>
      <c r="K43" s="34"/>
    </row>
    <row r="44" spans="2:14" x14ac:dyDescent="0.2">
      <c r="B44" s="34"/>
      <c r="C44" s="34"/>
      <c r="D44" s="35"/>
      <c r="E44" s="34"/>
      <c r="F44" s="34"/>
      <c r="G44" s="34"/>
      <c r="H44" s="34"/>
      <c r="I44" s="34"/>
      <c r="J44" s="34"/>
      <c r="K44" s="34"/>
    </row>
    <row r="45" spans="2:14" x14ac:dyDescent="0.2">
      <c r="B45" s="34" t="str">
        <f>Selection!H12</f>
        <v>England</v>
      </c>
      <c r="C45" s="34"/>
      <c r="D45" s="34"/>
      <c r="E45" s="34" t="s">
        <v>301</v>
      </c>
      <c r="F45" s="34"/>
      <c r="G45" s="34"/>
      <c r="H45" s="34"/>
      <c r="I45" s="34"/>
      <c r="J45" s="34"/>
      <c r="K45" s="34"/>
    </row>
    <row r="46" spans="2:14" x14ac:dyDescent="0.2">
      <c r="B46" s="34"/>
      <c r="C46" s="34"/>
      <c r="D46" s="36" t="s">
        <v>132</v>
      </c>
      <c r="E46" s="37">
        <f ca="1">INDIRECT("'"&amp;B45&amp;" CYP'!M3")</f>
        <v>0.37640000000000001</v>
      </c>
      <c r="F46" s="34"/>
      <c r="G46" s="34"/>
      <c r="H46" s="34"/>
      <c r="I46" s="34"/>
      <c r="J46" s="34"/>
      <c r="K46" s="34"/>
    </row>
    <row r="47" spans="2:14" x14ac:dyDescent="0.2">
      <c r="B47" s="34"/>
      <c r="C47" s="34"/>
      <c r="D47" s="36" t="s">
        <v>133</v>
      </c>
      <c r="E47" s="37">
        <f ca="1">INDIRECT("'"&amp;B45&amp;" CYP'!M4")</f>
        <v>0.37990000000000002</v>
      </c>
      <c r="F47" s="34"/>
      <c r="G47" s="34"/>
      <c r="H47" s="34"/>
      <c r="I47" s="34"/>
      <c r="J47" s="34"/>
      <c r="K47" s="34"/>
    </row>
    <row r="48" spans="2:14" x14ac:dyDescent="0.2">
      <c r="B48" s="34"/>
      <c r="C48" s="34"/>
      <c r="D48" s="34"/>
      <c r="E48" s="34"/>
      <c r="F48" s="34"/>
      <c r="G48" s="34"/>
      <c r="H48" s="34"/>
      <c r="I48" s="34"/>
      <c r="J48" s="34"/>
      <c r="K48" s="34"/>
      <c r="L48" s="34"/>
      <c r="M48" s="34"/>
      <c r="N48" s="34"/>
    </row>
    <row r="49" spans="2:14" x14ac:dyDescent="0.2">
      <c r="B49" s="34"/>
      <c r="C49" s="34"/>
      <c r="D49" s="34"/>
      <c r="E49" s="34"/>
      <c r="F49" s="34"/>
      <c r="G49" s="34"/>
      <c r="H49" s="34"/>
      <c r="I49" s="34"/>
      <c r="J49" s="34"/>
      <c r="K49" s="34"/>
      <c r="L49" s="34"/>
      <c r="M49" s="34"/>
      <c r="N49" s="34"/>
    </row>
    <row r="50" spans="2:14" x14ac:dyDescent="0.2">
      <c r="B50" s="34"/>
      <c r="C50" s="34"/>
      <c r="D50" s="34"/>
      <c r="E50" s="34"/>
      <c r="F50" s="34"/>
      <c r="G50" s="34"/>
      <c r="H50" s="34"/>
      <c r="I50" s="34"/>
      <c r="J50" s="34"/>
      <c r="K50" s="34"/>
      <c r="L50" s="34"/>
      <c r="M50" s="34"/>
      <c r="N50" s="34"/>
    </row>
    <row r="51" spans="2:14" x14ac:dyDescent="0.2">
      <c r="B51" s="34"/>
      <c r="C51" s="34"/>
      <c r="D51" s="34"/>
      <c r="E51" s="34"/>
      <c r="F51" s="34"/>
      <c r="G51" s="34"/>
      <c r="H51" s="34"/>
      <c r="I51" s="34"/>
      <c r="J51" s="34"/>
      <c r="K51" s="34"/>
      <c r="L51" s="34"/>
      <c r="M51" s="34"/>
      <c r="N51" s="34"/>
    </row>
    <row r="52" spans="2:14" x14ac:dyDescent="0.2">
      <c r="B52" s="34"/>
      <c r="C52" s="34"/>
      <c r="D52" s="34"/>
      <c r="E52" s="34"/>
      <c r="F52" s="34"/>
      <c r="G52" s="34"/>
      <c r="H52" s="34"/>
      <c r="I52" s="34"/>
      <c r="J52" s="34"/>
      <c r="K52" s="34"/>
      <c r="L52" s="34"/>
      <c r="M52" s="34"/>
      <c r="N52" s="34"/>
    </row>
    <row r="53" spans="2:14" x14ac:dyDescent="0.2">
      <c r="B53" s="34"/>
      <c r="C53" s="34"/>
      <c r="D53" s="34"/>
      <c r="E53" s="34"/>
      <c r="F53" s="34"/>
      <c r="G53" s="34"/>
      <c r="H53" s="34"/>
      <c r="I53" s="34"/>
      <c r="J53" s="34"/>
      <c r="K53" s="34"/>
      <c r="L53" s="34"/>
      <c r="M53" s="34"/>
      <c r="N53" s="34"/>
    </row>
    <row r="54" spans="2:14" x14ac:dyDescent="0.2">
      <c r="B54" s="34"/>
      <c r="C54" s="34"/>
      <c r="D54" s="34"/>
      <c r="E54" s="34"/>
      <c r="F54" s="34"/>
      <c r="G54" s="34"/>
      <c r="H54" s="34"/>
      <c r="I54" s="34"/>
      <c r="J54" s="34"/>
      <c r="K54" s="34"/>
      <c r="L54" s="34"/>
      <c r="M54" s="34"/>
      <c r="N54" s="34"/>
    </row>
    <row r="55" spans="2:14" x14ac:dyDescent="0.2">
      <c r="B55" s="34"/>
      <c r="C55" s="34"/>
      <c r="D55" s="34"/>
      <c r="E55" s="34"/>
      <c r="F55" s="34"/>
      <c r="G55" s="34"/>
      <c r="H55" s="34"/>
      <c r="I55" s="34"/>
      <c r="J55" s="34"/>
      <c r="K55" s="34"/>
      <c r="L55" s="34"/>
      <c r="M55" s="34"/>
      <c r="N55" s="34"/>
    </row>
    <row r="56" spans="2:14" x14ac:dyDescent="0.2">
      <c r="B56" s="34"/>
      <c r="C56" s="34"/>
      <c r="D56" s="34"/>
      <c r="E56" s="34"/>
      <c r="F56" s="34"/>
      <c r="G56" s="34"/>
      <c r="H56" s="34"/>
      <c r="I56" s="34"/>
      <c r="J56" s="34"/>
      <c r="K56" s="34"/>
      <c r="L56" s="34"/>
      <c r="M56" s="34"/>
      <c r="N56" s="34"/>
    </row>
    <row r="57" spans="2:14" x14ac:dyDescent="0.2">
      <c r="B57" s="34"/>
      <c r="C57" s="34"/>
      <c r="D57" s="34"/>
      <c r="E57" s="34"/>
      <c r="F57" s="34"/>
      <c r="G57" s="34"/>
      <c r="H57" s="34"/>
      <c r="I57" s="34"/>
      <c r="J57" s="34"/>
      <c r="K57" s="34"/>
      <c r="L57" s="34"/>
      <c r="M57" s="34"/>
      <c r="N57" s="34"/>
    </row>
    <row r="58" spans="2:14" x14ac:dyDescent="0.2">
      <c r="B58" s="34"/>
      <c r="C58" s="34"/>
      <c r="D58" s="34"/>
      <c r="E58" s="34"/>
      <c r="F58" s="34"/>
      <c r="G58" s="34"/>
      <c r="H58" s="34"/>
      <c r="I58" s="34"/>
      <c r="J58" s="34"/>
      <c r="K58" s="34"/>
      <c r="L58" s="34"/>
      <c r="M58" s="34"/>
      <c r="N58" s="34"/>
    </row>
    <row r="59" spans="2:14" x14ac:dyDescent="0.2">
      <c r="B59" s="34"/>
      <c r="C59" s="34"/>
      <c r="D59" s="34"/>
      <c r="E59" s="34"/>
      <c r="F59" s="34"/>
      <c r="G59" s="34"/>
      <c r="H59" s="34"/>
      <c r="I59" s="34"/>
      <c r="J59" s="34"/>
      <c r="K59" s="34"/>
      <c r="L59" s="34"/>
      <c r="M59" s="34"/>
      <c r="N59" s="34"/>
    </row>
    <row r="60" spans="2:14" x14ac:dyDescent="0.2">
      <c r="B60" s="34"/>
      <c r="C60" s="34"/>
      <c r="D60" s="34"/>
      <c r="E60" s="34"/>
      <c r="F60" s="34"/>
      <c r="G60" s="34"/>
      <c r="H60" s="34"/>
      <c r="I60" s="34"/>
      <c r="J60" s="34"/>
      <c r="K60" s="34"/>
      <c r="L60" s="34"/>
      <c r="M60" s="34"/>
      <c r="N60" s="34"/>
    </row>
    <row r="61" spans="2:14" x14ac:dyDescent="0.2">
      <c r="B61" s="34"/>
      <c r="C61" s="34"/>
      <c r="D61" s="34"/>
      <c r="E61" s="34"/>
      <c r="F61" s="34"/>
      <c r="G61" s="34"/>
      <c r="H61" s="34"/>
      <c r="I61" s="34"/>
      <c r="J61" s="34"/>
      <c r="K61" s="34"/>
      <c r="L61" s="34"/>
      <c r="M61" s="34"/>
      <c r="N61" s="34"/>
    </row>
    <row r="62" spans="2:14" x14ac:dyDescent="0.2">
      <c r="B62" s="34"/>
      <c r="C62" s="34"/>
      <c r="D62" s="34"/>
      <c r="E62" s="34"/>
      <c r="F62" s="34"/>
      <c r="G62" s="34"/>
      <c r="H62" s="34"/>
      <c r="I62" s="34"/>
      <c r="J62" s="34"/>
      <c r="K62" s="34"/>
      <c r="L62" s="34"/>
      <c r="M62" s="34"/>
      <c r="N62" s="34"/>
    </row>
    <row r="63" spans="2:14" x14ac:dyDescent="0.2">
      <c r="B63" s="34"/>
      <c r="C63" s="34"/>
      <c r="D63" s="34"/>
      <c r="E63" s="34"/>
      <c r="F63" s="34"/>
      <c r="G63" s="34"/>
      <c r="H63" s="34"/>
      <c r="I63" s="34"/>
      <c r="J63" s="34"/>
      <c r="K63" s="34"/>
      <c r="L63" s="34"/>
      <c r="M63" s="34"/>
      <c r="N63" s="34"/>
    </row>
    <row r="64" spans="2:14" x14ac:dyDescent="0.2">
      <c r="B64" s="34"/>
      <c r="C64" s="34"/>
      <c r="D64" s="34"/>
      <c r="E64" s="34"/>
      <c r="F64" s="34"/>
      <c r="G64" s="34"/>
      <c r="H64" s="34"/>
      <c r="I64" s="34"/>
      <c r="J64" s="34"/>
      <c r="K64" s="34"/>
      <c r="L64" s="34"/>
      <c r="M64" s="34"/>
      <c r="N64" s="34"/>
    </row>
  </sheetData>
  <sheetProtection selectLockedCells="1"/>
  <mergeCells count="4">
    <mergeCell ref="C4:J4"/>
    <mergeCell ref="C23:J24"/>
    <mergeCell ref="C28:J29"/>
    <mergeCell ref="K32:L32"/>
  </mergeCells>
  <hyperlinks>
    <hyperlink ref="K32:L32" location="Selection!D14" display="Back to selection"/>
  </hyperlink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1:W90"/>
  <sheetViews>
    <sheetView showZeros="0" topLeftCell="A7" workbookViewId="0">
      <selection activeCell="D37" sqref="D37"/>
    </sheetView>
  </sheetViews>
  <sheetFormatPr defaultColWidth="8.69921875" defaultRowHeight="14.25" x14ac:dyDescent="0.2"/>
  <cols>
    <col min="1" max="3" width="8.69921875" style="7"/>
    <col min="4" max="4" width="9.5" style="7" bestFit="1" customWidth="1"/>
    <col min="5" max="5" width="12.19921875" style="7" customWidth="1"/>
    <col min="6" max="9" width="8.69921875" style="7"/>
    <col min="10" max="10" width="12.5" style="7" customWidth="1"/>
    <col min="11" max="16384" width="8.69921875" style="7"/>
  </cols>
  <sheetData>
    <row r="1" spans="2:11" ht="15" thickBot="1" x14ac:dyDescent="0.25"/>
    <row r="2" spans="2:11" ht="15" thickTop="1" x14ac:dyDescent="0.2">
      <c r="B2" s="96"/>
      <c r="C2" s="97"/>
      <c r="D2" s="97"/>
      <c r="E2" s="97"/>
      <c r="F2" s="97"/>
      <c r="G2" s="97"/>
      <c r="H2" s="97"/>
      <c r="I2" s="97"/>
      <c r="J2" s="97"/>
      <c r="K2" s="98"/>
    </row>
    <row r="3" spans="2:11" x14ac:dyDescent="0.2">
      <c r="B3" s="99"/>
      <c r="C3" s="32"/>
      <c r="D3" s="32"/>
      <c r="E3" s="32"/>
      <c r="F3" s="32"/>
      <c r="G3" s="32"/>
      <c r="H3" s="32"/>
      <c r="I3" s="32"/>
      <c r="J3" s="32"/>
      <c r="K3" s="100"/>
    </row>
    <row r="4" spans="2:11" x14ac:dyDescent="0.2">
      <c r="B4" s="99"/>
      <c r="C4" s="205" t="s">
        <v>310</v>
      </c>
      <c r="D4" s="205"/>
      <c r="E4" s="205"/>
      <c r="F4" s="205"/>
      <c r="G4" s="205"/>
      <c r="H4" s="205"/>
      <c r="I4" s="205"/>
      <c r="J4" s="205"/>
      <c r="K4" s="100"/>
    </row>
    <row r="5" spans="2:11" x14ac:dyDescent="0.2">
      <c r="B5" s="99"/>
      <c r="C5" s="32"/>
      <c r="D5" s="32"/>
      <c r="E5" s="32"/>
      <c r="F5" s="32"/>
      <c r="G5" s="32"/>
      <c r="H5" s="32"/>
      <c r="I5" s="32"/>
      <c r="J5" s="32"/>
      <c r="K5" s="100"/>
    </row>
    <row r="6" spans="2:11" x14ac:dyDescent="0.2">
      <c r="B6" s="99"/>
      <c r="C6" s="32"/>
      <c r="D6" s="32"/>
      <c r="E6" s="32"/>
      <c r="F6" s="32"/>
      <c r="G6" s="32"/>
      <c r="H6" s="32"/>
      <c r="I6" s="32"/>
      <c r="J6" s="32"/>
      <c r="K6" s="100"/>
    </row>
    <row r="7" spans="2:11" x14ac:dyDescent="0.2">
      <c r="B7" s="99"/>
      <c r="C7" s="32"/>
      <c r="D7" s="32"/>
      <c r="E7" s="32"/>
      <c r="F7" s="32"/>
      <c r="G7" s="32"/>
      <c r="H7" s="32"/>
      <c r="I7" s="32"/>
      <c r="J7" s="32"/>
      <c r="K7" s="100"/>
    </row>
    <row r="8" spans="2:11" x14ac:dyDescent="0.2">
      <c r="B8" s="99"/>
      <c r="C8" s="32"/>
      <c r="D8" s="32"/>
      <c r="E8" s="32"/>
      <c r="F8" s="32"/>
      <c r="G8" s="32"/>
      <c r="H8" s="32"/>
      <c r="I8" s="32"/>
      <c r="J8" s="32"/>
      <c r="K8" s="100"/>
    </row>
    <row r="9" spans="2:11" x14ac:dyDescent="0.2">
      <c r="B9" s="99"/>
      <c r="C9" s="32"/>
      <c r="D9" s="32"/>
      <c r="E9" s="32"/>
      <c r="F9" s="32"/>
      <c r="G9" s="32"/>
      <c r="H9" s="32"/>
      <c r="I9" s="32"/>
      <c r="J9" s="32"/>
      <c r="K9" s="100"/>
    </row>
    <row r="10" spans="2:11" x14ac:dyDescent="0.2">
      <c r="B10" s="99"/>
      <c r="C10" s="32"/>
      <c r="D10" s="32"/>
      <c r="E10" s="32"/>
      <c r="F10" s="32"/>
      <c r="G10" s="32"/>
      <c r="H10" s="32"/>
      <c r="I10" s="32"/>
      <c r="J10" s="32"/>
      <c r="K10" s="100"/>
    </row>
    <row r="11" spans="2:11" x14ac:dyDescent="0.2">
      <c r="B11" s="99"/>
      <c r="C11" s="32"/>
      <c r="D11" s="32"/>
      <c r="E11" s="32"/>
      <c r="F11" s="32"/>
      <c r="G11" s="32"/>
      <c r="H11" s="32"/>
      <c r="I11" s="32"/>
      <c r="J11" s="32"/>
      <c r="K11" s="100"/>
    </row>
    <row r="12" spans="2:11" x14ac:dyDescent="0.2">
      <c r="B12" s="99"/>
      <c r="C12" s="32"/>
      <c r="D12" s="32"/>
      <c r="E12" s="32"/>
      <c r="F12" s="32"/>
      <c r="G12" s="32"/>
      <c r="H12" s="32"/>
      <c r="I12" s="32"/>
      <c r="J12" s="32"/>
      <c r="K12" s="100"/>
    </row>
    <row r="13" spans="2:11" x14ac:dyDescent="0.2">
      <c r="B13" s="99"/>
      <c r="C13" s="32"/>
      <c r="D13" s="32"/>
      <c r="E13" s="32"/>
      <c r="F13" s="32"/>
      <c r="G13" s="32"/>
      <c r="H13" s="32"/>
      <c r="I13" s="32"/>
      <c r="J13" s="32"/>
      <c r="K13" s="100"/>
    </row>
    <row r="14" spans="2:11" x14ac:dyDescent="0.2">
      <c r="B14" s="99"/>
      <c r="C14" s="32"/>
      <c r="D14" s="32"/>
      <c r="E14" s="32"/>
      <c r="F14" s="32"/>
      <c r="G14" s="32"/>
      <c r="H14" s="32"/>
      <c r="I14" s="32"/>
      <c r="J14" s="32"/>
      <c r="K14" s="100"/>
    </row>
    <row r="15" spans="2:11" x14ac:dyDescent="0.2">
      <c r="B15" s="99"/>
      <c r="C15" s="32"/>
      <c r="D15" s="32"/>
      <c r="E15" s="32"/>
      <c r="F15" s="32"/>
      <c r="G15" s="32"/>
      <c r="H15" s="32"/>
      <c r="I15" s="32"/>
      <c r="J15" s="32"/>
      <c r="K15" s="100"/>
    </row>
    <row r="16" spans="2:11" x14ac:dyDescent="0.2">
      <c r="B16" s="99"/>
      <c r="C16" s="32"/>
      <c r="D16" s="32"/>
      <c r="E16" s="32"/>
      <c r="F16" s="32"/>
      <c r="G16" s="32"/>
      <c r="H16" s="32"/>
      <c r="I16" s="32"/>
      <c r="J16" s="32"/>
      <c r="K16" s="100"/>
    </row>
    <row r="17" spans="2:12" x14ac:dyDescent="0.2">
      <c r="B17" s="99"/>
      <c r="C17" s="32"/>
      <c r="D17" s="32"/>
      <c r="E17" s="32"/>
      <c r="F17" s="32"/>
      <c r="G17" s="32"/>
      <c r="H17" s="32"/>
      <c r="I17" s="32"/>
      <c r="J17" s="32"/>
      <c r="K17" s="100"/>
    </row>
    <row r="18" spans="2:12" x14ac:dyDescent="0.2">
      <c r="B18" s="99"/>
      <c r="C18" s="32"/>
      <c r="D18" s="32"/>
      <c r="E18" s="32"/>
      <c r="F18" s="32"/>
      <c r="G18" s="32"/>
      <c r="H18" s="32"/>
      <c r="I18" s="32"/>
      <c r="J18" s="32"/>
      <c r="K18" s="100"/>
    </row>
    <row r="19" spans="2:12" x14ac:dyDescent="0.2">
      <c r="B19" s="99"/>
      <c r="C19" s="32"/>
      <c r="D19" s="32"/>
      <c r="E19" s="32"/>
      <c r="F19" s="32"/>
      <c r="G19" s="32"/>
      <c r="H19" s="32"/>
      <c r="I19" s="32"/>
      <c r="J19" s="32"/>
      <c r="K19" s="100"/>
    </row>
    <row r="20" spans="2:12" x14ac:dyDescent="0.2">
      <c r="B20" s="99"/>
      <c r="C20" s="32"/>
      <c r="D20" s="32"/>
      <c r="E20" s="32"/>
      <c r="F20" s="32"/>
      <c r="G20" s="32"/>
      <c r="H20" s="32"/>
      <c r="I20" s="32"/>
      <c r="J20" s="32"/>
      <c r="K20" s="100"/>
    </row>
    <row r="21" spans="2:12" x14ac:dyDescent="0.2">
      <c r="B21" s="99"/>
      <c r="C21" s="32"/>
      <c r="D21" s="32"/>
      <c r="E21" s="32"/>
      <c r="F21" s="32"/>
      <c r="G21" s="32"/>
      <c r="H21" s="32"/>
      <c r="I21" s="32"/>
      <c r="J21" s="32"/>
      <c r="K21" s="100"/>
    </row>
    <row r="22" spans="2:12" x14ac:dyDescent="0.2">
      <c r="B22" s="99"/>
      <c r="C22" s="32"/>
      <c r="D22" s="32"/>
      <c r="E22" s="32"/>
      <c r="F22" s="32"/>
      <c r="G22" s="32"/>
      <c r="H22" s="32"/>
      <c r="I22" s="32"/>
      <c r="J22" s="32"/>
      <c r="K22" s="100"/>
    </row>
    <row r="23" spans="2:12" x14ac:dyDescent="0.2">
      <c r="B23" s="99"/>
      <c r="C23" s="221" t="s">
        <v>311</v>
      </c>
      <c r="D23" s="221"/>
      <c r="E23" s="221"/>
      <c r="F23" s="221"/>
      <c r="G23" s="221"/>
      <c r="H23" s="221"/>
      <c r="I23" s="221"/>
      <c r="J23" s="221"/>
      <c r="K23" s="100"/>
    </row>
    <row r="24" spans="2:12" ht="15" thickBot="1" x14ac:dyDescent="0.25">
      <c r="B24" s="101"/>
      <c r="C24" s="23"/>
      <c r="D24" s="23"/>
      <c r="E24" s="23"/>
      <c r="F24" s="23"/>
      <c r="G24" s="23"/>
      <c r="H24" s="23"/>
      <c r="I24" s="23"/>
      <c r="J24" s="23"/>
      <c r="K24" s="102"/>
    </row>
    <row r="25" spans="2:12" ht="15.75" thickTop="1" thickBot="1" x14ac:dyDescent="0.25"/>
    <row r="26" spans="2:12" x14ac:dyDescent="0.2">
      <c r="B26" s="103"/>
      <c r="C26" s="104"/>
      <c r="D26" s="104"/>
      <c r="E26" s="104"/>
      <c r="F26" s="104"/>
      <c r="G26" s="104"/>
      <c r="H26" s="104"/>
      <c r="I26" s="104"/>
      <c r="J26" s="104"/>
      <c r="K26" s="105"/>
    </row>
    <row r="27" spans="2:12" ht="13.9" customHeight="1" x14ac:dyDescent="0.2">
      <c r="B27" s="106"/>
      <c r="C27" s="222" t="str">
        <f ca="1">CONCATENATE("The volunteering levels in Greater Manchester vary from ", (TEXT((ABS(E41)),"0.0%")), " in ", E42, " to ", (TEXT((ABS(F41)),"0.0%")), " in ",F42, ". ", (COUNTIF(C42:C51,"&lt;"&amp;C40)), " boroughs in Greater Manchester have a lower rate of volunteering than the national average." )</f>
        <v>The volunteering levels in Greater Manchester vary from 23.5% in Bolton to 46.9% in Trafford. 8 boroughs in Greater Manchester have a lower rate of volunteering than the national average.</v>
      </c>
      <c r="D27" s="222"/>
      <c r="E27" s="222"/>
      <c r="F27" s="222"/>
      <c r="G27" s="222"/>
      <c r="H27" s="222"/>
      <c r="I27" s="222"/>
      <c r="J27" s="222"/>
      <c r="K27" s="107"/>
    </row>
    <row r="28" spans="2:12" x14ac:dyDescent="0.2">
      <c r="B28" s="106"/>
      <c r="C28" s="222"/>
      <c r="D28" s="222"/>
      <c r="E28" s="222"/>
      <c r="F28" s="222"/>
      <c r="G28" s="222"/>
      <c r="H28" s="222"/>
      <c r="I28" s="222"/>
      <c r="J28" s="222"/>
      <c r="K28" s="107"/>
    </row>
    <row r="29" spans="2:12" x14ac:dyDescent="0.2">
      <c r="B29" s="106"/>
      <c r="C29" s="222"/>
      <c r="D29" s="222"/>
      <c r="E29" s="222"/>
      <c r="F29" s="222"/>
      <c r="G29" s="222"/>
      <c r="H29" s="222"/>
      <c r="I29" s="222"/>
      <c r="J29" s="222"/>
      <c r="K29" s="107"/>
    </row>
    <row r="30" spans="2:12" ht="15" thickBot="1" x14ac:dyDescent="0.25">
      <c r="B30" s="108"/>
      <c r="C30" s="109"/>
      <c r="D30" s="109"/>
      <c r="E30" s="109"/>
      <c r="F30" s="109"/>
      <c r="G30" s="109"/>
      <c r="H30" s="109"/>
      <c r="I30" s="109"/>
      <c r="J30" s="109"/>
      <c r="K30" s="110"/>
    </row>
    <row r="32" spans="2:12" x14ac:dyDescent="0.2">
      <c r="K32" s="195" t="s">
        <v>147</v>
      </c>
      <c r="L32" s="195"/>
    </row>
    <row r="33" spans="2:21" x14ac:dyDescent="0.2">
      <c r="B33" s="67"/>
      <c r="C33" s="34"/>
      <c r="D33" s="34"/>
      <c r="E33" s="34"/>
      <c r="F33" s="34"/>
      <c r="G33" s="34"/>
      <c r="H33" s="34"/>
      <c r="I33" s="34"/>
      <c r="J33" s="34"/>
      <c r="K33" s="34"/>
      <c r="L33" s="34"/>
      <c r="M33" s="34"/>
      <c r="N33" s="34"/>
    </row>
    <row r="34" spans="2:21" x14ac:dyDescent="0.2">
      <c r="B34" s="34"/>
      <c r="C34" s="34"/>
      <c r="D34" s="34"/>
      <c r="E34" s="34"/>
      <c r="F34" s="34"/>
      <c r="G34" s="34"/>
      <c r="H34" s="34"/>
      <c r="I34" s="34"/>
      <c r="J34" s="34"/>
      <c r="K34" s="34"/>
      <c r="L34" s="34"/>
      <c r="M34" s="34"/>
      <c r="N34" s="34"/>
    </row>
    <row r="35" spans="2:21" x14ac:dyDescent="0.2">
      <c r="B35" s="34"/>
      <c r="C35" s="34"/>
      <c r="D35" s="34"/>
      <c r="E35" s="34"/>
      <c r="F35" s="34"/>
      <c r="G35" s="34"/>
      <c r="H35" s="34"/>
      <c r="I35" s="34"/>
      <c r="J35" s="34"/>
      <c r="K35" s="34"/>
      <c r="L35" s="34"/>
      <c r="M35" s="34"/>
      <c r="N35" s="34"/>
    </row>
    <row r="36" spans="2:21" x14ac:dyDescent="0.2">
      <c r="D36" s="34"/>
      <c r="E36" s="34"/>
      <c r="F36" s="34"/>
      <c r="H36" s="34"/>
      <c r="I36" s="34"/>
      <c r="J36" s="34"/>
      <c r="K36" s="34"/>
      <c r="L36" s="34"/>
      <c r="M36" s="34"/>
      <c r="N36" s="34"/>
    </row>
    <row r="37" spans="2:21" x14ac:dyDescent="0.2">
      <c r="B37" s="34"/>
      <c r="C37" s="34"/>
      <c r="D37" s="34"/>
      <c r="E37" s="34"/>
      <c r="F37" s="34"/>
      <c r="G37" s="34"/>
      <c r="H37" s="34"/>
      <c r="I37" s="34"/>
      <c r="J37" s="34"/>
      <c r="K37" s="34"/>
      <c r="L37" s="34"/>
      <c r="M37" s="34"/>
      <c r="N37" s="34"/>
    </row>
    <row r="38" spans="2:21" x14ac:dyDescent="0.2">
      <c r="B38" s="34"/>
      <c r="C38" s="34"/>
      <c r="D38" s="34"/>
      <c r="E38" s="34"/>
      <c r="F38" s="34"/>
      <c r="G38" s="34"/>
      <c r="H38" s="34"/>
      <c r="I38" s="34"/>
      <c r="J38" s="34"/>
      <c r="K38" s="34"/>
      <c r="L38" s="34"/>
      <c r="M38" s="34"/>
      <c r="N38" s="34"/>
    </row>
    <row r="39" spans="2:21" x14ac:dyDescent="0.2">
      <c r="B39" s="34"/>
      <c r="C39" s="34"/>
      <c r="D39" s="34">
        <f>(IF(C38="Age","75+",IF(C38="Gender","Female",IF(C38="Socio-Economic","NS-SEC 6-8",IF(C38="Disability","LT Limiting Disability",0)))))</f>
        <v>0</v>
      </c>
      <c r="F39" s="34"/>
      <c r="G39" s="34"/>
      <c r="H39" s="34"/>
      <c r="I39" s="34"/>
      <c r="J39" s="34"/>
      <c r="K39" s="34"/>
      <c r="L39" s="34"/>
      <c r="M39" s="34"/>
      <c r="N39" s="34"/>
    </row>
    <row r="40" spans="2:21" x14ac:dyDescent="0.2">
      <c r="B40" s="34" t="s">
        <v>107</v>
      </c>
      <c r="C40" s="37">
        <f ca="1">INDIRECT("'"&amp;B40&amp;" CYP'!M4")</f>
        <v>0.37990000000000002</v>
      </c>
      <c r="D40" s="49">
        <f t="shared" ref="D40:D51" ca="1" si="0">IF(C40&gt;0,C40, NA())</f>
        <v>0.37990000000000002</v>
      </c>
      <c r="E40" s="38">
        <f t="array" ref="E40">MIN(IF(ISNUMBER(#REF!), ABS(#REF!)))</f>
        <v>0</v>
      </c>
      <c r="F40" s="49">
        <f t="array" ref="F40">MAX( IF(ISNUMBER(#REF!),#REF!))</f>
        <v>0</v>
      </c>
      <c r="G40" s="34"/>
      <c r="H40" s="34"/>
      <c r="I40" s="34"/>
      <c r="K40" s="34"/>
      <c r="L40" s="34"/>
      <c r="M40" s="34"/>
      <c r="N40" s="34"/>
      <c r="O40" s="34"/>
      <c r="P40" s="34"/>
      <c r="Q40" s="34"/>
      <c r="R40" s="34"/>
      <c r="S40" s="34"/>
      <c r="T40" s="34"/>
      <c r="U40" s="34"/>
    </row>
    <row r="41" spans="2:21" x14ac:dyDescent="0.2">
      <c r="B41" s="34" t="s">
        <v>108</v>
      </c>
      <c r="C41" s="37">
        <f ca="1">INDIRECT("'"&amp;B41&amp;" CYP'!M4")</f>
        <v>0.35899999999999999</v>
      </c>
      <c r="D41" s="49">
        <f t="shared" ca="1" si="0"/>
        <v>0.35899999999999999</v>
      </c>
      <c r="E41" s="38">
        <f t="array" aca="1" ref="E41" ca="1">MIN(IF(ISNUMBER(D42:D51),ABS(D42:D51)))</f>
        <v>0.2354</v>
      </c>
      <c r="F41" s="38">
        <f t="array" aca="1" ref="F41" ca="1">MAX(IF(ISNUMBER(D42:D51),ABS(D42:D51)))</f>
        <v>0.46870000000000001</v>
      </c>
      <c r="G41" s="34"/>
      <c r="H41" s="34"/>
      <c r="I41" s="34"/>
      <c r="K41" s="34"/>
      <c r="L41" s="34"/>
      <c r="M41" s="35"/>
      <c r="N41" s="34"/>
      <c r="O41" s="34"/>
      <c r="P41" s="34"/>
      <c r="Q41" s="34"/>
      <c r="R41" s="34"/>
      <c r="S41" s="39"/>
      <c r="T41" s="37"/>
      <c r="U41" s="38"/>
    </row>
    <row r="42" spans="2:21" x14ac:dyDescent="0.2">
      <c r="B42" s="34" t="s">
        <v>109</v>
      </c>
      <c r="C42" s="37">
        <f t="shared" ref="C42:C51" ca="1" si="1">INDIRECT("'"&amp;B42&amp;" CYP'!M4")</f>
        <v>0.2354</v>
      </c>
      <c r="D42" s="49">
        <f t="shared" ca="1" si="0"/>
        <v>0.2354</v>
      </c>
      <c r="E42" s="34" t="str">
        <f t="array" aca="1" ref="E42" ca="1">INDEX(B42:B51, MATCH((MIN(IF(ISNUMBER(D42:D51), ABS(D42:D51)))), D42:D51,0))</f>
        <v>Bolton</v>
      </c>
      <c r="F42" s="34" t="str">
        <f t="array" aca="1" ref="F42" ca="1">INDEX(B42:B51, MATCH((MAX(IF(ISNUMBER(D42:D51), ABS(D42:D51)))), D42:D51,0))</f>
        <v>Trafford</v>
      </c>
      <c r="G42" s="34"/>
      <c r="H42" s="34"/>
      <c r="I42" s="34"/>
      <c r="K42" s="34"/>
      <c r="L42" s="34"/>
      <c r="M42" s="34"/>
      <c r="N42" s="37"/>
      <c r="O42" s="37"/>
      <c r="P42" s="37"/>
      <c r="Q42" s="38"/>
      <c r="R42" s="34"/>
      <c r="S42" s="34"/>
      <c r="T42" s="37"/>
      <c r="U42" s="37"/>
    </row>
    <row r="43" spans="2:21" x14ac:dyDescent="0.2">
      <c r="B43" s="34" t="s">
        <v>110</v>
      </c>
      <c r="C43" s="37">
        <f t="shared" ca="1" si="1"/>
        <v>0.25509999999999999</v>
      </c>
      <c r="D43" s="49">
        <f t="shared" ca="1" si="0"/>
        <v>0.25509999999999999</v>
      </c>
      <c r="E43" s="34"/>
      <c r="F43" s="34"/>
      <c r="G43" s="34"/>
      <c r="H43" s="34"/>
      <c r="I43" s="34"/>
      <c r="K43" s="34"/>
      <c r="L43" s="34"/>
      <c r="M43" s="34"/>
      <c r="N43" s="37"/>
      <c r="O43" s="37"/>
      <c r="P43" s="37"/>
      <c r="Q43" s="38"/>
      <c r="R43" s="34"/>
      <c r="S43" s="37"/>
      <c r="T43" s="37"/>
      <c r="U43" s="37"/>
    </row>
    <row r="44" spans="2:21" x14ac:dyDescent="0.2">
      <c r="B44" s="34" t="s">
        <v>111</v>
      </c>
      <c r="C44" s="37">
        <f t="shared" ca="1" si="1"/>
        <v>0</v>
      </c>
      <c r="D44" s="49" t="e">
        <f ca="1">IF(C44&gt;0,C44, NA())</f>
        <v>#N/A</v>
      </c>
      <c r="E44" s="34"/>
      <c r="F44" s="34"/>
      <c r="G44" s="34"/>
      <c r="H44" s="34"/>
      <c r="I44" s="34"/>
      <c r="K44" s="34"/>
      <c r="L44" s="34"/>
      <c r="M44" s="34"/>
      <c r="N44" s="37"/>
      <c r="O44" s="37"/>
      <c r="P44" s="37"/>
      <c r="Q44" s="38"/>
      <c r="R44" s="34"/>
      <c r="S44" s="34"/>
      <c r="T44" s="37"/>
      <c r="U44" s="37"/>
    </row>
    <row r="45" spans="2:21" x14ac:dyDescent="0.2">
      <c r="B45" s="34" t="s">
        <v>112</v>
      </c>
      <c r="C45" s="37">
        <f t="shared" ca="1" si="1"/>
        <v>0</v>
      </c>
      <c r="D45" s="49" t="e">
        <f t="shared" ca="1" si="0"/>
        <v>#N/A</v>
      </c>
      <c r="E45" s="34"/>
      <c r="F45" s="34"/>
      <c r="G45" s="34"/>
      <c r="H45" s="34"/>
      <c r="I45" s="34"/>
      <c r="K45" s="34"/>
      <c r="L45" s="34"/>
      <c r="M45" s="34"/>
      <c r="N45" s="37"/>
      <c r="O45" s="37"/>
      <c r="P45" s="37"/>
      <c r="Q45" s="38"/>
      <c r="R45" s="34"/>
      <c r="S45" s="34"/>
      <c r="T45" s="37"/>
      <c r="U45" s="37"/>
    </row>
    <row r="46" spans="2:21" x14ac:dyDescent="0.2">
      <c r="B46" s="34" t="s">
        <v>113</v>
      </c>
      <c r="C46" s="37">
        <f t="shared" ca="1" si="1"/>
        <v>0</v>
      </c>
      <c r="D46" s="49" t="e">
        <f t="shared" ca="1" si="0"/>
        <v>#N/A</v>
      </c>
      <c r="E46" s="34"/>
      <c r="F46" s="34"/>
      <c r="G46" s="34"/>
      <c r="H46" s="34"/>
      <c r="I46" s="34"/>
      <c r="K46" s="34"/>
      <c r="L46" s="34"/>
      <c r="M46" s="34"/>
      <c r="N46" s="37"/>
      <c r="O46" s="37"/>
      <c r="P46" s="37"/>
      <c r="Q46" s="38"/>
      <c r="R46" s="34"/>
      <c r="S46" s="34"/>
      <c r="T46" s="37"/>
      <c r="U46" s="37"/>
    </row>
    <row r="47" spans="2:21" x14ac:dyDescent="0.2">
      <c r="B47" s="34" t="s">
        <v>114</v>
      </c>
      <c r="C47" s="37">
        <f t="shared" ca="1" si="1"/>
        <v>0.35580000000000001</v>
      </c>
      <c r="D47" s="49">
        <f t="shared" ca="1" si="0"/>
        <v>0.35580000000000001</v>
      </c>
      <c r="E47" s="34"/>
      <c r="F47" s="34"/>
      <c r="G47" s="34"/>
      <c r="H47" s="34"/>
      <c r="I47" s="34"/>
      <c r="K47" s="34"/>
      <c r="L47" s="34"/>
      <c r="M47" s="34"/>
      <c r="N47" s="34"/>
      <c r="O47" s="34"/>
      <c r="P47" s="34"/>
      <c r="Q47" s="34"/>
      <c r="R47" s="34"/>
      <c r="S47" s="34"/>
      <c r="T47" s="37"/>
      <c r="U47" s="37"/>
    </row>
    <row r="48" spans="2:21" x14ac:dyDescent="0.2">
      <c r="B48" s="34" t="s">
        <v>115</v>
      </c>
      <c r="C48" s="37">
        <f t="shared" ca="1" si="1"/>
        <v>0.38679999999999998</v>
      </c>
      <c r="D48" s="49">
        <f t="shared" ca="1" si="0"/>
        <v>0.38679999999999998</v>
      </c>
      <c r="E48" s="34"/>
      <c r="F48" s="34"/>
      <c r="G48" s="34"/>
      <c r="H48" s="34"/>
      <c r="I48" s="34"/>
      <c r="K48" s="34"/>
      <c r="L48" s="34"/>
      <c r="M48" s="35"/>
      <c r="N48" s="34"/>
      <c r="O48" s="34"/>
      <c r="P48" s="34"/>
      <c r="Q48" s="34"/>
      <c r="R48" s="34"/>
      <c r="S48" s="38"/>
      <c r="T48" s="37"/>
      <c r="U48" s="37"/>
    </row>
    <row r="49" spans="2:23" x14ac:dyDescent="0.2">
      <c r="B49" s="34" t="s">
        <v>116</v>
      </c>
      <c r="C49" s="37">
        <f t="shared" ca="1" si="1"/>
        <v>0.36759999999999998</v>
      </c>
      <c r="D49" s="49">
        <f t="shared" ca="1" si="0"/>
        <v>0.36759999999999998</v>
      </c>
      <c r="E49" s="34"/>
      <c r="F49" s="34"/>
      <c r="G49" s="34"/>
      <c r="H49" s="34"/>
      <c r="I49" s="34"/>
      <c r="K49" s="34"/>
      <c r="L49" s="34"/>
      <c r="M49" s="34"/>
      <c r="N49" s="37"/>
      <c r="O49" s="37"/>
      <c r="P49" s="37"/>
      <c r="Q49" s="38"/>
      <c r="R49" s="34"/>
      <c r="S49" s="34"/>
      <c r="T49" s="37"/>
      <c r="U49" s="37"/>
    </row>
    <row r="50" spans="2:23" x14ac:dyDescent="0.2">
      <c r="B50" s="34" t="s">
        <v>117</v>
      </c>
      <c r="C50" s="37">
        <f t="shared" ca="1" si="1"/>
        <v>0.46870000000000001</v>
      </c>
      <c r="D50" s="49">
        <f t="shared" ca="1" si="0"/>
        <v>0.46870000000000001</v>
      </c>
      <c r="E50" s="34"/>
      <c r="F50" s="34"/>
      <c r="G50" s="34"/>
      <c r="H50" s="34"/>
      <c r="I50" s="34"/>
      <c r="K50" s="34"/>
      <c r="L50" s="34"/>
      <c r="M50" s="34"/>
      <c r="N50" s="37"/>
      <c r="O50" s="37"/>
      <c r="P50" s="37"/>
      <c r="Q50" s="38"/>
      <c r="R50" s="34"/>
      <c r="S50" s="34"/>
      <c r="T50" s="37"/>
      <c r="U50" s="37"/>
    </row>
    <row r="51" spans="2:23" x14ac:dyDescent="0.2">
      <c r="B51" s="34" t="s">
        <v>118</v>
      </c>
      <c r="C51" s="37">
        <f t="shared" ca="1" si="1"/>
        <v>0.32169999999999999</v>
      </c>
      <c r="D51" s="49">
        <f t="shared" ca="1" si="0"/>
        <v>0.32169999999999999</v>
      </c>
      <c r="E51" s="34"/>
      <c r="F51" s="34"/>
      <c r="G51" s="34"/>
      <c r="H51" s="34"/>
      <c r="I51" s="34"/>
      <c r="K51" s="34"/>
      <c r="L51" s="34"/>
      <c r="M51" s="34"/>
      <c r="N51" s="37"/>
      <c r="O51" s="37"/>
      <c r="P51" s="37"/>
      <c r="Q51" s="38"/>
      <c r="R51" s="34"/>
      <c r="S51" s="34"/>
      <c r="T51" s="37"/>
      <c r="U51" s="37"/>
    </row>
    <row r="52" spans="2:23" x14ac:dyDescent="0.2">
      <c r="B52" s="34"/>
      <c r="C52" s="34"/>
      <c r="D52" s="34"/>
      <c r="E52" s="34"/>
      <c r="F52" s="34"/>
      <c r="G52" s="34"/>
      <c r="H52" s="34"/>
      <c r="I52" s="34"/>
      <c r="J52" s="34"/>
      <c r="K52" s="34"/>
      <c r="M52" s="34"/>
      <c r="N52" s="34"/>
      <c r="O52" s="34"/>
      <c r="P52" s="37"/>
      <c r="Q52" s="37"/>
      <c r="R52" s="37"/>
      <c r="S52" s="38"/>
      <c r="T52" s="34"/>
      <c r="U52" s="34"/>
      <c r="V52" s="37"/>
      <c r="W52" s="37"/>
    </row>
    <row r="53" spans="2:23" x14ac:dyDescent="0.2">
      <c r="B53" s="34"/>
      <c r="C53" s="34"/>
      <c r="D53" s="34"/>
      <c r="E53" s="34"/>
      <c r="F53" s="34"/>
      <c r="G53" s="34"/>
      <c r="H53" s="34"/>
      <c r="I53" s="34"/>
      <c r="J53" s="34"/>
      <c r="K53" s="34"/>
      <c r="M53" s="34"/>
      <c r="N53" s="34"/>
      <c r="O53" s="34"/>
      <c r="P53" s="37"/>
      <c r="Q53" s="37"/>
      <c r="R53" s="37"/>
      <c r="S53" s="38"/>
      <c r="T53" s="34"/>
      <c r="U53" s="34"/>
      <c r="V53" s="37"/>
      <c r="W53" s="37"/>
    </row>
    <row r="54" spans="2:23" x14ac:dyDescent="0.2">
      <c r="B54" s="34"/>
      <c r="C54" s="34"/>
      <c r="D54" s="34"/>
      <c r="E54" s="34"/>
      <c r="F54" s="34"/>
      <c r="G54" s="34"/>
      <c r="H54" s="34"/>
      <c r="I54" s="34"/>
      <c r="J54" s="34"/>
      <c r="K54" s="34"/>
      <c r="M54" s="34"/>
      <c r="N54" s="34"/>
      <c r="O54" s="34"/>
      <c r="P54" s="34"/>
      <c r="Q54" s="34"/>
      <c r="R54" s="34"/>
      <c r="S54" s="34"/>
      <c r="T54" s="34"/>
      <c r="U54" s="34"/>
      <c r="V54" s="37"/>
      <c r="W54" s="37"/>
    </row>
    <row r="55" spans="2:23" x14ac:dyDescent="0.2">
      <c r="B55" s="34"/>
      <c r="C55" s="34"/>
      <c r="D55" s="34"/>
      <c r="E55" s="34"/>
      <c r="F55" s="34"/>
      <c r="G55" s="34"/>
      <c r="H55" s="34"/>
      <c r="I55" s="34"/>
      <c r="J55" s="34"/>
      <c r="K55" s="34"/>
      <c r="M55" s="34"/>
      <c r="N55" s="34"/>
      <c r="O55" s="35"/>
      <c r="P55" s="34"/>
      <c r="Q55" s="34"/>
      <c r="R55" s="34"/>
      <c r="S55" s="34"/>
      <c r="T55" s="34"/>
      <c r="U55" s="34"/>
      <c r="V55" s="37"/>
      <c r="W55" s="37"/>
    </row>
    <row r="56" spans="2:23" x14ac:dyDescent="0.2">
      <c r="B56" s="34"/>
      <c r="C56" s="34"/>
      <c r="D56" s="34"/>
      <c r="E56" s="34"/>
      <c r="F56" s="34"/>
      <c r="G56" s="34"/>
      <c r="H56" s="34"/>
      <c r="I56" s="34"/>
      <c r="J56" s="34"/>
      <c r="K56" s="34"/>
      <c r="M56" s="34"/>
      <c r="N56" s="34"/>
      <c r="O56" s="34"/>
      <c r="P56" s="37"/>
      <c r="Q56" s="37"/>
      <c r="R56" s="37"/>
      <c r="S56" s="38"/>
      <c r="T56" s="34"/>
      <c r="U56" s="34"/>
      <c r="V56" s="37"/>
      <c r="W56" s="37"/>
    </row>
    <row r="57" spans="2:23" x14ac:dyDescent="0.2">
      <c r="B57" s="34"/>
      <c r="C57" s="34"/>
      <c r="D57" s="34"/>
      <c r="E57" s="34"/>
      <c r="F57" s="34"/>
      <c r="G57" s="34"/>
      <c r="H57" s="34"/>
      <c r="I57" s="34"/>
      <c r="J57" s="34"/>
      <c r="K57" s="34"/>
      <c r="M57" s="34"/>
      <c r="N57" s="34"/>
      <c r="O57" s="34"/>
      <c r="P57" s="37"/>
      <c r="Q57" s="37"/>
      <c r="R57" s="37"/>
      <c r="S57" s="38"/>
      <c r="T57" s="34"/>
      <c r="U57" s="34"/>
      <c r="V57" s="37"/>
      <c r="W57" s="37"/>
    </row>
    <row r="58" spans="2:23" x14ac:dyDescent="0.2">
      <c r="B58" s="34"/>
      <c r="C58" s="34"/>
      <c r="D58" s="34"/>
      <c r="E58" s="34"/>
      <c r="F58" s="34"/>
      <c r="G58" s="34"/>
      <c r="H58" s="34"/>
      <c r="I58" s="34"/>
      <c r="J58" s="34"/>
      <c r="K58" s="34"/>
      <c r="M58" s="34"/>
      <c r="N58" s="34"/>
      <c r="O58" s="34"/>
      <c r="P58" s="37"/>
      <c r="Q58" s="37"/>
      <c r="R58" s="37"/>
      <c r="S58" s="38"/>
      <c r="T58" s="34"/>
      <c r="U58" s="34"/>
      <c r="V58" s="37"/>
      <c r="W58" s="37"/>
    </row>
    <row r="59" spans="2:23" x14ac:dyDescent="0.2">
      <c r="B59" s="34"/>
      <c r="C59" s="34"/>
      <c r="D59" s="34"/>
      <c r="E59" s="34"/>
      <c r="F59" s="34"/>
      <c r="G59" s="34"/>
      <c r="H59" s="34"/>
      <c r="I59" s="34"/>
      <c r="J59" s="34"/>
      <c r="K59" s="34"/>
      <c r="M59" s="34"/>
      <c r="N59" s="34"/>
      <c r="O59" s="34"/>
      <c r="P59" s="37"/>
      <c r="Q59" s="37"/>
      <c r="R59" s="37"/>
      <c r="S59" s="38"/>
      <c r="T59" s="34"/>
      <c r="U59" s="34"/>
      <c r="V59" s="37"/>
      <c r="W59" s="37"/>
    </row>
    <row r="60" spans="2:23" x14ac:dyDescent="0.2">
      <c r="B60" s="34"/>
      <c r="C60" s="34"/>
      <c r="D60" s="34"/>
      <c r="E60" s="34"/>
      <c r="F60" s="34"/>
      <c r="G60" s="34"/>
      <c r="H60" s="34"/>
      <c r="I60" s="34"/>
      <c r="J60" s="34"/>
      <c r="K60" s="34"/>
      <c r="M60" s="34"/>
      <c r="N60" s="34"/>
      <c r="O60" s="34"/>
      <c r="P60" s="37"/>
      <c r="Q60" s="37"/>
      <c r="R60" s="37"/>
      <c r="S60" s="38"/>
      <c r="T60" s="34"/>
      <c r="U60" s="34"/>
      <c r="V60" s="37"/>
      <c r="W60" s="37"/>
    </row>
    <row r="61" spans="2:23" x14ac:dyDescent="0.2">
      <c r="B61" s="34"/>
      <c r="C61" s="34"/>
      <c r="D61" s="34"/>
      <c r="E61" s="34"/>
      <c r="F61" s="34"/>
      <c r="G61" s="34"/>
      <c r="H61" s="34"/>
      <c r="I61" s="34"/>
      <c r="J61" s="34"/>
      <c r="K61" s="34"/>
      <c r="M61" s="34"/>
      <c r="N61" s="34"/>
      <c r="O61" s="34"/>
      <c r="P61" s="34"/>
      <c r="Q61" s="34"/>
      <c r="R61" s="34"/>
      <c r="S61" s="34"/>
      <c r="T61" s="34"/>
      <c r="U61" s="34"/>
      <c r="V61" s="37"/>
      <c r="W61" s="37"/>
    </row>
    <row r="62" spans="2:23" x14ac:dyDescent="0.2">
      <c r="B62" s="34"/>
      <c r="C62" s="34"/>
      <c r="D62" s="34"/>
      <c r="E62" s="34"/>
      <c r="F62" s="34"/>
      <c r="G62" s="34"/>
      <c r="H62" s="34"/>
      <c r="I62" s="34"/>
      <c r="J62" s="34"/>
      <c r="K62" s="34"/>
      <c r="M62" s="34"/>
      <c r="N62" s="34"/>
      <c r="O62" s="35"/>
      <c r="P62" s="34"/>
      <c r="Q62" s="34"/>
      <c r="R62" s="34"/>
      <c r="S62" s="34"/>
      <c r="T62" s="34"/>
      <c r="U62" s="34"/>
      <c r="V62" s="37"/>
      <c r="W62" s="37"/>
    </row>
    <row r="63" spans="2:23" x14ac:dyDescent="0.2">
      <c r="B63" s="34"/>
      <c r="C63" s="34"/>
      <c r="D63" s="34"/>
      <c r="E63" s="34"/>
      <c r="F63" s="34"/>
      <c r="G63" s="34"/>
      <c r="H63" s="34"/>
      <c r="I63" s="34"/>
      <c r="J63" s="34"/>
      <c r="K63" s="34"/>
      <c r="M63" s="34"/>
      <c r="N63" s="34"/>
      <c r="O63" s="34"/>
      <c r="P63" s="37"/>
      <c r="Q63" s="37"/>
      <c r="R63" s="37"/>
      <c r="S63" s="38"/>
      <c r="T63" s="34"/>
      <c r="U63" s="34"/>
      <c r="V63" s="37"/>
      <c r="W63" s="37"/>
    </row>
    <row r="64" spans="2:23" x14ac:dyDescent="0.2">
      <c r="B64" s="34"/>
      <c r="C64" s="34"/>
      <c r="D64" s="34"/>
      <c r="E64" s="34"/>
      <c r="F64" s="34"/>
      <c r="G64" s="34"/>
      <c r="H64" s="34"/>
      <c r="I64" s="34"/>
      <c r="J64" s="34"/>
      <c r="K64" s="34"/>
      <c r="M64" s="34"/>
      <c r="N64" s="34"/>
      <c r="O64" s="34"/>
      <c r="P64" s="37"/>
      <c r="Q64" s="37"/>
      <c r="R64" s="37"/>
      <c r="S64" s="38"/>
      <c r="T64" s="34"/>
      <c r="U64" s="34"/>
      <c r="V64" s="37"/>
      <c r="W64" s="37"/>
    </row>
    <row r="65" spans="2:23" x14ac:dyDescent="0.2">
      <c r="B65" s="34"/>
      <c r="C65" s="34"/>
      <c r="D65" s="34"/>
      <c r="E65" s="34"/>
      <c r="F65" s="34"/>
      <c r="G65" s="34"/>
      <c r="H65" s="34"/>
      <c r="I65" s="34"/>
      <c r="J65" s="34"/>
      <c r="K65" s="34"/>
      <c r="M65" s="34"/>
      <c r="N65" s="34"/>
      <c r="O65" s="34"/>
      <c r="P65" s="37"/>
      <c r="Q65" s="37"/>
      <c r="R65" s="37"/>
      <c r="S65" s="38"/>
      <c r="T65" s="34"/>
      <c r="U65" s="34"/>
      <c r="V65" s="37"/>
      <c r="W65" s="37"/>
    </row>
    <row r="66" spans="2:23" x14ac:dyDescent="0.2">
      <c r="B66" s="34"/>
      <c r="C66" s="34"/>
      <c r="D66" s="34"/>
      <c r="E66" s="34"/>
      <c r="F66" s="34"/>
      <c r="G66" s="34"/>
      <c r="H66" s="34"/>
      <c r="I66" s="34"/>
      <c r="J66" s="34"/>
      <c r="K66" s="34"/>
      <c r="M66" s="34"/>
      <c r="N66" s="34"/>
      <c r="O66" s="34"/>
      <c r="P66" s="37"/>
      <c r="Q66" s="37"/>
      <c r="R66" s="37"/>
      <c r="S66" s="38"/>
      <c r="T66" s="34"/>
      <c r="U66" s="34"/>
      <c r="V66" s="37"/>
      <c r="W66" s="37"/>
    </row>
    <row r="67" spans="2:23" x14ac:dyDescent="0.2">
      <c r="B67" s="34"/>
      <c r="C67" s="34"/>
      <c r="D67" s="34"/>
      <c r="E67" s="34"/>
      <c r="F67" s="34"/>
      <c r="G67" s="34"/>
      <c r="H67" s="34"/>
      <c r="I67" s="34"/>
      <c r="J67" s="34"/>
      <c r="K67" s="34"/>
      <c r="M67" s="34"/>
      <c r="N67" s="34"/>
      <c r="O67" s="34"/>
      <c r="P67" s="37"/>
      <c r="Q67" s="37"/>
      <c r="R67" s="37"/>
      <c r="S67" s="38"/>
      <c r="T67" s="34"/>
      <c r="U67" s="34"/>
      <c r="V67" s="37"/>
      <c r="W67" s="37"/>
    </row>
    <row r="68" spans="2:23" x14ac:dyDescent="0.2">
      <c r="B68" s="34"/>
      <c r="C68" s="34"/>
      <c r="D68" s="34"/>
      <c r="E68" s="34"/>
      <c r="F68" s="34"/>
      <c r="G68" s="34"/>
      <c r="H68" s="34"/>
      <c r="I68" s="34"/>
      <c r="J68" s="34"/>
      <c r="K68" s="34"/>
      <c r="M68" s="34"/>
      <c r="N68" s="34"/>
      <c r="O68" s="34"/>
      <c r="P68" s="34"/>
      <c r="Q68" s="34"/>
      <c r="R68" s="34"/>
      <c r="S68" s="34"/>
      <c r="T68" s="34"/>
      <c r="U68" s="34"/>
      <c r="V68" s="37"/>
      <c r="W68" s="37"/>
    </row>
    <row r="69" spans="2:23" x14ac:dyDescent="0.2">
      <c r="B69" s="34"/>
      <c r="C69" s="34"/>
      <c r="D69" s="34"/>
      <c r="E69" s="34"/>
      <c r="F69" s="34"/>
      <c r="G69" s="34"/>
      <c r="H69" s="34"/>
      <c r="I69" s="34"/>
      <c r="J69" s="34"/>
      <c r="K69" s="34"/>
      <c r="M69" s="34"/>
      <c r="N69" s="34"/>
      <c r="O69" s="35"/>
      <c r="P69" s="34"/>
      <c r="Q69" s="34"/>
      <c r="R69" s="34"/>
      <c r="S69" s="34"/>
      <c r="T69" s="34"/>
      <c r="U69" s="34"/>
      <c r="V69" s="37"/>
      <c r="W69" s="37"/>
    </row>
    <row r="70" spans="2:23" x14ac:dyDescent="0.2">
      <c r="B70" s="34"/>
      <c r="C70" s="34"/>
      <c r="D70" s="34"/>
      <c r="E70" s="34"/>
      <c r="F70" s="34"/>
      <c r="G70" s="34"/>
      <c r="H70" s="34"/>
      <c r="I70" s="34"/>
      <c r="J70" s="34"/>
      <c r="K70" s="34"/>
      <c r="M70" s="34"/>
      <c r="N70" s="34"/>
      <c r="O70" s="34"/>
      <c r="P70" s="37"/>
      <c r="Q70" s="37"/>
      <c r="R70" s="37"/>
      <c r="S70" s="38"/>
      <c r="T70" s="34"/>
      <c r="U70" s="34"/>
      <c r="V70" s="37"/>
      <c r="W70" s="37"/>
    </row>
    <row r="71" spans="2:23" x14ac:dyDescent="0.2">
      <c r="B71" s="34"/>
      <c r="C71" s="34"/>
      <c r="D71" s="34"/>
      <c r="E71" s="34"/>
      <c r="F71" s="34"/>
      <c r="G71" s="34"/>
      <c r="H71" s="34"/>
      <c r="I71" s="34"/>
      <c r="J71" s="34"/>
      <c r="K71" s="34"/>
      <c r="M71" s="34"/>
      <c r="N71" s="34"/>
      <c r="O71" s="34"/>
      <c r="P71" s="37"/>
      <c r="Q71" s="37"/>
      <c r="R71" s="37"/>
      <c r="S71" s="38"/>
      <c r="T71" s="34"/>
      <c r="U71" s="34"/>
      <c r="V71" s="37"/>
      <c r="W71" s="37"/>
    </row>
    <row r="72" spans="2:23" x14ac:dyDescent="0.2">
      <c r="B72" s="34"/>
      <c r="C72" s="34"/>
      <c r="D72" s="34"/>
      <c r="E72" s="34"/>
      <c r="F72" s="34"/>
      <c r="G72" s="34"/>
      <c r="H72" s="34"/>
      <c r="I72" s="34"/>
      <c r="J72" s="34"/>
      <c r="K72" s="34"/>
      <c r="M72" s="34"/>
      <c r="N72" s="34"/>
      <c r="O72" s="34"/>
      <c r="P72" s="37"/>
      <c r="Q72" s="37"/>
      <c r="R72" s="37"/>
      <c r="S72" s="38"/>
      <c r="T72" s="34"/>
      <c r="U72" s="34"/>
      <c r="V72" s="37"/>
      <c r="W72" s="37"/>
    </row>
    <row r="73" spans="2:23" x14ac:dyDescent="0.2">
      <c r="B73" s="34"/>
      <c r="C73" s="34"/>
      <c r="D73" s="34"/>
      <c r="E73" s="34"/>
      <c r="F73" s="34"/>
      <c r="G73" s="34"/>
      <c r="H73" s="34"/>
      <c r="I73" s="34"/>
      <c r="J73" s="34"/>
      <c r="K73" s="34"/>
      <c r="M73" s="34"/>
      <c r="N73" s="34"/>
      <c r="O73" s="34"/>
      <c r="P73" s="37"/>
      <c r="Q73" s="37"/>
      <c r="R73" s="37"/>
      <c r="S73" s="38"/>
      <c r="T73" s="34"/>
      <c r="U73" s="34"/>
      <c r="V73" s="37"/>
      <c r="W73" s="37"/>
    </row>
    <row r="74" spans="2:23" x14ac:dyDescent="0.2">
      <c r="B74" s="34"/>
      <c r="C74" s="34"/>
      <c r="D74" s="34"/>
      <c r="E74" s="34"/>
      <c r="F74" s="34"/>
      <c r="G74" s="34"/>
      <c r="H74" s="34"/>
      <c r="I74" s="34"/>
      <c r="J74" s="34"/>
      <c r="K74" s="34"/>
      <c r="M74" s="34"/>
      <c r="N74" s="34"/>
      <c r="O74" s="34"/>
      <c r="P74" s="37"/>
      <c r="Q74" s="37"/>
      <c r="R74" s="37"/>
      <c r="S74" s="38"/>
      <c r="T74" s="34"/>
      <c r="U74" s="34"/>
      <c r="V74" s="37"/>
      <c r="W74" s="37"/>
    </row>
    <row r="75" spans="2:23" x14ac:dyDescent="0.2">
      <c r="B75" s="34"/>
      <c r="C75" s="34"/>
      <c r="D75" s="34"/>
      <c r="E75" s="34"/>
      <c r="F75" s="34"/>
      <c r="G75" s="34"/>
      <c r="H75" s="34"/>
      <c r="I75" s="34"/>
      <c r="J75" s="34"/>
      <c r="K75" s="34"/>
      <c r="M75" s="34"/>
      <c r="N75" s="34"/>
      <c r="O75" s="34"/>
      <c r="P75" s="34"/>
      <c r="Q75" s="34"/>
      <c r="R75" s="34"/>
      <c r="S75" s="34"/>
      <c r="T75" s="34"/>
      <c r="U75" s="34"/>
      <c r="V75" s="37"/>
      <c r="W75" s="37"/>
    </row>
    <row r="76" spans="2:23" x14ac:dyDescent="0.2">
      <c r="B76" s="34"/>
      <c r="C76" s="34"/>
      <c r="D76" s="34"/>
      <c r="E76" s="34"/>
      <c r="F76" s="34"/>
      <c r="G76" s="34"/>
      <c r="H76" s="34"/>
      <c r="I76" s="34"/>
      <c r="J76" s="34"/>
      <c r="K76" s="34"/>
      <c r="M76" s="34"/>
      <c r="N76" s="34"/>
      <c r="O76" s="35"/>
      <c r="P76" s="34"/>
      <c r="Q76" s="34"/>
      <c r="R76" s="34"/>
      <c r="S76" s="34"/>
      <c r="T76" s="34"/>
      <c r="U76" s="34"/>
      <c r="V76" s="37"/>
      <c r="W76" s="37"/>
    </row>
    <row r="77" spans="2:23" x14ac:dyDescent="0.2">
      <c r="B77" s="34"/>
      <c r="C77" s="34"/>
      <c r="D77" s="34"/>
      <c r="E77" s="34"/>
      <c r="F77" s="34"/>
      <c r="G77" s="34"/>
      <c r="H77" s="34"/>
      <c r="I77" s="34"/>
      <c r="J77" s="34"/>
      <c r="K77" s="34"/>
      <c r="M77" s="34"/>
      <c r="N77" s="34"/>
      <c r="O77" s="34"/>
      <c r="P77" s="37"/>
      <c r="Q77" s="37"/>
      <c r="R77" s="37"/>
      <c r="S77" s="38"/>
      <c r="T77" s="34"/>
      <c r="U77" s="34"/>
      <c r="V77" s="37"/>
      <c r="W77" s="37"/>
    </row>
    <row r="78" spans="2:23" x14ac:dyDescent="0.2">
      <c r="B78" s="34"/>
      <c r="C78" s="34"/>
      <c r="D78" s="34"/>
      <c r="E78" s="34"/>
      <c r="F78" s="34"/>
      <c r="G78" s="34"/>
      <c r="H78" s="34"/>
      <c r="I78" s="34"/>
      <c r="J78" s="34"/>
      <c r="K78" s="34"/>
      <c r="M78" s="34"/>
      <c r="N78" s="34"/>
      <c r="O78" s="34"/>
      <c r="P78" s="37"/>
      <c r="Q78" s="37"/>
      <c r="R78" s="37"/>
      <c r="S78" s="38"/>
      <c r="T78" s="34"/>
      <c r="U78" s="34"/>
      <c r="V78" s="37"/>
      <c r="W78" s="37"/>
    </row>
    <row r="79" spans="2:23" x14ac:dyDescent="0.2">
      <c r="B79" s="34"/>
      <c r="C79" s="34"/>
      <c r="D79" s="34"/>
      <c r="E79" s="34"/>
      <c r="F79" s="34"/>
      <c r="G79" s="34"/>
      <c r="H79" s="34"/>
      <c r="I79" s="34"/>
      <c r="J79" s="34"/>
      <c r="K79" s="34"/>
      <c r="M79" s="34"/>
      <c r="N79" s="34"/>
      <c r="O79" s="34"/>
      <c r="P79" s="37"/>
      <c r="Q79" s="37"/>
      <c r="R79" s="37"/>
      <c r="S79" s="38"/>
      <c r="T79" s="34"/>
      <c r="U79" s="34"/>
      <c r="V79" s="37"/>
      <c r="W79" s="37"/>
    </row>
    <row r="80" spans="2:23" x14ac:dyDescent="0.2">
      <c r="B80" s="34"/>
      <c r="C80" s="34"/>
      <c r="D80" s="34"/>
      <c r="E80" s="34"/>
      <c r="F80" s="34"/>
      <c r="G80" s="34"/>
      <c r="H80" s="34"/>
      <c r="I80" s="34"/>
      <c r="J80" s="34"/>
      <c r="K80" s="34"/>
      <c r="M80" s="34"/>
      <c r="N80" s="34"/>
      <c r="O80" s="34"/>
      <c r="P80" s="37"/>
      <c r="Q80" s="37"/>
      <c r="R80" s="37"/>
      <c r="S80" s="38"/>
      <c r="T80" s="34"/>
      <c r="U80" s="34"/>
      <c r="V80" s="37"/>
      <c r="W80" s="37"/>
    </row>
    <row r="81" spans="2:23" x14ac:dyDescent="0.2">
      <c r="B81" s="34"/>
      <c r="C81" s="34"/>
      <c r="D81" s="34"/>
      <c r="E81" s="34"/>
      <c r="F81" s="34"/>
      <c r="G81" s="34"/>
      <c r="H81" s="34"/>
      <c r="I81" s="34"/>
      <c r="J81" s="34"/>
      <c r="K81" s="34"/>
      <c r="M81" s="34"/>
      <c r="N81" s="34"/>
      <c r="O81" s="34"/>
      <c r="P81" s="37"/>
      <c r="Q81" s="37"/>
      <c r="R81" s="37"/>
      <c r="S81" s="38"/>
      <c r="T81" s="34"/>
      <c r="U81" s="34"/>
      <c r="V81" s="37"/>
      <c r="W81" s="37"/>
    </row>
    <row r="82" spans="2:23" x14ac:dyDescent="0.2">
      <c r="B82" s="34"/>
      <c r="C82" s="34"/>
      <c r="D82" s="34"/>
      <c r="E82" s="34"/>
      <c r="F82" s="34"/>
      <c r="G82" s="34"/>
      <c r="H82" s="34"/>
      <c r="I82" s="34"/>
      <c r="J82" s="34"/>
      <c r="K82" s="34"/>
      <c r="M82" s="34"/>
      <c r="N82" s="34"/>
      <c r="O82" s="35"/>
      <c r="P82" s="34"/>
      <c r="Q82" s="34"/>
      <c r="R82" s="34"/>
      <c r="S82" s="34"/>
      <c r="T82" s="34"/>
      <c r="U82" s="34"/>
      <c r="V82" s="34"/>
      <c r="W82" s="34"/>
    </row>
    <row r="83" spans="2:23" x14ac:dyDescent="0.2">
      <c r="B83" s="34"/>
      <c r="C83" s="34"/>
      <c r="D83" s="34"/>
      <c r="E83" s="34"/>
      <c r="F83" s="34"/>
      <c r="G83" s="34"/>
      <c r="H83" s="34"/>
      <c r="I83" s="34"/>
      <c r="J83" s="34"/>
      <c r="K83" s="34"/>
      <c r="M83" s="34"/>
      <c r="N83" s="34"/>
      <c r="O83" s="35"/>
      <c r="P83" s="34"/>
      <c r="Q83" s="34"/>
      <c r="R83" s="34"/>
      <c r="S83" s="34"/>
      <c r="T83" s="34"/>
      <c r="U83" s="34"/>
      <c r="V83" s="34"/>
      <c r="W83" s="34"/>
    </row>
    <row r="84" spans="2:23" x14ac:dyDescent="0.2">
      <c r="B84" s="34"/>
      <c r="C84" s="34"/>
      <c r="D84" s="34"/>
      <c r="E84" s="34"/>
      <c r="F84" s="34"/>
      <c r="G84" s="34"/>
      <c r="H84" s="34"/>
      <c r="I84" s="34"/>
      <c r="J84" s="34"/>
      <c r="K84" s="34"/>
      <c r="M84" s="34"/>
      <c r="N84" s="34"/>
      <c r="O84" s="34"/>
      <c r="P84" s="37"/>
      <c r="Q84" s="37"/>
      <c r="R84" s="37"/>
      <c r="S84" s="38"/>
      <c r="T84" s="34"/>
      <c r="U84" s="34"/>
      <c r="V84" s="34"/>
      <c r="W84" s="34"/>
    </row>
    <row r="85" spans="2:23" x14ac:dyDescent="0.2">
      <c r="B85" s="34"/>
      <c r="C85" s="34"/>
      <c r="D85" s="34"/>
      <c r="E85" s="34"/>
      <c r="F85" s="34"/>
      <c r="G85" s="34"/>
      <c r="H85" s="34"/>
      <c r="I85" s="34"/>
      <c r="J85" s="34"/>
      <c r="K85" s="34"/>
      <c r="M85" s="34"/>
      <c r="N85" s="34"/>
      <c r="O85" s="34"/>
      <c r="P85" s="37"/>
      <c r="Q85" s="37"/>
      <c r="R85" s="37"/>
      <c r="S85" s="38"/>
      <c r="T85" s="34"/>
      <c r="U85" s="37"/>
      <c r="V85" s="34"/>
      <c r="W85" s="34"/>
    </row>
    <row r="86" spans="2:23" x14ac:dyDescent="0.2">
      <c r="B86" s="34"/>
      <c r="C86" s="34"/>
      <c r="D86" s="34"/>
      <c r="E86" s="34"/>
      <c r="F86" s="34"/>
      <c r="G86" s="34"/>
      <c r="H86" s="34"/>
      <c r="I86" s="34"/>
      <c r="J86" s="34"/>
      <c r="K86" s="34"/>
      <c r="M86" s="34"/>
      <c r="N86" s="34"/>
      <c r="O86" s="34"/>
      <c r="P86" s="37"/>
      <c r="Q86" s="37"/>
      <c r="R86" s="37"/>
      <c r="S86" s="38"/>
      <c r="T86" s="34"/>
      <c r="U86" s="34"/>
      <c r="V86" s="34"/>
      <c r="W86" s="34"/>
    </row>
    <row r="87" spans="2:23" x14ac:dyDescent="0.2">
      <c r="M87" s="34"/>
      <c r="N87" s="34"/>
      <c r="O87" s="34"/>
      <c r="P87" s="37"/>
      <c r="Q87" s="37"/>
      <c r="R87" s="37"/>
      <c r="S87" s="38"/>
      <c r="T87" s="34"/>
      <c r="U87" s="34"/>
      <c r="V87" s="34"/>
      <c r="W87" s="34"/>
    </row>
    <row r="88" spans="2:23" x14ac:dyDescent="0.2">
      <c r="B88" s="34"/>
      <c r="C88" s="34"/>
      <c r="D88" s="35"/>
      <c r="E88" s="38"/>
      <c r="F88" s="38"/>
      <c r="G88" s="38"/>
      <c r="H88" s="38"/>
      <c r="I88" s="34"/>
      <c r="J88" s="34"/>
      <c r="K88" s="34"/>
      <c r="L88" s="34"/>
      <c r="M88" s="34"/>
      <c r="N88" s="34"/>
    </row>
    <row r="89" spans="2:23" x14ac:dyDescent="0.2">
      <c r="B89" s="34"/>
      <c r="C89" s="34"/>
      <c r="D89" s="35"/>
      <c r="E89" s="38"/>
      <c r="F89" s="38"/>
      <c r="G89" s="38"/>
      <c r="H89" s="38"/>
      <c r="I89" s="34"/>
      <c r="J89" s="34"/>
      <c r="K89" s="34"/>
      <c r="L89" s="34"/>
      <c r="M89" s="34"/>
      <c r="N89" s="34"/>
    </row>
    <row r="90" spans="2:23" x14ac:dyDescent="0.2">
      <c r="D90" s="22"/>
    </row>
  </sheetData>
  <sheetProtection selectLockedCells="1"/>
  <mergeCells count="4">
    <mergeCell ref="C4:J4"/>
    <mergeCell ref="C23:J23"/>
    <mergeCell ref="C27:J29"/>
    <mergeCell ref="K32:L32"/>
  </mergeCells>
  <hyperlinks>
    <hyperlink ref="K32:L32" location="Selection!D6" display="Back to selection"/>
  </hyperlink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09"/>
  <sheetViews>
    <sheetView workbookViewId="0">
      <pane xSplit="2" ySplit="1" topLeftCell="C2" activePane="bottomRight" state="frozen"/>
      <selection pane="topRight" activeCell="C1" sqref="C1"/>
      <selection pane="bottomLeft" activeCell="A2" sqref="A2"/>
      <selection pane="bottomRight" activeCell="BL122" sqref="BL122"/>
    </sheetView>
  </sheetViews>
  <sheetFormatPr defaultRowHeight="14.25" x14ac:dyDescent="0.2"/>
  <cols>
    <col min="1" max="1" width="9.5" bestFit="1" customWidth="1"/>
    <col min="2" max="2" width="10.3984375" bestFit="1" customWidth="1"/>
    <col min="3" max="3" width="22.796875" bestFit="1" customWidth="1"/>
    <col min="4" max="4" width="16.796875" bestFit="1" customWidth="1"/>
    <col min="5" max="5" width="6.296875" bestFit="1" customWidth="1"/>
    <col min="6" max="6" width="8.5" bestFit="1" customWidth="1"/>
    <col min="7" max="9" width="7.59765625" bestFit="1" customWidth="1"/>
    <col min="10" max="10" width="6" bestFit="1" customWidth="1"/>
    <col min="11" max="11" width="7.59765625" bestFit="1" customWidth="1"/>
    <col min="12" max="12" width="6" bestFit="1" customWidth="1"/>
    <col min="13" max="13" width="18.796875" bestFit="1" customWidth="1"/>
    <col min="14" max="14" width="21.5" bestFit="1" customWidth="1"/>
    <col min="15" max="15" width="12.8984375" bestFit="1" customWidth="1"/>
    <col min="16" max="16" width="12.3984375" bestFit="1" customWidth="1"/>
    <col min="17" max="17" width="12.296875" bestFit="1" customWidth="1"/>
    <col min="18" max="18" width="6.796875" bestFit="1" customWidth="1"/>
    <col min="19" max="19" width="8.8984375" bestFit="1" customWidth="1"/>
    <col min="20" max="20" width="7.296875" bestFit="1" customWidth="1"/>
    <col min="21" max="21" width="17.8984375" bestFit="1" customWidth="1"/>
    <col min="22" max="22" width="29.796875" bestFit="1" customWidth="1"/>
    <col min="23" max="23" width="29.69921875" bestFit="1" customWidth="1"/>
    <col min="24" max="24" width="29.59765625" bestFit="1" customWidth="1"/>
    <col min="25" max="25" width="27.3984375" bestFit="1" customWidth="1"/>
    <col min="26" max="26" width="22.59765625" bestFit="1" customWidth="1"/>
    <col min="27" max="27" width="12.69921875" bestFit="1" customWidth="1"/>
    <col min="28" max="28" width="19.796875" bestFit="1" customWidth="1"/>
    <col min="29" max="29" width="37.69921875" bestFit="1" customWidth="1"/>
    <col min="30" max="30" width="35.59765625" bestFit="1" customWidth="1"/>
    <col min="31" max="31" width="22.3984375" bestFit="1" customWidth="1"/>
    <col min="32" max="32" width="20.09765625" bestFit="1" customWidth="1"/>
    <col min="33" max="33" width="27.8984375" bestFit="1" customWidth="1"/>
    <col min="34" max="34" width="21.8984375" bestFit="1" customWidth="1"/>
    <col min="35" max="35" width="9" bestFit="1" customWidth="1"/>
    <col min="36" max="36" width="11.19921875" bestFit="1" customWidth="1"/>
    <col min="37" max="39" width="10.296875" bestFit="1" customWidth="1"/>
    <col min="40" max="40" width="8.69921875" bestFit="1" customWidth="1"/>
    <col min="41" max="41" width="10.296875" bestFit="1" customWidth="1"/>
    <col min="42" max="42" width="8.69921875" bestFit="1" customWidth="1"/>
    <col min="43" max="43" width="21.5" bestFit="1" customWidth="1"/>
    <col min="44" max="44" width="24.296875" bestFit="1" customWidth="1"/>
    <col min="45" max="45" width="15.69921875" bestFit="1" customWidth="1"/>
    <col min="46" max="46" width="15.19921875" bestFit="1" customWidth="1"/>
    <col min="47" max="47" width="15.09765625" bestFit="1" customWidth="1"/>
    <col min="48" max="48" width="9.5" bestFit="1" customWidth="1"/>
    <col min="49" max="49" width="11.59765625" bestFit="1" customWidth="1"/>
    <col min="50" max="50" width="10" bestFit="1" customWidth="1"/>
    <col min="51" max="51" width="20.69921875" bestFit="1" customWidth="1"/>
    <col min="52" max="52" width="32.59765625" bestFit="1" customWidth="1"/>
    <col min="53" max="53" width="32.5" bestFit="1" customWidth="1"/>
    <col min="54" max="54" width="32.3984375" bestFit="1" customWidth="1"/>
    <col min="55" max="55" width="30.09765625" bestFit="1" customWidth="1"/>
    <col min="56" max="56" width="25.3984375" bestFit="1" customWidth="1"/>
    <col min="57" max="57" width="15.5" bestFit="1" customWidth="1"/>
    <col min="58" max="58" width="22.5" bestFit="1" customWidth="1"/>
    <col min="59" max="59" width="40.5" bestFit="1" customWidth="1"/>
    <col min="60" max="60" width="38.296875" bestFit="1" customWidth="1"/>
    <col min="61" max="61" width="25.19921875" bestFit="1" customWidth="1"/>
    <col min="62" max="62" width="22.8984375" bestFit="1" customWidth="1"/>
    <col min="63" max="63" width="24.3984375" bestFit="1" customWidth="1"/>
    <col min="64" max="64" width="18.3984375" bestFit="1" customWidth="1"/>
    <col min="65" max="65" width="7.59765625" bestFit="1" customWidth="1"/>
    <col min="66" max="66" width="9.796875" bestFit="1" customWidth="1"/>
    <col min="67" max="69" width="8.8984375" bestFit="1" customWidth="1"/>
    <col min="70" max="70" width="7.296875" bestFit="1" customWidth="1"/>
    <col min="71" max="71" width="8.8984375" bestFit="1" customWidth="1"/>
    <col min="72" max="72" width="7.296875" bestFit="1" customWidth="1"/>
    <col min="73" max="73" width="20.09765625" bestFit="1" customWidth="1"/>
    <col min="74" max="74" width="22.8984375" bestFit="1" customWidth="1"/>
    <col min="75" max="75" width="14.19921875" bestFit="1" customWidth="1"/>
    <col min="76" max="76" width="13.69921875" bestFit="1" customWidth="1"/>
    <col min="77" max="77" width="13.59765625" bestFit="1" customWidth="1"/>
    <col min="78" max="78" width="8.09765625" bestFit="1" customWidth="1"/>
    <col min="79" max="79" width="10.19921875" bestFit="1" customWidth="1"/>
    <col min="80" max="80" width="8.59765625" bestFit="1" customWidth="1"/>
    <col min="81" max="81" width="19.296875" bestFit="1" customWidth="1"/>
    <col min="82" max="82" width="31.19921875" bestFit="1" customWidth="1"/>
    <col min="83" max="83" width="31.09765625" bestFit="1" customWidth="1"/>
    <col min="84" max="84" width="31" bestFit="1" customWidth="1"/>
    <col min="85" max="85" width="28.69921875" bestFit="1" customWidth="1"/>
    <col min="86" max="86" width="24" bestFit="1" customWidth="1"/>
    <col min="87" max="87" width="14" bestFit="1" customWidth="1"/>
    <col min="88" max="88" width="21.09765625" bestFit="1" customWidth="1"/>
    <col min="89" max="89" width="39" bestFit="1" customWidth="1"/>
    <col min="90" max="90" width="36.8984375" bestFit="1" customWidth="1"/>
    <col min="91" max="91" width="23.796875" bestFit="1" customWidth="1"/>
    <col min="92" max="92" width="21.3984375" bestFit="1" customWidth="1"/>
    <col min="93" max="93" width="8.296875" bestFit="1" customWidth="1"/>
    <col min="94" max="94" width="17.5" style="30" bestFit="1" customWidth="1"/>
    <col min="95" max="95" width="19.5" style="26" bestFit="1" customWidth="1"/>
    <col min="96" max="96" width="26.296875" style="26" bestFit="1" customWidth="1"/>
    <col min="97" max="97" width="21" style="26" bestFit="1" customWidth="1"/>
    <col min="98" max="98" width="17.796875" style="26" bestFit="1" customWidth="1"/>
    <col min="99" max="99" width="17.69921875" style="48" bestFit="1" customWidth="1"/>
    <col min="100" max="100" width="17.09765625" style="48" bestFit="1" customWidth="1"/>
    <col min="101" max="101" width="11.19921875" style="48" bestFit="1" customWidth="1"/>
    <col min="102" max="102" width="12.796875" style="48" bestFit="1" customWidth="1"/>
    <col min="103" max="103" width="11.296875" customWidth="1"/>
    <col min="104" max="104" width="25.59765625" bestFit="1" customWidth="1"/>
    <col min="105" max="112" width="11.796875" bestFit="1" customWidth="1"/>
    <col min="113" max="113" width="21.59765625" bestFit="1" customWidth="1"/>
    <col min="114" max="114" width="24.69921875" bestFit="1" customWidth="1"/>
    <col min="115" max="115" width="14.8984375" bestFit="1" customWidth="1"/>
    <col min="116" max="116" width="13.8984375" bestFit="1" customWidth="1"/>
    <col min="117" max="117" width="13.796875" bestFit="1" customWidth="1"/>
    <col min="118" max="120" width="11.796875" bestFit="1" customWidth="1"/>
    <col min="121" max="121" width="20.5" bestFit="1" customWidth="1"/>
    <col min="122" max="122" width="33.69921875" bestFit="1" customWidth="1"/>
    <col min="123" max="123" width="33.59765625" bestFit="1" customWidth="1"/>
    <col min="124" max="124" width="33.19921875" bestFit="1" customWidth="1"/>
    <col min="125" max="125" width="30.3984375" bestFit="1" customWidth="1"/>
    <col min="126" max="126" width="25.796875" bestFit="1" customWidth="1"/>
    <col min="127" max="127" width="14.3984375" bestFit="1" customWidth="1"/>
    <col min="128" max="128" width="22.5" bestFit="1" customWidth="1"/>
    <col min="129" max="129" width="43.09765625" bestFit="1" customWidth="1"/>
    <col min="130" max="130" width="40.5" bestFit="1" customWidth="1"/>
    <col min="131" max="131" width="25.3984375" bestFit="1" customWidth="1"/>
    <col min="132" max="132" width="22.5" bestFit="1" customWidth="1"/>
    <col min="133" max="133" width="31.5" bestFit="1" customWidth="1"/>
    <col min="134" max="139" width="12.5" bestFit="1" customWidth="1"/>
    <col min="140" max="141" width="11.796875" bestFit="1" customWidth="1"/>
    <col min="142" max="142" width="24.59765625" bestFit="1" customWidth="1"/>
    <col min="143" max="143" width="27.69921875" bestFit="1" customWidth="1"/>
    <col min="144" max="144" width="17.796875" bestFit="1" customWidth="1"/>
    <col min="145" max="145" width="16.8984375" bestFit="1" customWidth="1"/>
    <col min="146" max="146" width="16.796875" bestFit="1" customWidth="1"/>
    <col min="147" max="147" width="11.796875" bestFit="1" customWidth="1"/>
    <col min="148" max="148" width="13" bestFit="1" customWidth="1"/>
    <col min="149" max="149" width="11.19921875" bestFit="1" customWidth="1"/>
    <col min="150" max="150" width="23.5" bestFit="1" customWidth="1"/>
    <col min="151" max="151" width="36.69921875" bestFit="1" customWidth="1"/>
    <col min="152" max="152" width="36.59765625" bestFit="1" customWidth="1"/>
    <col min="153" max="153" width="36.19921875" bestFit="1" customWidth="1"/>
    <col min="154" max="154" width="33.3984375" bestFit="1" customWidth="1"/>
    <col min="155" max="155" width="28.796875" bestFit="1" customWidth="1"/>
    <col min="156" max="156" width="17.3984375" bestFit="1" customWidth="1"/>
    <col min="157" max="157" width="25.5" bestFit="1" customWidth="1"/>
    <col min="158" max="158" width="46.09765625" bestFit="1" customWidth="1"/>
    <col min="159" max="159" width="43.5" bestFit="1" customWidth="1"/>
    <col min="160" max="160" width="28.3984375" bestFit="1" customWidth="1"/>
    <col min="161" max="161" width="25.5" bestFit="1" customWidth="1"/>
    <col min="162" max="162" width="27.59765625" bestFit="1" customWidth="1"/>
    <col min="163" max="168" width="12.5" bestFit="1" customWidth="1"/>
    <col min="169" max="170" width="11.796875" bestFit="1" customWidth="1"/>
    <col min="171" max="171" width="23.19921875" bestFit="1" customWidth="1"/>
    <col min="172" max="172" width="26.19921875" bestFit="1" customWidth="1"/>
    <col min="173" max="173" width="16.3984375" bestFit="1" customWidth="1"/>
    <col min="174" max="174" width="15.5" bestFit="1" customWidth="1"/>
    <col min="175" max="175" width="15.3984375" bestFit="1" customWidth="1"/>
    <col min="176" max="178" width="11.796875" bestFit="1" customWidth="1"/>
    <col min="179" max="179" width="21.8984375" bestFit="1" customWidth="1"/>
    <col min="180" max="180" width="35.19921875" bestFit="1" customWidth="1"/>
    <col min="181" max="181" width="35.09765625" bestFit="1" customWidth="1"/>
    <col min="182" max="182" width="34.59765625" bestFit="1" customWidth="1"/>
    <col min="183" max="183" width="31.8984375" bestFit="1" customWidth="1"/>
    <col min="184" max="184" width="27.3984375" bestFit="1" customWidth="1"/>
    <col min="185" max="185" width="15.8984375" bestFit="1" customWidth="1"/>
    <col min="186" max="186" width="24" bestFit="1" customWidth="1"/>
    <col min="187" max="187" width="44.59765625" bestFit="1" customWidth="1"/>
    <col min="188" max="188" width="42" bestFit="1" customWidth="1"/>
    <col min="189" max="189" width="26.796875" bestFit="1" customWidth="1"/>
    <col min="190" max="190" width="24.09765625" bestFit="1" customWidth="1"/>
    <col min="191" max="191" width="12.5" bestFit="1" customWidth="1"/>
    <col min="192" max="192" width="22.09765625" bestFit="1" customWidth="1"/>
    <col min="193" max="193" width="30" bestFit="1" customWidth="1"/>
    <col min="194" max="194" width="24.09765625" bestFit="1" customWidth="1"/>
    <col min="195" max="195" width="20.19921875" bestFit="1" customWidth="1"/>
  </cols>
  <sheetData>
    <row r="1" spans="1:102" x14ac:dyDescent="0.2">
      <c r="A1" s="55" t="s">
        <v>106</v>
      </c>
      <c r="B1" s="55" t="s">
        <v>0</v>
      </c>
      <c r="C1" s="56" t="s">
        <v>29</v>
      </c>
      <c r="D1" s="55" t="s">
        <v>157</v>
      </c>
      <c r="E1" s="56" t="s">
        <v>1</v>
      </c>
      <c r="F1" s="56" t="s">
        <v>2</v>
      </c>
      <c r="G1" s="56" t="s">
        <v>3</v>
      </c>
      <c r="H1" s="56" t="s">
        <v>4</v>
      </c>
      <c r="I1" s="56" t="s">
        <v>5</v>
      </c>
      <c r="J1" s="56" t="s">
        <v>6</v>
      </c>
      <c r="K1" s="56" t="s">
        <v>7</v>
      </c>
      <c r="L1" s="56" t="s">
        <v>8</v>
      </c>
      <c r="M1" s="56" t="s">
        <v>9</v>
      </c>
      <c r="N1" s="56" t="s">
        <v>10</v>
      </c>
      <c r="O1" s="56" t="s">
        <v>11</v>
      </c>
      <c r="P1" s="56" t="s">
        <v>12</v>
      </c>
      <c r="Q1" s="56" t="s">
        <v>13</v>
      </c>
      <c r="R1" s="56" t="s">
        <v>14</v>
      </c>
      <c r="S1" s="56" t="s">
        <v>15</v>
      </c>
      <c r="T1" s="56" t="s">
        <v>16</v>
      </c>
      <c r="U1" s="56" t="s">
        <v>17</v>
      </c>
      <c r="V1" s="56" t="s">
        <v>18</v>
      </c>
      <c r="W1" s="56" t="s">
        <v>19</v>
      </c>
      <c r="X1" s="56" t="s">
        <v>20</v>
      </c>
      <c r="Y1" s="56" t="s">
        <v>21</v>
      </c>
      <c r="Z1" s="56" t="s">
        <v>22</v>
      </c>
      <c r="AA1" s="56" t="s">
        <v>23</v>
      </c>
      <c r="AB1" s="56" t="s">
        <v>24</v>
      </c>
      <c r="AC1" s="56" t="s">
        <v>25</v>
      </c>
      <c r="AD1" s="56" t="s">
        <v>26</v>
      </c>
      <c r="AE1" s="56" t="s">
        <v>27</v>
      </c>
      <c r="AF1" s="56" t="s">
        <v>28</v>
      </c>
      <c r="AG1" s="56" t="s">
        <v>31</v>
      </c>
      <c r="AH1" s="55" t="s">
        <v>158</v>
      </c>
      <c r="AI1" s="56" t="s">
        <v>43</v>
      </c>
      <c r="AJ1" s="56" t="s">
        <v>44</v>
      </c>
      <c r="AK1" s="56" t="s">
        <v>45</v>
      </c>
      <c r="AL1" s="56" t="s">
        <v>46</v>
      </c>
      <c r="AM1" s="56" t="s">
        <v>47</v>
      </c>
      <c r="AN1" s="56" t="s">
        <v>48</v>
      </c>
      <c r="AO1" s="56" t="s">
        <v>49</v>
      </c>
      <c r="AP1" s="56" t="s">
        <v>50</v>
      </c>
      <c r="AQ1" s="56" t="s">
        <v>51</v>
      </c>
      <c r="AR1" s="56" t="s">
        <v>52</v>
      </c>
      <c r="AS1" s="56" t="s">
        <v>53</v>
      </c>
      <c r="AT1" s="56" t="s">
        <v>54</v>
      </c>
      <c r="AU1" s="56" t="s">
        <v>55</v>
      </c>
      <c r="AV1" s="56" t="s">
        <v>56</v>
      </c>
      <c r="AW1" s="56" t="s">
        <v>57</v>
      </c>
      <c r="AX1" s="56" t="s">
        <v>58</v>
      </c>
      <c r="AY1" s="56" t="s">
        <v>59</v>
      </c>
      <c r="AZ1" s="56" t="s">
        <v>60</v>
      </c>
      <c r="BA1" s="56" t="s">
        <v>61</v>
      </c>
      <c r="BB1" s="56" t="s">
        <v>62</v>
      </c>
      <c r="BC1" s="56" t="s">
        <v>63</v>
      </c>
      <c r="BD1" s="56" t="s">
        <v>64</v>
      </c>
      <c r="BE1" s="56" t="s">
        <v>65</v>
      </c>
      <c r="BF1" s="56" t="s">
        <v>66</v>
      </c>
      <c r="BG1" s="56" t="s">
        <v>67</v>
      </c>
      <c r="BH1" s="56" t="s">
        <v>68</v>
      </c>
      <c r="BI1" s="56" t="s">
        <v>69</v>
      </c>
      <c r="BJ1" s="56" t="s">
        <v>70</v>
      </c>
      <c r="BK1" s="56" t="s">
        <v>33</v>
      </c>
      <c r="BL1" s="55" t="s">
        <v>159</v>
      </c>
      <c r="BM1" s="56" t="s">
        <v>71</v>
      </c>
      <c r="BN1" s="56" t="s">
        <v>72</v>
      </c>
      <c r="BO1" s="56" t="s">
        <v>73</v>
      </c>
      <c r="BP1" s="56" t="s">
        <v>74</v>
      </c>
      <c r="BQ1" s="56" t="s">
        <v>75</v>
      </c>
      <c r="BR1" s="56" t="s">
        <v>76</v>
      </c>
      <c r="BS1" s="56" t="s">
        <v>77</v>
      </c>
      <c r="BT1" s="56" t="s">
        <v>78</v>
      </c>
      <c r="BU1" s="56" t="s">
        <v>79</v>
      </c>
      <c r="BV1" s="56" t="s">
        <v>80</v>
      </c>
      <c r="BW1" s="56" t="s">
        <v>81</v>
      </c>
      <c r="BX1" s="56" t="s">
        <v>82</v>
      </c>
      <c r="BY1" s="56" t="s">
        <v>83</v>
      </c>
      <c r="BZ1" s="56" t="s">
        <v>84</v>
      </c>
      <c r="CA1" s="56" t="s">
        <v>85</v>
      </c>
      <c r="CB1" s="56" t="s">
        <v>86</v>
      </c>
      <c r="CC1" s="56" t="s">
        <v>87</v>
      </c>
      <c r="CD1" s="56" t="s">
        <v>88</v>
      </c>
      <c r="CE1" s="56" t="s">
        <v>89</v>
      </c>
      <c r="CF1" s="56" t="s">
        <v>90</v>
      </c>
      <c r="CG1" s="56" t="s">
        <v>91</v>
      </c>
      <c r="CH1" s="56" t="s">
        <v>92</v>
      </c>
      <c r="CI1" s="56" t="s">
        <v>93</v>
      </c>
      <c r="CJ1" s="56" t="s">
        <v>94</v>
      </c>
      <c r="CK1" s="56" t="s">
        <v>95</v>
      </c>
      <c r="CL1" s="56" t="s">
        <v>96</v>
      </c>
      <c r="CM1" s="56" t="s">
        <v>97</v>
      </c>
      <c r="CN1" s="56" t="s">
        <v>98</v>
      </c>
      <c r="CO1" s="56" t="s">
        <v>99</v>
      </c>
      <c r="CP1" s="57" t="s">
        <v>165</v>
      </c>
      <c r="CQ1" s="58" t="s">
        <v>102</v>
      </c>
      <c r="CR1" s="58" t="s">
        <v>103</v>
      </c>
      <c r="CS1" s="58" t="s">
        <v>104</v>
      </c>
      <c r="CT1" s="58" t="s">
        <v>105</v>
      </c>
      <c r="CU1" s="162" t="s">
        <v>207</v>
      </c>
      <c r="CV1" s="162" t="s">
        <v>208</v>
      </c>
      <c r="CW1" s="162" t="s">
        <v>209</v>
      </c>
      <c r="CX1" s="159" t="s">
        <v>301</v>
      </c>
    </row>
    <row r="2" spans="1:102" hidden="1" x14ac:dyDescent="0.2">
      <c r="A2" s="59" t="s">
        <v>107</v>
      </c>
      <c r="B2" s="59" t="s">
        <v>35</v>
      </c>
      <c r="C2" s="60">
        <v>0.62070000000000003</v>
      </c>
      <c r="D2" s="61">
        <v>27549400</v>
      </c>
      <c r="E2" s="60">
        <v>0.64510000000000001</v>
      </c>
      <c r="F2" s="60">
        <v>0.59909999999999997</v>
      </c>
      <c r="G2" s="60">
        <v>0.72219999999999995</v>
      </c>
      <c r="H2" s="60">
        <v>0.65700000000000003</v>
      </c>
      <c r="I2" s="60">
        <v>0.5696</v>
      </c>
      <c r="J2" s="60">
        <v>0.33379999999999999</v>
      </c>
      <c r="K2" s="60"/>
      <c r="L2" s="60"/>
      <c r="M2" s="60">
        <v>0.4365</v>
      </c>
      <c r="N2" s="60">
        <v>0.66710000000000003</v>
      </c>
      <c r="O2" s="60">
        <v>0.62809999999999999</v>
      </c>
      <c r="P2" s="60">
        <v>0.65810000000000002</v>
      </c>
      <c r="Q2" s="60">
        <v>0.55630000000000002</v>
      </c>
      <c r="R2" s="60">
        <v>0.5655</v>
      </c>
      <c r="S2" s="60">
        <v>0.5605</v>
      </c>
      <c r="T2" s="60">
        <v>0.70779999999999998</v>
      </c>
      <c r="U2" s="60">
        <v>0.56810000000000005</v>
      </c>
      <c r="V2" s="60">
        <v>0.71030000000000004</v>
      </c>
      <c r="W2" s="60">
        <v>0.6159</v>
      </c>
      <c r="X2" s="60">
        <v>0.54800000000000004</v>
      </c>
      <c r="Y2" s="60">
        <v>0.71730000000000005</v>
      </c>
      <c r="Z2" s="60"/>
      <c r="AA2" s="60"/>
      <c r="AB2" s="60"/>
      <c r="AC2" s="60"/>
      <c r="AD2" s="60"/>
      <c r="AE2" s="60"/>
      <c r="AF2" s="60"/>
      <c r="AG2" s="60">
        <v>0.1235</v>
      </c>
      <c r="AH2" s="61">
        <v>5482500</v>
      </c>
      <c r="AI2" s="60">
        <v>0</v>
      </c>
      <c r="AJ2" s="60">
        <v>0</v>
      </c>
      <c r="AK2" s="60">
        <v>0</v>
      </c>
      <c r="AL2" s="60">
        <v>0</v>
      </c>
      <c r="AM2" s="60">
        <v>0</v>
      </c>
      <c r="AN2" s="60">
        <v>0</v>
      </c>
      <c r="AO2" s="60"/>
      <c r="AP2" s="60"/>
      <c r="AQ2" s="60">
        <v>0</v>
      </c>
      <c r="AR2" s="60">
        <v>0</v>
      </c>
      <c r="AS2" s="60">
        <v>0</v>
      </c>
      <c r="AT2" s="60">
        <v>0</v>
      </c>
      <c r="AU2" s="60">
        <v>0</v>
      </c>
      <c r="AV2" s="60">
        <v>0</v>
      </c>
      <c r="AW2" s="60">
        <v>0</v>
      </c>
      <c r="AX2" s="60">
        <v>0</v>
      </c>
      <c r="AY2" s="60">
        <v>0</v>
      </c>
      <c r="AZ2" s="60">
        <v>0</v>
      </c>
      <c r="BA2" s="60">
        <v>0</v>
      </c>
      <c r="BB2" s="60">
        <v>0</v>
      </c>
      <c r="BC2" s="60">
        <v>0</v>
      </c>
      <c r="BD2" s="60"/>
      <c r="BE2" s="60"/>
      <c r="BF2" s="60"/>
      <c r="BG2" s="60"/>
      <c r="BH2" s="60"/>
      <c r="BI2" s="60"/>
      <c r="BJ2" s="60"/>
      <c r="BK2" s="60">
        <v>0.25569999999999998</v>
      </c>
      <c r="BL2" s="61">
        <v>11349300</v>
      </c>
      <c r="BM2" s="60">
        <v>0.2419</v>
      </c>
      <c r="BN2" s="60">
        <v>0.26719999999999999</v>
      </c>
      <c r="BO2" s="60">
        <v>0.17349999999999999</v>
      </c>
      <c r="BP2" s="60">
        <v>0.21299999999999999</v>
      </c>
      <c r="BQ2" s="60">
        <v>0.29420000000000002</v>
      </c>
      <c r="BR2" s="60">
        <v>0.53620000000000001</v>
      </c>
      <c r="BS2" s="60"/>
      <c r="BT2" s="60"/>
      <c r="BU2" s="60">
        <v>0.433</v>
      </c>
      <c r="BV2" s="60">
        <v>0.2099</v>
      </c>
      <c r="BW2" s="60">
        <v>0.24929999999999999</v>
      </c>
      <c r="BX2" s="60">
        <v>0.22939999999999999</v>
      </c>
      <c r="BY2" s="60">
        <v>0.30609999999999998</v>
      </c>
      <c r="BZ2" s="60">
        <v>0.2868</v>
      </c>
      <c r="CA2" s="60">
        <v>0.30809999999999998</v>
      </c>
      <c r="CB2" s="60">
        <v>0.18909999999999999</v>
      </c>
      <c r="CC2" s="60">
        <v>0.2989</v>
      </c>
      <c r="CD2" s="60">
        <v>0.16520000000000001</v>
      </c>
      <c r="CE2" s="60">
        <v>0.2457</v>
      </c>
      <c r="CF2" s="60">
        <v>0.3281</v>
      </c>
      <c r="CG2" s="60">
        <v>0.19059999999999999</v>
      </c>
      <c r="CH2" s="60"/>
      <c r="CI2" s="60"/>
      <c r="CJ2" s="60"/>
      <c r="CK2" s="60"/>
      <c r="CL2" s="60"/>
      <c r="CM2" s="60"/>
      <c r="CN2" s="60"/>
      <c r="CO2" s="60">
        <v>0.74419999999999997</v>
      </c>
      <c r="CP2" s="62">
        <v>33031900</v>
      </c>
      <c r="CQ2" s="63">
        <v>-2.53E-2</v>
      </c>
      <c r="CR2" s="63">
        <v>-0.16289999999999999</v>
      </c>
      <c r="CS2" s="63">
        <v>-0.22309999999999999</v>
      </c>
      <c r="CT2" s="63">
        <v>-0.36270000000000002</v>
      </c>
      <c r="CU2" s="163"/>
      <c r="CV2" s="163"/>
      <c r="CW2" s="163"/>
      <c r="CX2" s="158"/>
    </row>
    <row r="3" spans="1:102" hidden="1" x14ac:dyDescent="0.2">
      <c r="A3" s="59" t="s">
        <v>107</v>
      </c>
      <c r="B3" s="59" t="s">
        <v>36</v>
      </c>
      <c r="C3" s="60">
        <v>0.61980000000000002</v>
      </c>
      <c r="D3" s="61">
        <v>27102400</v>
      </c>
      <c r="E3" s="60">
        <v>0.64449999999999996</v>
      </c>
      <c r="F3" s="60">
        <v>0.59750000000000003</v>
      </c>
      <c r="G3" s="60">
        <v>0.71240000000000003</v>
      </c>
      <c r="H3" s="60">
        <v>0.65639999999999998</v>
      </c>
      <c r="I3" s="60">
        <v>0.57820000000000005</v>
      </c>
      <c r="J3" s="60"/>
      <c r="K3" s="60"/>
      <c r="L3" s="60"/>
      <c r="M3" s="60">
        <v>0.4385</v>
      </c>
      <c r="N3" s="60">
        <v>0.66569999999999996</v>
      </c>
      <c r="O3" s="60">
        <v>0.62880000000000003</v>
      </c>
      <c r="P3" s="60">
        <v>0.6532</v>
      </c>
      <c r="Q3" s="60">
        <v>0.54790000000000005</v>
      </c>
      <c r="R3" s="60">
        <v>0.56530000000000002</v>
      </c>
      <c r="S3" s="60">
        <v>0.56869999999999998</v>
      </c>
      <c r="T3" s="60">
        <v>0.71389999999999998</v>
      </c>
      <c r="U3" s="60">
        <v>0.56669999999999998</v>
      </c>
      <c r="V3" s="60">
        <v>0.71140000000000003</v>
      </c>
      <c r="W3" s="60">
        <v>0.61129999999999995</v>
      </c>
      <c r="X3" s="60">
        <v>0.54249999999999998</v>
      </c>
      <c r="Y3" s="60">
        <v>0.70189999999999997</v>
      </c>
      <c r="Z3" s="60"/>
      <c r="AA3" s="60"/>
      <c r="AB3" s="60"/>
      <c r="AC3" s="60"/>
      <c r="AD3" s="60"/>
      <c r="AE3" s="60"/>
      <c r="AF3" s="60"/>
      <c r="AG3" s="60">
        <v>0.1241</v>
      </c>
      <c r="AH3" s="61">
        <v>6179600</v>
      </c>
      <c r="AI3" s="60">
        <v>0</v>
      </c>
      <c r="AJ3" s="60">
        <v>0</v>
      </c>
      <c r="AK3" s="60">
        <v>0</v>
      </c>
      <c r="AL3" s="60">
        <v>0</v>
      </c>
      <c r="AM3" s="60">
        <v>0</v>
      </c>
      <c r="AN3" s="60">
        <v>0</v>
      </c>
      <c r="AO3" s="60"/>
      <c r="AP3" s="60"/>
      <c r="AQ3" s="60">
        <v>0</v>
      </c>
      <c r="AR3" s="60">
        <v>0</v>
      </c>
      <c r="AS3" s="60">
        <v>0</v>
      </c>
      <c r="AT3" s="60">
        <v>0</v>
      </c>
      <c r="AU3" s="60">
        <v>0</v>
      </c>
      <c r="AV3" s="60">
        <v>0</v>
      </c>
      <c r="AW3" s="60">
        <v>0</v>
      </c>
      <c r="AX3" s="60">
        <v>0</v>
      </c>
      <c r="AY3" s="60">
        <v>0</v>
      </c>
      <c r="AZ3" s="60">
        <v>0</v>
      </c>
      <c r="BA3" s="60">
        <v>0</v>
      </c>
      <c r="BB3" s="60">
        <v>0</v>
      </c>
      <c r="BC3" s="60">
        <v>0</v>
      </c>
      <c r="BD3" s="60"/>
      <c r="BE3" s="60"/>
      <c r="BF3" s="60"/>
      <c r="BG3" s="60"/>
      <c r="BH3" s="60"/>
      <c r="BI3" s="60"/>
      <c r="BJ3" s="60"/>
      <c r="BK3" s="60">
        <v>0.25609999999999999</v>
      </c>
      <c r="BL3" s="61">
        <v>11456900</v>
      </c>
      <c r="BM3" s="60">
        <v>0.2427</v>
      </c>
      <c r="BN3" s="60">
        <v>0.26740000000000003</v>
      </c>
      <c r="BO3" s="60">
        <v>0.17849999999999999</v>
      </c>
      <c r="BP3" s="60">
        <v>0.2147</v>
      </c>
      <c r="BQ3" s="60">
        <v>0.28970000000000001</v>
      </c>
      <c r="BR3" s="60">
        <v>0.52590000000000003</v>
      </c>
      <c r="BS3" s="60"/>
      <c r="BT3" s="60"/>
      <c r="BU3" s="60">
        <v>0.43319999999999997</v>
      </c>
      <c r="BV3" s="60">
        <v>0.21029999999999999</v>
      </c>
      <c r="BW3" s="60">
        <v>0.24829999999999999</v>
      </c>
      <c r="BX3" s="60">
        <v>0.22750000000000001</v>
      </c>
      <c r="BY3" s="60">
        <v>0.30859999999999999</v>
      </c>
      <c r="BZ3" s="60">
        <v>0.29580000000000001</v>
      </c>
      <c r="CA3" s="60">
        <v>0.30209999999999998</v>
      </c>
      <c r="CB3" s="60">
        <v>0.18029999999999999</v>
      </c>
      <c r="CC3" s="60">
        <v>0.2994</v>
      </c>
      <c r="CD3" s="60">
        <v>0.16650000000000001</v>
      </c>
      <c r="CE3" s="60">
        <v>0.25069999999999998</v>
      </c>
      <c r="CF3" s="60">
        <v>0.33479999999999999</v>
      </c>
      <c r="CG3" s="60">
        <v>0.1983</v>
      </c>
      <c r="CH3" s="60"/>
      <c r="CI3" s="60"/>
      <c r="CJ3" s="60"/>
      <c r="CK3" s="60"/>
      <c r="CL3" s="60"/>
      <c r="CM3" s="60"/>
      <c r="CN3" s="60"/>
      <c r="CO3" s="60">
        <v>0.74390000000000001</v>
      </c>
      <c r="CP3" s="62">
        <v>33282000</v>
      </c>
      <c r="CQ3" s="63">
        <v>-2.47E-2</v>
      </c>
      <c r="CR3" s="63">
        <v>-0.16830000000000001</v>
      </c>
      <c r="CS3" s="63">
        <v>-0.22289999999999999</v>
      </c>
      <c r="CT3" s="63">
        <v>-0.34739999999999999</v>
      </c>
      <c r="CU3" s="163"/>
      <c r="CV3" s="163"/>
      <c r="CW3" s="163"/>
      <c r="CX3" s="158">
        <v>0.14899999999999999</v>
      </c>
    </row>
    <row r="4" spans="1:102" hidden="1" x14ac:dyDescent="0.2">
      <c r="A4" s="59" t="s">
        <v>107</v>
      </c>
      <c r="B4" s="59" t="s">
        <v>37</v>
      </c>
      <c r="C4" s="60">
        <v>0.61819999999999997</v>
      </c>
      <c r="D4" s="61">
        <v>27658700</v>
      </c>
      <c r="E4" s="60">
        <v>0.64180000000000004</v>
      </c>
      <c r="F4" s="60">
        <v>0.59650000000000003</v>
      </c>
      <c r="G4" s="60">
        <v>0.70620000000000005</v>
      </c>
      <c r="H4" s="60">
        <v>0.65580000000000005</v>
      </c>
      <c r="I4" s="60">
        <v>0.58279999999999998</v>
      </c>
      <c r="J4" s="60">
        <v>0.33550000000000002</v>
      </c>
      <c r="K4" s="60"/>
      <c r="L4" s="60"/>
      <c r="M4" s="60">
        <v>0.43619999999999998</v>
      </c>
      <c r="N4" s="60">
        <v>0.66390000000000005</v>
      </c>
      <c r="O4" s="60">
        <v>0.62880000000000003</v>
      </c>
      <c r="P4" s="60">
        <v>0.65269999999999995</v>
      </c>
      <c r="Q4" s="60">
        <v>0.5403</v>
      </c>
      <c r="R4" s="60">
        <v>0.55449999999999999</v>
      </c>
      <c r="S4" s="60">
        <v>0.56259999999999999</v>
      </c>
      <c r="T4" s="60">
        <v>0.71279999999999999</v>
      </c>
      <c r="U4" s="60">
        <v>0.56589999999999996</v>
      </c>
      <c r="V4" s="60">
        <v>0.71030000000000004</v>
      </c>
      <c r="W4" s="60">
        <v>0.61380000000000001</v>
      </c>
      <c r="X4" s="60">
        <v>0.53990000000000005</v>
      </c>
      <c r="Y4" s="60">
        <v>0.69940000000000002</v>
      </c>
      <c r="Z4" s="60"/>
      <c r="AA4" s="60"/>
      <c r="AB4" s="60"/>
      <c r="AC4" s="60"/>
      <c r="AD4" s="60"/>
      <c r="AE4" s="60"/>
      <c r="AF4" s="60"/>
      <c r="AG4" s="60">
        <v>0.12509999999999999</v>
      </c>
      <c r="AH4" s="61">
        <v>5595000</v>
      </c>
      <c r="AI4" s="60">
        <v>0</v>
      </c>
      <c r="AJ4" s="60">
        <v>0</v>
      </c>
      <c r="AK4" s="60">
        <v>0</v>
      </c>
      <c r="AL4" s="60">
        <v>0</v>
      </c>
      <c r="AM4" s="60">
        <v>0</v>
      </c>
      <c r="AN4" s="60">
        <v>0</v>
      </c>
      <c r="AO4" s="60"/>
      <c r="AP4" s="60"/>
      <c r="AQ4" s="60">
        <v>0</v>
      </c>
      <c r="AR4" s="60">
        <v>0</v>
      </c>
      <c r="AS4" s="60">
        <v>0</v>
      </c>
      <c r="AT4" s="60">
        <v>0</v>
      </c>
      <c r="AU4" s="60">
        <v>0</v>
      </c>
      <c r="AV4" s="60">
        <v>0</v>
      </c>
      <c r="AW4" s="60">
        <v>0</v>
      </c>
      <c r="AX4" s="60">
        <v>0</v>
      </c>
      <c r="AY4" s="60">
        <v>0</v>
      </c>
      <c r="AZ4" s="60">
        <v>0</v>
      </c>
      <c r="BA4" s="60">
        <v>0</v>
      </c>
      <c r="BB4" s="60">
        <v>0</v>
      </c>
      <c r="BC4" s="60">
        <v>0</v>
      </c>
      <c r="BD4" s="60"/>
      <c r="BE4" s="60"/>
      <c r="BF4" s="60"/>
      <c r="BG4" s="60"/>
      <c r="BH4" s="60"/>
      <c r="BI4" s="60"/>
      <c r="BJ4" s="60"/>
      <c r="BK4" s="60">
        <v>0.25669999999999998</v>
      </c>
      <c r="BL4" s="61">
        <v>11485300</v>
      </c>
      <c r="BM4" s="60">
        <v>0.24379999999999999</v>
      </c>
      <c r="BN4" s="60">
        <v>0.2681</v>
      </c>
      <c r="BO4" s="60">
        <v>0.184</v>
      </c>
      <c r="BP4" s="60">
        <v>0.21529999999999999</v>
      </c>
      <c r="BQ4" s="60">
        <v>0.28320000000000001</v>
      </c>
      <c r="BR4" s="60">
        <v>0.52580000000000005</v>
      </c>
      <c r="BS4" s="60"/>
      <c r="BT4" s="60"/>
      <c r="BU4" s="60">
        <v>0.434</v>
      </c>
      <c r="BV4" s="60">
        <v>0.21160000000000001</v>
      </c>
      <c r="BW4" s="60">
        <v>0.24740000000000001</v>
      </c>
      <c r="BX4" s="60">
        <v>0.23319999999999999</v>
      </c>
      <c r="BY4" s="60">
        <v>0.31850000000000001</v>
      </c>
      <c r="BZ4" s="60">
        <v>0.30109999999999998</v>
      </c>
      <c r="CA4" s="60">
        <v>0.29949999999999999</v>
      </c>
      <c r="CB4" s="60">
        <v>0.17929999999999999</v>
      </c>
      <c r="CC4" s="60">
        <v>0.30230000000000001</v>
      </c>
      <c r="CD4" s="60">
        <v>0.16800000000000001</v>
      </c>
      <c r="CE4" s="60">
        <v>0.24779999999999999</v>
      </c>
      <c r="CF4" s="60">
        <v>0.33400000000000002</v>
      </c>
      <c r="CG4" s="60">
        <v>0.2029</v>
      </c>
      <c r="CH4" s="60"/>
      <c r="CI4" s="60"/>
      <c r="CJ4" s="60"/>
      <c r="CK4" s="60"/>
      <c r="CL4" s="60"/>
      <c r="CM4" s="60"/>
      <c r="CN4" s="60"/>
      <c r="CO4" s="60">
        <v>0.74329999999999996</v>
      </c>
      <c r="CP4" s="62">
        <v>33253700</v>
      </c>
      <c r="CQ4" s="63">
        <v>-2.4299999999999999E-2</v>
      </c>
      <c r="CR4" s="63">
        <v>-0.16600000000000001</v>
      </c>
      <c r="CS4" s="63">
        <v>-0.22239999999999999</v>
      </c>
      <c r="CT4" s="63">
        <v>-0.34179999999999999</v>
      </c>
      <c r="CU4" s="163"/>
      <c r="CV4" s="163"/>
      <c r="CW4" s="163"/>
      <c r="CX4" s="158">
        <v>0.14749999999999999</v>
      </c>
    </row>
    <row r="5" spans="1:102" hidden="1" x14ac:dyDescent="0.2">
      <c r="A5" s="59" t="s">
        <v>107</v>
      </c>
      <c r="B5" s="59" t="s">
        <v>38</v>
      </c>
      <c r="C5" s="60">
        <v>0.623</v>
      </c>
      <c r="D5" s="61">
        <v>28025600</v>
      </c>
      <c r="E5" s="60">
        <v>0.64539999999999997</v>
      </c>
      <c r="F5" s="60">
        <v>0.6028</v>
      </c>
      <c r="G5" s="60">
        <v>0.71340000000000003</v>
      </c>
      <c r="H5" s="60">
        <v>0.65720000000000001</v>
      </c>
      <c r="I5" s="60">
        <v>0.58909999999999996</v>
      </c>
      <c r="J5" s="60">
        <v>0.3453</v>
      </c>
      <c r="K5" s="60"/>
      <c r="L5" s="60"/>
      <c r="M5" s="60">
        <v>0.44030000000000002</v>
      </c>
      <c r="N5" s="60">
        <v>0.67049999999999998</v>
      </c>
      <c r="O5" s="60">
        <v>0.63339999999999996</v>
      </c>
      <c r="P5" s="60">
        <v>0.65649999999999997</v>
      </c>
      <c r="Q5" s="60">
        <v>0.54810000000000003</v>
      </c>
      <c r="R5" s="60">
        <v>0.56520000000000004</v>
      </c>
      <c r="S5" s="60">
        <v>0.60189999999999999</v>
      </c>
      <c r="T5" s="60">
        <v>0.71389999999999998</v>
      </c>
      <c r="U5" s="60">
        <v>0.57030000000000003</v>
      </c>
      <c r="V5" s="60">
        <v>0.71409999999999996</v>
      </c>
      <c r="W5" s="60">
        <v>0.62180000000000002</v>
      </c>
      <c r="X5" s="60">
        <v>0.54190000000000005</v>
      </c>
      <c r="Y5" s="60">
        <v>0.69930000000000003</v>
      </c>
      <c r="Z5" s="60"/>
      <c r="AA5" s="60"/>
      <c r="AB5" s="60"/>
      <c r="AC5" s="60"/>
      <c r="AD5" s="60"/>
      <c r="AE5" s="60"/>
      <c r="AF5" s="60"/>
      <c r="AG5" s="60">
        <v>0.12479999999999999</v>
      </c>
      <c r="AH5" s="61">
        <v>5615400</v>
      </c>
      <c r="AI5" s="60">
        <v>0</v>
      </c>
      <c r="AJ5" s="60">
        <v>0</v>
      </c>
      <c r="AK5" s="60">
        <v>0</v>
      </c>
      <c r="AL5" s="60">
        <v>0</v>
      </c>
      <c r="AM5" s="60">
        <v>0</v>
      </c>
      <c r="AN5" s="60">
        <v>0</v>
      </c>
      <c r="AO5" s="60"/>
      <c r="AP5" s="60"/>
      <c r="AQ5" s="60">
        <v>0</v>
      </c>
      <c r="AR5" s="60">
        <v>0</v>
      </c>
      <c r="AS5" s="60">
        <v>0</v>
      </c>
      <c r="AT5" s="60">
        <v>0</v>
      </c>
      <c r="AU5" s="60">
        <v>0</v>
      </c>
      <c r="AV5" s="60">
        <v>0</v>
      </c>
      <c r="AW5" s="60">
        <v>0</v>
      </c>
      <c r="AX5" s="60">
        <v>0</v>
      </c>
      <c r="AY5" s="60">
        <v>0</v>
      </c>
      <c r="AZ5" s="60">
        <v>0</v>
      </c>
      <c r="BA5" s="60">
        <v>0</v>
      </c>
      <c r="BB5" s="60">
        <v>0</v>
      </c>
      <c r="BC5" s="60">
        <v>0</v>
      </c>
      <c r="BD5" s="60"/>
      <c r="BE5" s="60"/>
      <c r="BF5" s="60"/>
      <c r="BG5" s="60"/>
      <c r="BH5" s="60"/>
      <c r="BI5" s="60"/>
      <c r="BJ5" s="60"/>
      <c r="BK5" s="60">
        <v>0.25209999999999999</v>
      </c>
      <c r="BL5" s="61">
        <v>11340500</v>
      </c>
      <c r="BM5" s="60">
        <v>0.2382</v>
      </c>
      <c r="BN5" s="60">
        <v>0.26429999999999998</v>
      </c>
      <c r="BO5" s="60">
        <v>0.17910000000000001</v>
      </c>
      <c r="BP5" s="60">
        <v>0.2132</v>
      </c>
      <c r="BQ5" s="60">
        <v>0.27529999999999999</v>
      </c>
      <c r="BR5" s="60">
        <v>0.51739999999999997</v>
      </c>
      <c r="BS5" s="60"/>
      <c r="BT5" s="60"/>
      <c r="BU5" s="60">
        <v>0.42359999999999998</v>
      </c>
      <c r="BV5" s="60">
        <v>0.20680000000000001</v>
      </c>
      <c r="BW5" s="60">
        <v>0.24229999999999999</v>
      </c>
      <c r="BX5" s="60">
        <v>0.2316</v>
      </c>
      <c r="BY5" s="60">
        <v>0.3135</v>
      </c>
      <c r="BZ5" s="60">
        <v>0.29060000000000002</v>
      </c>
      <c r="CA5" s="60">
        <v>0.2641</v>
      </c>
      <c r="CB5" s="60">
        <v>0.1807</v>
      </c>
      <c r="CC5" s="60">
        <v>0.30109999999999998</v>
      </c>
      <c r="CD5" s="60">
        <v>0.16350000000000001</v>
      </c>
      <c r="CE5" s="60">
        <v>0.2422</v>
      </c>
      <c r="CF5" s="60">
        <v>0.32679999999999998</v>
      </c>
      <c r="CG5" s="60">
        <v>0.20780000000000001</v>
      </c>
      <c r="CH5" s="60"/>
      <c r="CI5" s="60"/>
      <c r="CJ5" s="60"/>
      <c r="CK5" s="60"/>
      <c r="CL5" s="60"/>
      <c r="CM5" s="60"/>
      <c r="CN5" s="60"/>
      <c r="CO5" s="60">
        <v>0.74780000000000002</v>
      </c>
      <c r="CP5" s="62">
        <v>33641000</v>
      </c>
      <c r="CQ5" s="63">
        <v>-2.6100000000000002E-2</v>
      </c>
      <c r="CR5" s="63">
        <v>-0.1633</v>
      </c>
      <c r="CS5" s="63">
        <v>-0.21679999999999999</v>
      </c>
      <c r="CT5" s="63">
        <v>-0.33829999999999999</v>
      </c>
      <c r="CU5" s="163"/>
      <c r="CV5" s="163"/>
      <c r="CW5" s="163"/>
      <c r="CX5" s="158">
        <v>0.13930000000000001</v>
      </c>
    </row>
    <row r="6" spans="1:102" hidden="1" x14ac:dyDescent="0.2">
      <c r="A6" s="59" t="s">
        <v>107</v>
      </c>
      <c r="B6" s="59" t="s">
        <v>39</v>
      </c>
      <c r="C6" s="60">
        <v>0.62719999999999998</v>
      </c>
      <c r="D6" s="61">
        <v>28210400</v>
      </c>
      <c r="E6" s="60">
        <v>0.64839999999999998</v>
      </c>
      <c r="F6" s="60">
        <v>0.60809999999999997</v>
      </c>
      <c r="G6" s="60">
        <v>0.71909999999999996</v>
      </c>
      <c r="H6" s="60">
        <v>0.66090000000000004</v>
      </c>
      <c r="I6" s="60">
        <v>0.59179999999999999</v>
      </c>
      <c r="J6" s="60">
        <v>0.35360000000000003</v>
      </c>
      <c r="K6" s="60"/>
      <c r="L6" s="60"/>
      <c r="M6" s="60">
        <v>0.44829999999999998</v>
      </c>
      <c r="N6" s="60">
        <v>0.67559999999999998</v>
      </c>
      <c r="O6" s="60">
        <v>0.63590000000000002</v>
      </c>
      <c r="P6" s="60">
        <v>0.66759999999999997</v>
      </c>
      <c r="Q6" s="60">
        <v>0.56310000000000004</v>
      </c>
      <c r="R6" s="60">
        <v>0.56559999999999999</v>
      </c>
      <c r="S6" s="60">
        <v>0.64410000000000001</v>
      </c>
      <c r="T6" s="60">
        <v>0.72270000000000001</v>
      </c>
      <c r="U6" s="60">
        <v>0.56420000000000003</v>
      </c>
      <c r="V6" s="60">
        <v>0.71689999999999998</v>
      </c>
      <c r="W6" s="60">
        <v>0.62819999999999998</v>
      </c>
      <c r="X6" s="60">
        <v>0.54120000000000001</v>
      </c>
      <c r="Y6" s="60">
        <v>0.7087</v>
      </c>
      <c r="Z6" s="60"/>
      <c r="AA6" s="60"/>
      <c r="AB6" s="60"/>
      <c r="AC6" s="60"/>
      <c r="AD6" s="60"/>
      <c r="AE6" s="60"/>
      <c r="AF6" s="60"/>
      <c r="AG6" s="60">
        <v>0.1221</v>
      </c>
      <c r="AH6" s="61">
        <v>5494300</v>
      </c>
      <c r="AI6" s="60">
        <v>0</v>
      </c>
      <c r="AJ6" s="60">
        <v>0</v>
      </c>
      <c r="AK6" s="60">
        <v>0</v>
      </c>
      <c r="AL6" s="60">
        <v>0</v>
      </c>
      <c r="AM6" s="60">
        <v>0</v>
      </c>
      <c r="AN6" s="60">
        <v>0</v>
      </c>
      <c r="AO6" s="60"/>
      <c r="AP6" s="60"/>
      <c r="AQ6" s="60">
        <v>0</v>
      </c>
      <c r="AR6" s="60">
        <v>0</v>
      </c>
      <c r="AS6" s="60">
        <v>0</v>
      </c>
      <c r="AT6" s="60">
        <v>0</v>
      </c>
      <c r="AU6" s="60">
        <v>0</v>
      </c>
      <c r="AV6" s="60">
        <v>0</v>
      </c>
      <c r="AW6" s="60">
        <v>0</v>
      </c>
      <c r="AX6" s="60">
        <v>0</v>
      </c>
      <c r="AY6" s="60">
        <v>0</v>
      </c>
      <c r="AZ6" s="60">
        <v>0</v>
      </c>
      <c r="BA6" s="60">
        <v>0</v>
      </c>
      <c r="BB6" s="60">
        <v>0</v>
      </c>
      <c r="BC6" s="60">
        <v>0</v>
      </c>
      <c r="BD6" s="60"/>
      <c r="BE6" s="60"/>
      <c r="BF6" s="60"/>
      <c r="BG6" s="60"/>
      <c r="BH6" s="60"/>
      <c r="BI6" s="60"/>
      <c r="BJ6" s="60"/>
      <c r="BK6" s="60">
        <v>0.25069999999999998</v>
      </c>
      <c r="BL6" s="61">
        <v>11276800</v>
      </c>
      <c r="BM6" s="60">
        <v>0.23899999999999999</v>
      </c>
      <c r="BN6" s="60">
        <v>0.26050000000000001</v>
      </c>
      <c r="BO6" s="60">
        <v>0.17549999999999999</v>
      </c>
      <c r="BP6" s="60">
        <v>0.21210000000000001</v>
      </c>
      <c r="BQ6" s="60">
        <v>0.27529999999999999</v>
      </c>
      <c r="BR6" s="60">
        <v>0.51580000000000004</v>
      </c>
      <c r="BS6" s="60"/>
      <c r="BT6" s="60"/>
      <c r="BU6" s="60">
        <v>0.42</v>
      </c>
      <c r="BV6" s="60">
        <v>0.2046</v>
      </c>
      <c r="BW6" s="60">
        <v>0.24229999999999999</v>
      </c>
      <c r="BX6" s="60">
        <v>0.221</v>
      </c>
      <c r="BY6" s="60">
        <v>0.30059999999999998</v>
      </c>
      <c r="BZ6" s="60">
        <v>0.28360000000000002</v>
      </c>
      <c r="CA6" s="60">
        <v>0.22850000000000001</v>
      </c>
      <c r="CB6" s="60">
        <v>0.1867</v>
      </c>
      <c r="CC6" s="60">
        <v>0.3054</v>
      </c>
      <c r="CD6" s="60">
        <v>0.1613</v>
      </c>
      <c r="CE6" s="60">
        <v>0.24049999999999999</v>
      </c>
      <c r="CF6" s="60">
        <v>0.33169999999999999</v>
      </c>
      <c r="CG6" s="60">
        <v>0.19769999999999999</v>
      </c>
      <c r="CH6" s="60"/>
      <c r="CI6" s="60"/>
      <c r="CJ6" s="60"/>
      <c r="CK6" s="60"/>
      <c r="CL6" s="60"/>
      <c r="CM6" s="60"/>
      <c r="CN6" s="60"/>
      <c r="CO6" s="60">
        <v>0.74929999999999997</v>
      </c>
      <c r="CP6" s="62">
        <v>33704700</v>
      </c>
      <c r="CQ6" s="63">
        <v>-2.1499999999999998E-2</v>
      </c>
      <c r="CR6" s="63">
        <v>-0.1704</v>
      </c>
      <c r="CS6" s="63">
        <v>-0.21540000000000001</v>
      </c>
      <c r="CT6" s="63">
        <v>-0.34029999999999999</v>
      </c>
      <c r="CU6" s="163"/>
      <c r="CV6" s="163"/>
      <c r="CW6" s="163"/>
      <c r="CX6" s="158">
        <v>0.1386</v>
      </c>
    </row>
    <row r="7" spans="1:102" hidden="1" x14ac:dyDescent="0.2">
      <c r="A7" s="59" t="s">
        <v>107</v>
      </c>
      <c r="B7" s="59" t="s">
        <v>40</v>
      </c>
      <c r="C7" s="60">
        <v>0.63160000000000005</v>
      </c>
      <c r="D7" s="61">
        <v>28565100</v>
      </c>
      <c r="E7" s="60">
        <v>0.65449999999999997</v>
      </c>
      <c r="F7" s="60">
        <v>0.61150000000000004</v>
      </c>
      <c r="G7" s="60">
        <v>0.71150000000000002</v>
      </c>
      <c r="H7" s="60">
        <v>0.66300000000000003</v>
      </c>
      <c r="I7" s="60">
        <v>0.60340000000000005</v>
      </c>
      <c r="J7" s="60">
        <v>0.38119999999999998</v>
      </c>
      <c r="K7" s="60"/>
      <c r="L7" s="60"/>
      <c r="M7" s="60">
        <v>0.46079999999999999</v>
      </c>
      <c r="N7" s="60">
        <v>0.67710000000000004</v>
      </c>
      <c r="O7" s="60">
        <v>0.64159999999999995</v>
      </c>
      <c r="P7" s="60">
        <v>0.65869999999999995</v>
      </c>
      <c r="Q7" s="60">
        <v>0.55800000000000005</v>
      </c>
      <c r="R7" s="60">
        <v>0.56910000000000005</v>
      </c>
      <c r="S7" s="60">
        <v>0.64219999999999999</v>
      </c>
      <c r="T7" s="60">
        <v>0.70930000000000004</v>
      </c>
      <c r="U7" s="60">
        <v>0.58940000000000003</v>
      </c>
      <c r="V7" s="60">
        <v>0.71930000000000005</v>
      </c>
      <c r="W7" s="60">
        <v>0.62919999999999998</v>
      </c>
      <c r="X7" s="60">
        <v>0.54190000000000005</v>
      </c>
      <c r="Y7" s="60">
        <v>0.70920000000000005</v>
      </c>
      <c r="Z7" s="60"/>
      <c r="AA7" s="60"/>
      <c r="AB7" s="60"/>
      <c r="AC7" s="60"/>
      <c r="AD7" s="60"/>
      <c r="AE7" s="60"/>
      <c r="AF7" s="60"/>
      <c r="AG7" s="60">
        <v>0.12039999999999999</v>
      </c>
      <c r="AH7" s="61">
        <v>5446000</v>
      </c>
      <c r="AI7" s="60">
        <v>0</v>
      </c>
      <c r="AJ7" s="60">
        <v>0</v>
      </c>
      <c r="AK7" s="60">
        <v>0</v>
      </c>
      <c r="AL7" s="60">
        <v>0</v>
      </c>
      <c r="AM7" s="60">
        <v>0</v>
      </c>
      <c r="AN7" s="60">
        <v>0</v>
      </c>
      <c r="AO7" s="60"/>
      <c r="AP7" s="60"/>
      <c r="AQ7" s="60">
        <v>0</v>
      </c>
      <c r="AR7" s="60">
        <v>0</v>
      </c>
      <c r="AS7" s="60">
        <v>0</v>
      </c>
      <c r="AT7" s="60">
        <v>0</v>
      </c>
      <c r="AU7" s="60">
        <v>0</v>
      </c>
      <c r="AV7" s="60">
        <v>0</v>
      </c>
      <c r="AW7" s="60">
        <v>0</v>
      </c>
      <c r="AX7" s="60">
        <v>0</v>
      </c>
      <c r="AY7" s="60">
        <v>0</v>
      </c>
      <c r="AZ7" s="60">
        <v>0</v>
      </c>
      <c r="BA7" s="60">
        <v>0</v>
      </c>
      <c r="BB7" s="60">
        <v>0</v>
      </c>
      <c r="BC7" s="60">
        <v>0</v>
      </c>
      <c r="BD7" s="60"/>
      <c r="BE7" s="60"/>
      <c r="BF7" s="60"/>
      <c r="BG7" s="60"/>
      <c r="BH7" s="60"/>
      <c r="BI7" s="60"/>
      <c r="BJ7" s="60"/>
      <c r="BK7" s="60">
        <v>0.248</v>
      </c>
      <c r="BL7" s="61">
        <v>11217600</v>
      </c>
      <c r="BM7" s="60">
        <v>0.23649999999999999</v>
      </c>
      <c r="BN7" s="60">
        <v>0.2571</v>
      </c>
      <c r="BO7" s="60">
        <v>0.1822</v>
      </c>
      <c r="BP7" s="60">
        <v>0.2109</v>
      </c>
      <c r="BQ7" s="60">
        <v>0.26850000000000002</v>
      </c>
      <c r="BR7" s="60">
        <v>0.49459999999999998</v>
      </c>
      <c r="BS7" s="60"/>
      <c r="BT7" s="60"/>
      <c r="BU7" s="60">
        <v>0.4098</v>
      </c>
      <c r="BV7" s="60">
        <v>0.20480000000000001</v>
      </c>
      <c r="BW7" s="60">
        <v>0.2384</v>
      </c>
      <c r="BX7" s="60">
        <v>0.22869999999999999</v>
      </c>
      <c r="BY7" s="60">
        <v>0.31409999999999999</v>
      </c>
      <c r="BZ7" s="60">
        <v>0.28720000000000001</v>
      </c>
      <c r="CA7" s="60">
        <v>0.24729999999999999</v>
      </c>
      <c r="CB7" s="60">
        <v>0.19</v>
      </c>
      <c r="CC7" s="60">
        <v>0.26989999999999997</v>
      </c>
      <c r="CD7" s="60">
        <v>0.1623</v>
      </c>
      <c r="CE7" s="60">
        <v>0.24160000000000001</v>
      </c>
      <c r="CF7" s="60">
        <v>0.33029999999999998</v>
      </c>
      <c r="CG7" s="60">
        <v>0.19309999999999999</v>
      </c>
      <c r="CH7" s="60"/>
      <c r="CI7" s="60"/>
      <c r="CJ7" s="60"/>
      <c r="CK7" s="60"/>
      <c r="CL7" s="60"/>
      <c r="CM7" s="60"/>
      <c r="CN7" s="60"/>
      <c r="CO7" s="60">
        <v>0.752</v>
      </c>
      <c r="CP7" s="62">
        <v>34011100</v>
      </c>
      <c r="CQ7" s="63">
        <v>-2.06E-2</v>
      </c>
      <c r="CR7" s="63">
        <v>-0.16800000000000001</v>
      </c>
      <c r="CS7" s="63">
        <v>-0.20499999999999999</v>
      </c>
      <c r="CT7" s="63">
        <v>-0.31240000000000001</v>
      </c>
      <c r="CU7" s="163"/>
      <c r="CV7" s="163"/>
      <c r="CW7" s="163"/>
      <c r="CX7" s="158">
        <v>0.13650000000000001</v>
      </c>
    </row>
    <row r="8" spans="1:102" hidden="1" x14ac:dyDescent="0.2">
      <c r="A8" s="59" t="s">
        <v>107</v>
      </c>
      <c r="B8" s="59" t="s">
        <v>41</v>
      </c>
      <c r="C8" s="60">
        <v>0.63270000000000004</v>
      </c>
      <c r="D8" s="61">
        <v>28615000</v>
      </c>
      <c r="E8" s="60">
        <v>0.65339999999999998</v>
      </c>
      <c r="F8" s="60">
        <v>0.61480000000000001</v>
      </c>
      <c r="G8" s="60">
        <v>0.70230000000000004</v>
      </c>
      <c r="H8" s="60">
        <v>0.66069999999999995</v>
      </c>
      <c r="I8" s="60">
        <v>0.61060000000000003</v>
      </c>
      <c r="J8" s="60">
        <v>0.40479999999999999</v>
      </c>
      <c r="K8" s="60"/>
      <c r="L8" s="60"/>
      <c r="M8" s="60">
        <v>0.47310000000000002</v>
      </c>
      <c r="N8" s="60">
        <v>0.67500000000000004</v>
      </c>
      <c r="O8" s="60">
        <v>0.64610000000000001</v>
      </c>
      <c r="P8" s="60">
        <v>0.65310000000000001</v>
      </c>
      <c r="Q8" s="60">
        <v>0.53859999999999997</v>
      </c>
      <c r="R8" s="60">
        <v>0.57740000000000002</v>
      </c>
      <c r="S8" s="60">
        <v>0.61029999999999995</v>
      </c>
      <c r="T8" s="60">
        <v>0.67510000000000003</v>
      </c>
      <c r="U8" s="60">
        <v>0.60929999999999995</v>
      </c>
      <c r="V8" s="60">
        <v>0.71950000000000003</v>
      </c>
      <c r="W8" s="60">
        <v>0.62580000000000002</v>
      </c>
      <c r="X8" s="60">
        <v>0.53959999999999997</v>
      </c>
      <c r="Y8" s="60">
        <v>0.71299999999999997</v>
      </c>
      <c r="Z8" s="60"/>
      <c r="AA8" s="60"/>
      <c r="AB8" s="60"/>
      <c r="AC8" s="60"/>
      <c r="AD8" s="60"/>
      <c r="AE8" s="60"/>
      <c r="AF8" s="60"/>
      <c r="AG8" s="60">
        <v>0.1215</v>
      </c>
      <c r="AH8" s="61">
        <v>5496400</v>
      </c>
      <c r="AI8" s="60">
        <v>0</v>
      </c>
      <c r="AJ8" s="60">
        <v>0</v>
      </c>
      <c r="AK8" s="60">
        <v>0</v>
      </c>
      <c r="AL8" s="60">
        <v>0</v>
      </c>
      <c r="AM8" s="60">
        <v>0</v>
      </c>
      <c r="AN8" s="60">
        <v>0</v>
      </c>
      <c r="AO8" s="60"/>
      <c r="AP8" s="60"/>
      <c r="AQ8" s="60">
        <v>0</v>
      </c>
      <c r="AR8" s="60">
        <v>0</v>
      </c>
      <c r="AS8" s="60">
        <v>0</v>
      </c>
      <c r="AT8" s="60">
        <v>0</v>
      </c>
      <c r="AU8" s="60">
        <v>0</v>
      </c>
      <c r="AV8" s="60">
        <v>0</v>
      </c>
      <c r="AW8" s="60">
        <v>0</v>
      </c>
      <c r="AX8" s="60">
        <v>0</v>
      </c>
      <c r="AY8" s="60">
        <v>0</v>
      </c>
      <c r="AZ8" s="60">
        <v>0</v>
      </c>
      <c r="BA8" s="60">
        <v>0</v>
      </c>
      <c r="BB8" s="60">
        <v>0</v>
      </c>
      <c r="BC8" s="60">
        <v>0</v>
      </c>
      <c r="BD8" s="60"/>
      <c r="BE8" s="60"/>
      <c r="BF8" s="60"/>
      <c r="BG8" s="60"/>
      <c r="BH8" s="60"/>
      <c r="BI8" s="60"/>
      <c r="BJ8" s="60"/>
      <c r="BK8" s="60">
        <v>0.24579999999999999</v>
      </c>
      <c r="BL8" s="61">
        <v>11117300</v>
      </c>
      <c r="BM8" s="60">
        <v>0.23599999999999999</v>
      </c>
      <c r="BN8" s="60">
        <v>0.25330000000000003</v>
      </c>
      <c r="BO8" s="60">
        <v>0.18990000000000001</v>
      </c>
      <c r="BP8" s="60">
        <v>0.2127</v>
      </c>
      <c r="BQ8" s="60">
        <v>0.26179999999999998</v>
      </c>
      <c r="BR8" s="60">
        <v>0.46410000000000001</v>
      </c>
      <c r="BS8" s="60"/>
      <c r="BT8" s="60"/>
      <c r="BU8" s="60">
        <v>0.3977</v>
      </c>
      <c r="BV8" s="60">
        <v>0.20469999999999999</v>
      </c>
      <c r="BW8" s="60">
        <v>0.2324</v>
      </c>
      <c r="BX8" s="60">
        <v>0.23599999999999999</v>
      </c>
      <c r="BY8" s="60">
        <v>0.33279999999999998</v>
      </c>
      <c r="BZ8" s="60">
        <v>0.29449999999999998</v>
      </c>
      <c r="CA8" s="60">
        <v>0.2475</v>
      </c>
      <c r="CB8" s="60">
        <v>0.20250000000000001</v>
      </c>
      <c r="CC8" s="60">
        <v>0.26219999999999999</v>
      </c>
      <c r="CD8" s="60">
        <v>0.16189999999999999</v>
      </c>
      <c r="CE8" s="60">
        <v>0.2432</v>
      </c>
      <c r="CF8" s="60">
        <v>0.33179999999999998</v>
      </c>
      <c r="CG8" s="60">
        <v>0.1908</v>
      </c>
      <c r="CH8" s="60"/>
      <c r="CI8" s="60"/>
      <c r="CJ8" s="60"/>
      <c r="CK8" s="60"/>
      <c r="CL8" s="60"/>
      <c r="CM8" s="60"/>
      <c r="CN8" s="60"/>
      <c r="CO8" s="60">
        <v>0.75419999999999998</v>
      </c>
      <c r="CP8" s="62">
        <v>34111400</v>
      </c>
      <c r="CQ8" s="63">
        <v>-1.7299999999999999E-2</v>
      </c>
      <c r="CR8" s="63">
        <v>-0.1699</v>
      </c>
      <c r="CS8" s="63">
        <v>-0.193</v>
      </c>
      <c r="CT8" s="63">
        <v>-0.2742</v>
      </c>
      <c r="CU8" s="163"/>
      <c r="CV8" s="163"/>
      <c r="CW8" s="163"/>
      <c r="CX8" s="158">
        <v>0.13350000000000001</v>
      </c>
    </row>
    <row r="9" spans="1:102" hidden="1" x14ac:dyDescent="0.2">
      <c r="A9" s="59" t="s">
        <v>107</v>
      </c>
      <c r="B9" s="59" t="s">
        <v>155</v>
      </c>
      <c r="C9" s="60">
        <v>0.62809999999999999</v>
      </c>
      <c r="D9" s="61">
        <v>28558100</v>
      </c>
      <c r="E9" s="60">
        <v>0.64580000000000004</v>
      </c>
      <c r="F9" s="60">
        <v>0.61270000000000002</v>
      </c>
      <c r="G9" s="60">
        <v>0.69099999999999995</v>
      </c>
      <c r="H9" s="60">
        <v>0.6643</v>
      </c>
      <c r="I9" s="60">
        <v>0.60460000000000003</v>
      </c>
      <c r="J9" s="60">
        <v>0.40239999999999998</v>
      </c>
      <c r="K9" s="60">
        <v>0.67720000000000002</v>
      </c>
      <c r="L9" s="60">
        <v>0.54969999999999997</v>
      </c>
      <c r="M9" s="60">
        <v>0.47</v>
      </c>
      <c r="N9" s="60">
        <v>0.67</v>
      </c>
      <c r="O9" s="60">
        <v>0.64190000000000003</v>
      </c>
      <c r="P9" s="60">
        <v>0.65269999999999995</v>
      </c>
      <c r="Q9" s="60">
        <v>0.52990000000000004</v>
      </c>
      <c r="R9" s="60">
        <v>0.57050000000000001</v>
      </c>
      <c r="S9" s="60">
        <v>0.6069</v>
      </c>
      <c r="T9" s="60">
        <v>0.68659999999999999</v>
      </c>
      <c r="U9" s="60">
        <v>0.56379999999999997</v>
      </c>
      <c r="V9" s="60">
        <v>0.71899999999999997</v>
      </c>
      <c r="W9" s="60">
        <v>0.62480000000000002</v>
      </c>
      <c r="X9" s="60">
        <v>0.53339999999999999</v>
      </c>
      <c r="Y9" s="60">
        <v>0.69369999999999998</v>
      </c>
      <c r="Z9" s="60">
        <v>0.6754</v>
      </c>
      <c r="AA9" s="60">
        <v>0.54379999999999995</v>
      </c>
      <c r="AB9" s="60">
        <v>0.52929999999999999</v>
      </c>
      <c r="AC9" s="60">
        <v>0.55020000000000002</v>
      </c>
      <c r="AD9" s="60">
        <v>0.30930000000000002</v>
      </c>
      <c r="AE9" s="60">
        <v>0.73939999999999995</v>
      </c>
      <c r="AF9" s="60">
        <v>0.54820000000000002</v>
      </c>
      <c r="AG9" s="60">
        <v>0.1174</v>
      </c>
      <c r="AH9" s="61">
        <v>5338500</v>
      </c>
      <c r="AI9" s="60">
        <v>0</v>
      </c>
      <c r="AJ9" s="60">
        <v>0</v>
      </c>
      <c r="AK9" s="60">
        <v>0</v>
      </c>
      <c r="AL9" s="60">
        <v>0</v>
      </c>
      <c r="AM9" s="60">
        <v>0</v>
      </c>
      <c r="AN9" s="60">
        <v>0</v>
      </c>
      <c r="AO9" s="60">
        <v>0</v>
      </c>
      <c r="AP9" s="60">
        <v>0</v>
      </c>
      <c r="AQ9" s="60">
        <v>0</v>
      </c>
      <c r="AR9" s="60">
        <v>0</v>
      </c>
      <c r="AS9" s="60">
        <v>0</v>
      </c>
      <c r="AT9" s="60">
        <v>0</v>
      </c>
      <c r="AU9" s="60">
        <v>0</v>
      </c>
      <c r="AV9" s="60">
        <v>0</v>
      </c>
      <c r="AW9" s="60">
        <v>0</v>
      </c>
      <c r="AX9" s="60">
        <v>0</v>
      </c>
      <c r="AY9" s="60">
        <v>0</v>
      </c>
      <c r="AZ9" s="60">
        <v>0</v>
      </c>
      <c r="BA9" s="60">
        <v>0</v>
      </c>
      <c r="BB9" s="60">
        <v>0</v>
      </c>
      <c r="BC9" s="60">
        <v>0</v>
      </c>
      <c r="BD9" s="60">
        <v>0</v>
      </c>
      <c r="BE9" s="60">
        <v>0</v>
      </c>
      <c r="BF9" s="60">
        <v>0</v>
      </c>
      <c r="BG9" s="60">
        <v>0</v>
      </c>
      <c r="BH9" s="60">
        <v>0</v>
      </c>
      <c r="BI9" s="60">
        <v>0</v>
      </c>
      <c r="BJ9" s="60">
        <v>0</v>
      </c>
      <c r="BK9" s="60">
        <v>0.2545</v>
      </c>
      <c r="BL9" s="61">
        <v>11573600</v>
      </c>
      <c r="BM9" s="60">
        <v>0.24759999999999999</v>
      </c>
      <c r="BN9" s="60">
        <v>0.25919999999999999</v>
      </c>
      <c r="BO9" s="60">
        <v>0.2024</v>
      </c>
      <c r="BP9" s="60">
        <v>0.2172</v>
      </c>
      <c r="BQ9" s="60">
        <v>0.27160000000000001</v>
      </c>
      <c r="BR9" s="60">
        <v>0.46789999999999998</v>
      </c>
      <c r="BS9" s="60">
        <v>0</v>
      </c>
      <c r="BT9" s="60">
        <v>0</v>
      </c>
      <c r="BU9" s="60">
        <v>0.4037</v>
      </c>
      <c r="BV9" s="60">
        <v>0.21410000000000001</v>
      </c>
      <c r="BW9" s="60">
        <v>0.2407</v>
      </c>
      <c r="BX9" s="60">
        <v>0.2394</v>
      </c>
      <c r="BY9" s="60">
        <v>0.3427</v>
      </c>
      <c r="BZ9" s="60">
        <v>0.2974</v>
      </c>
      <c r="CA9" s="60">
        <v>0.24179999999999999</v>
      </c>
      <c r="CB9" s="60">
        <v>0.2137</v>
      </c>
      <c r="CC9" s="60">
        <v>0.3347</v>
      </c>
      <c r="CD9" s="60">
        <v>0.16550000000000001</v>
      </c>
      <c r="CE9" s="60">
        <v>0.24959999999999999</v>
      </c>
      <c r="CF9" s="60">
        <v>0.34660000000000002</v>
      </c>
      <c r="CG9" s="60">
        <v>0.2109</v>
      </c>
      <c r="CH9" s="60">
        <v>0</v>
      </c>
      <c r="CI9" s="60">
        <v>0</v>
      </c>
      <c r="CJ9" s="60">
        <v>0</v>
      </c>
      <c r="CK9" s="60">
        <v>0</v>
      </c>
      <c r="CL9" s="60">
        <v>1</v>
      </c>
      <c r="CM9" s="60">
        <v>0</v>
      </c>
      <c r="CN9" s="60">
        <v>0</v>
      </c>
      <c r="CO9" s="60">
        <v>0.74550000000000005</v>
      </c>
      <c r="CP9" s="62">
        <v>33896600</v>
      </c>
      <c r="CQ9" s="63">
        <v>-1.1599999999999999E-2</v>
      </c>
      <c r="CR9" s="63">
        <v>-0.18110000000000001</v>
      </c>
      <c r="CS9" s="63">
        <v>-0.18959999999999999</v>
      </c>
      <c r="CT9" s="63">
        <v>-0.26550000000000001</v>
      </c>
      <c r="CU9" s="163"/>
      <c r="CV9" s="163"/>
      <c r="CW9" s="163"/>
      <c r="CX9" s="158">
        <v>0.13469999999999999</v>
      </c>
    </row>
    <row r="10" spans="1:102" hidden="1" x14ac:dyDescent="0.2">
      <c r="A10" s="59" t="s">
        <v>107</v>
      </c>
      <c r="B10" s="59" t="s">
        <v>42</v>
      </c>
      <c r="C10" s="60">
        <v>7.3999999999999604E-3</v>
      </c>
      <c r="D10" s="61">
        <v>1008700</v>
      </c>
      <c r="E10" s="60">
        <v>7.0000000000003404E-4</v>
      </c>
      <c r="F10" s="60">
        <v>1.36000000000001E-2</v>
      </c>
      <c r="G10" s="60">
        <v>-3.1199999999999999E-2</v>
      </c>
      <c r="H10" s="60">
        <v>7.2999999999999697E-3</v>
      </c>
      <c r="I10" s="60">
        <v>3.5000000000000003E-2</v>
      </c>
      <c r="J10" s="60">
        <v>6.8599999999999994E-2</v>
      </c>
      <c r="K10" s="60">
        <v>0.67720000000000002</v>
      </c>
      <c r="L10" s="60">
        <v>0.54969999999999997</v>
      </c>
      <c r="M10" s="60">
        <v>3.3500000000000002E-2</v>
      </c>
      <c r="N10" s="60">
        <v>2.9000000000000102E-3</v>
      </c>
      <c r="O10" s="60">
        <v>1.38E-2</v>
      </c>
      <c r="P10" s="60">
        <v>-5.4000000000000697E-3</v>
      </c>
      <c r="Q10" s="60">
        <v>-2.64E-2</v>
      </c>
      <c r="R10" s="60">
        <v>5.0000000000000001E-3</v>
      </c>
      <c r="S10" s="60">
        <v>4.6399999999999997E-2</v>
      </c>
      <c r="T10" s="60">
        <v>-2.12E-2</v>
      </c>
      <c r="U10" s="60">
        <v>-4.3000000000000798E-3</v>
      </c>
      <c r="V10" s="60">
        <v>8.69999999999993E-3</v>
      </c>
      <c r="W10" s="60">
        <v>8.9000000000000207E-3</v>
      </c>
      <c r="X10" s="60">
        <v>-1.4600000000000101E-2</v>
      </c>
      <c r="Y10" s="60">
        <v>-2.36000000000001E-2</v>
      </c>
      <c r="Z10" s="60">
        <v>0.6754</v>
      </c>
      <c r="AA10" s="60">
        <v>0.54379999999999995</v>
      </c>
      <c r="AB10" s="60">
        <v>0.52929999999999999</v>
      </c>
      <c r="AC10" s="60">
        <v>0.55020000000000002</v>
      </c>
      <c r="AD10" s="60">
        <v>0.30930000000000002</v>
      </c>
      <c r="AE10" s="60">
        <v>0.73939999999999995</v>
      </c>
      <c r="AF10" s="60">
        <v>0.54820000000000002</v>
      </c>
      <c r="AG10" s="60">
        <v>-6.09999999999999E-3</v>
      </c>
      <c r="AH10" s="61">
        <v>-144000</v>
      </c>
      <c r="AI10" s="60">
        <v>0</v>
      </c>
      <c r="AJ10" s="60">
        <v>0</v>
      </c>
      <c r="AK10" s="60">
        <v>0</v>
      </c>
      <c r="AL10" s="60">
        <v>0</v>
      </c>
      <c r="AM10" s="60">
        <v>0</v>
      </c>
      <c r="AN10" s="60">
        <v>0</v>
      </c>
      <c r="AO10" s="60">
        <v>0</v>
      </c>
      <c r="AP10" s="60">
        <v>0</v>
      </c>
      <c r="AQ10" s="60">
        <v>0</v>
      </c>
      <c r="AR10" s="60">
        <v>0</v>
      </c>
      <c r="AS10" s="60">
        <v>0</v>
      </c>
      <c r="AT10" s="60">
        <v>0</v>
      </c>
      <c r="AU10" s="60">
        <v>0</v>
      </c>
      <c r="AV10" s="60">
        <v>0</v>
      </c>
      <c r="AW10" s="60">
        <v>0</v>
      </c>
      <c r="AX10" s="60">
        <v>0</v>
      </c>
      <c r="AY10" s="60">
        <v>0</v>
      </c>
      <c r="AZ10" s="60">
        <v>0</v>
      </c>
      <c r="BA10" s="60">
        <v>0</v>
      </c>
      <c r="BB10" s="60">
        <v>0</v>
      </c>
      <c r="BC10" s="60">
        <v>0</v>
      </c>
      <c r="BD10" s="60">
        <v>0</v>
      </c>
      <c r="BE10" s="60">
        <v>0</v>
      </c>
      <c r="BF10" s="60">
        <v>0</v>
      </c>
      <c r="BG10" s="60">
        <v>0</v>
      </c>
      <c r="BH10" s="60">
        <v>0</v>
      </c>
      <c r="BI10" s="60">
        <v>0</v>
      </c>
      <c r="BJ10" s="60">
        <v>0</v>
      </c>
      <c r="BK10" s="60">
        <v>-1.1999999999999799E-3</v>
      </c>
      <c r="BL10" s="61">
        <v>224300</v>
      </c>
      <c r="BM10" s="60">
        <v>5.6999999999999803E-3</v>
      </c>
      <c r="BN10" s="60">
        <v>-8.0000000000000106E-3</v>
      </c>
      <c r="BO10" s="60">
        <v>2.8899999999999999E-2</v>
      </c>
      <c r="BP10" s="60">
        <v>4.2000000000000101E-3</v>
      </c>
      <c r="BQ10" s="60">
        <v>-2.2599999999999999E-2</v>
      </c>
      <c r="BR10" s="60">
        <v>-6.83E-2</v>
      </c>
      <c r="BS10" s="60">
        <v>0</v>
      </c>
      <c r="BT10" s="60">
        <v>0</v>
      </c>
      <c r="BU10" s="60">
        <v>-2.93E-2</v>
      </c>
      <c r="BV10" s="60">
        <v>4.2000000000000101E-3</v>
      </c>
      <c r="BW10" s="60">
        <v>-8.6E-3</v>
      </c>
      <c r="BX10" s="60">
        <v>0.01</v>
      </c>
      <c r="BY10" s="60">
        <v>3.6600000000000001E-2</v>
      </c>
      <c r="BZ10" s="60">
        <v>1.06E-2</v>
      </c>
      <c r="CA10" s="60">
        <v>-6.6299999999999998E-2</v>
      </c>
      <c r="CB10" s="60">
        <v>2.46E-2</v>
      </c>
      <c r="CC10" s="60">
        <v>3.5799999999999998E-2</v>
      </c>
      <c r="CD10" s="60">
        <v>2.9999999999999499E-4</v>
      </c>
      <c r="CE10" s="60">
        <v>3.8999999999999898E-3</v>
      </c>
      <c r="CF10" s="60">
        <v>1.8499999999999999E-2</v>
      </c>
      <c r="CG10" s="60">
        <v>2.0299999999999999E-2</v>
      </c>
      <c r="CH10" s="60">
        <v>0</v>
      </c>
      <c r="CI10" s="60">
        <v>0</v>
      </c>
      <c r="CJ10" s="60">
        <v>0</v>
      </c>
      <c r="CK10" s="60">
        <v>0</v>
      </c>
      <c r="CL10" s="60">
        <v>1</v>
      </c>
      <c r="CM10" s="60">
        <v>0</v>
      </c>
      <c r="CN10" s="60">
        <v>0</v>
      </c>
      <c r="CO10" s="60">
        <v>1.30000000000008E-3</v>
      </c>
      <c r="CP10" s="62">
        <v>864700</v>
      </c>
      <c r="CQ10" s="63">
        <v>1.37E-2</v>
      </c>
      <c r="CR10" s="63">
        <v>-1.8200000000000001E-2</v>
      </c>
      <c r="CS10" s="63">
        <v>3.3500000000000002E-2</v>
      </c>
      <c r="CT10" s="63">
        <v>9.7200000000000106E-2</v>
      </c>
      <c r="CU10" s="163"/>
      <c r="CV10" s="163"/>
      <c r="CW10" s="163"/>
      <c r="CX10" s="158"/>
    </row>
    <row r="11" spans="1:102" hidden="1" x14ac:dyDescent="0.2">
      <c r="A11" s="59" t="s">
        <v>108</v>
      </c>
      <c r="B11" s="59" t="s">
        <v>35</v>
      </c>
      <c r="C11" s="60">
        <v>0.59354515323705703</v>
      </c>
      <c r="D11" s="61">
        <v>1304400</v>
      </c>
      <c r="E11" s="60">
        <v>0.62127982286135197</v>
      </c>
      <c r="F11" s="60">
        <v>0.56859401289415301</v>
      </c>
      <c r="G11" s="60">
        <v>0.690466172816946</v>
      </c>
      <c r="H11" s="60">
        <v>0.60897500112828895</v>
      </c>
      <c r="I11" s="60">
        <v>0.53122579009302795</v>
      </c>
      <c r="J11" s="60">
        <v>0.32429596339150901</v>
      </c>
      <c r="K11" s="60"/>
      <c r="L11" s="60"/>
      <c r="M11" s="60">
        <v>0.40983400149099403</v>
      </c>
      <c r="N11" s="60">
        <v>0.64463428535327405</v>
      </c>
      <c r="O11" s="60">
        <v>0.60303692507886897</v>
      </c>
      <c r="P11" s="60">
        <v>0.63657029755625005</v>
      </c>
      <c r="Q11" s="60">
        <v>0.56447615375129001</v>
      </c>
      <c r="R11" s="60">
        <v>0.50882067292621103</v>
      </c>
      <c r="S11" s="60">
        <v>0.40122575806746802</v>
      </c>
      <c r="T11" s="60">
        <v>0.66594707585075197</v>
      </c>
      <c r="U11" s="60">
        <v>0.50178122506959</v>
      </c>
      <c r="V11" s="60">
        <v>0.69099733866269097</v>
      </c>
      <c r="W11" s="60">
        <v>0.58400888756618097</v>
      </c>
      <c r="X11" s="60">
        <v>0.50818780381991202</v>
      </c>
      <c r="Y11" s="60"/>
      <c r="Z11" s="60"/>
      <c r="AA11" s="60"/>
      <c r="AB11" s="60"/>
      <c r="AC11" s="60"/>
      <c r="AD11" s="60"/>
      <c r="AE11" s="60"/>
      <c r="AF11" s="60"/>
      <c r="AG11" s="60">
        <v>0.12127418328613</v>
      </c>
      <c r="AH11" s="61">
        <v>266500</v>
      </c>
      <c r="AI11" s="60">
        <v>0.110408780400718</v>
      </c>
      <c r="AJ11" s="60">
        <v>0.13187914490560501</v>
      </c>
      <c r="AK11" s="60">
        <v>0.111263738312077</v>
      </c>
      <c r="AL11" s="60">
        <v>0.12264871264464799</v>
      </c>
      <c r="AM11" s="60">
        <v>0.133572896690106</v>
      </c>
      <c r="AN11" s="60">
        <v>0.12516436675498999</v>
      </c>
      <c r="AO11" s="60"/>
      <c r="AP11" s="60"/>
      <c r="AQ11" s="60">
        <v>0.12950228862944699</v>
      </c>
      <c r="AR11" s="60">
        <v>0.12154361704710499</v>
      </c>
      <c r="AS11" s="60">
        <v>0.122476624147587</v>
      </c>
      <c r="AT11" s="60">
        <v>0.12308579474122799</v>
      </c>
      <c r="AU11" s="60">
        <v>0.12433155192032901</v>
      </c>
      <c r="AV11" s="60"/>
      <c r="AW11" s="60"/>
      <c r="AX11" s="60"/>
      <c r="AY11" s="60">
        <v>8.1783837408066898E-2</v>
      </c>
      <c r="AZ11" s="60">
        <v>0.12082074225616</v>
      </c>
      <c r="BA11" s="60">
        <v>0.13661283962201801</v>
      </c>
      <c r="BB11" s="60">
        <v>0.117213255214265</v>
      </c>
      <c r="BC11" s="60"/>
      <c r="BD11" s="60"/>
      <c r="BE11" s="60"/>
      <c r="BF11" s="60"/>
      <c r="BG11" s="60"/>
      <c r="BH11" s="60"/>
      <c r="BI11" s="60"/>
      <c r="BJ11" s="60"/>
      <c r="BK11" s="60">
        <v>0.28520000000000001</v>
      </c>
      <c r="BL11" s="61">
        <v>626700</v>
      </c>
      <c r="BM11" s="60">
        <v>0.26831139673792898</v>
      </c>
      <c r="BN11" s="60">
        <v>0.299526842200245</v>
      </c>
      <c r="BO11" s="60">
        <v>0.198270088870975</v>
      </c>
      <c r="BP11" s="60">
        <v>0.268376286227062</v>
      </c>
      <c r="BQ11" s="60">
        <v>0.33520131321686603</v>
      </c>
      <c r="BR11" s="60">
        <v>0.5505396698535</v>
      </c>
      <c r="BS11" s="60"/>
      <c r="BT11" s="60"/>
      <c r="BU11" s="60">
        <v>0.46066370987955901</v>
      </c>
      <c r="BV11" s="60">
        <v>0.233822097599624</v>
      </c>
      <c r="BW11" s="60">
        <v>0.27448645077355199</v>
      </c>
      <c r="BX11" s="60">
        <v>0.24034390770252301</v>
      </c>
      <c r="BY11" s="60">
        <v>0.31119229432838003</v>
      </c>
      <c r="BZ11" s="60">
        <v>0.37036705049796198</v>
      </c>
      <c r="CA11" s="60">
        <v>0.46304899568934199</v>
      </c>
      <c r="CB11" s="60">
        <v>0.267419895595913</v>
      </c>
      <c r="CC11" s="60">
        <v>0.41643493752234301</v>
      </c>
      <c r="CD11" s="60">
        <v>0.18818191908114801</v>
      </c>
      <c r="CE11" s="60">
        <v>0.279378272811801</v>
      </c>
      <c r="CF11" s="60">
        <v>0.37459894096582302</v>
      </c>
      <c r="CG11" s="60"/>
      <c r="CH11" s="60"/>
      <c r="CI11" s="60"/>
      <c r="CJ11" s="60"/>
      <c r="CK11" s="60"/>
      <c r="CL11" s="60"/>
      <c r="CM11" s="60"/>
      <c r="CN11" s="60"/>
      <c r="CO11" s="60">
        <v>0.71481933652318597</v>
      </c>
      <c r="CP11" s="62">
        <v>1570900</v>
      </c>
      <c r="CQ11" s="63">
        <v>-3.12154454623155E-2</v>
      </c>
      <c r="CR11" s="63">
        <v>-0.18641702188467499</v>
      </c>
      <c r="CS11" s="63">
        <v>-0.22684161227993499</v>
      </c>
      <c r="CT11" s="63">
        <v>-0.35226958098252498</v>
      </c>
      <c r="CU11" s="163"/>
      <c r="CV11" s="163"/>
      <c r="CW11" s="163"/>
      <c r="CX11" s="158"/>
    </row>
    <row r="12" spans="1:102" hidden="1" x14ac:dyDescent="0.2">
      <c r="A12" s="59" t="s">
        <v>108</v>
      </c>
      <c r="B12" s="59" t="s">
        <v>36</v>
      </c>
      <c r="C12" s="60">
        <v>0.60929999999999995</v>
      </c>
      <c r="D12" s="61">
        <v>1350400</v>
      </c>
      <c r="E12" s="60">
        <v>0.62867111800971698</v>
      </c>
      <c r="F12" s="60">
        <v>0.56438790928361504</v>
      </c>
      <c r="G12" s="60">
        <v>0.69171791546731498</v>
      </c>
      <c r="H12" s="60">
        <v>0.61007485659089</v>
      </c>
      <c r="I12" s="60">
        <v>0.524423551612755</v>
      </c>
      <c r="J12" s="60">
        <v>0.33935377397751698</v>
      </c>
      <c r="K12" s="60"/>
      <c r="L12" s="60"/>
      <c r="M12" s="60">
        <v>0.41840850345296898</v>
      </c>
      <c r="N12" s="60">
        <v>0.64607571722742996</v>
      </c>
      <c r="O12" s="60">
        <v>0.60864624127975697</v>
      </c>
      <c r="P12" s="60">
        <v>0.63543248123991303</v>
      </c>
      <c r="Q12" s="60">
        <v>0.52185299240156502</v>
      </c>
      <c r="R12" s="60">
        <v>0.54248081438992402</v>
      </c>
      <c r="S12" s="60">
        <v>0.44668366626311501</v>
      </c>
      <c r="T12" s="60">
        <v>0.69777673333470003</v>
      </c>
      <c r="U12" s="60">
        <v>0.50954814529969705</v>
      </c>
      <c r="V12" s="60">
        <v>0.67986245374984999</v>
      </c>
      <c r="W12" s="60">
        <v>0.59005977935888598</v>
      </c>
      <c r="X12" s="60">
        <v>0.51109188178914</v>
      </c>
      <c r="Y12" s="60"/>
      <c r="Z12" s="60"/>
      <c r="AA12" s="60"/>
      <c r="AB12" s="60"/>
      <c r="AC12" s="60"/>
      <c r="AD12" s="60"/>
      <c r="AE12" s="60"/>
      <c r="AF12" s="60"/>
      <c r="AG12" s="60">
        <v>0.1149</v>
      </c>
      <c r="AH12" s="61">
        <v>254700</v>
      </c>
      <c r="AI12" s="60">
        <v>0.111130839569274</v>
      </c>
      <c r="AJ12" s="60">
        <v>0.14618292678652101</v>
      </c>
      <c r="AK12" s="60">
        <v>0.11647662351509699</v>
      </c>
      <c r="AL12" s="60">
        <v>0.131785240304089</v>
      </c>
      <c r="AM12" s="60">
        <v>0.14080576508389001</v>
      </c>
      <c r="AN12" s="60">
        <v>0.13337307215305599</v>
      </c>
      <c r="AO12" s="60"/>
      <c r="AP12" s="60"/>
      <c r="AQ12" s="60">
        <v>0.124839382391391</v>
      </c>
      <c r="AR12" s="60">
        <v>0.13079767645874499</v>
      </c>
      <c r="AS12" s="60">
        <v>0.126559096137428</v>
      </c>
      <c r="AT12" s="60">
        <v>0.13222838271396101</v>
      </c>
      <c r="AU12" s="60">
        <v>0.150094997332507</v>
      </c>
      <c r="AV12" s="60"/>
      <c r="AW12" s="60"/>
      <c r="AX12" s="60"/>
      <c r="AY12" s="60"/>
      <c r="AZ12" s="60">
        <v>0.129095966829122</v>
      </c>
      <c r="BA12" s="60">
        <v>0.14096881769460201</v>
      </c>
      <c r="BB12" s="60">
        <v>0.120466093130074</v>
      </c>
      <c r="BC12" s="60"/>
      <c r="BD12" s="60"/>
      <c r="BE12" s="60"/>
      <c r="BF12" s="60"/>
      <c r="BG12" s="60"/>
      <c r="BH12" s="60"/>
      <c r="BI12" s="60"/>
      <c r="BJ12" s="60"/>
      <c r="BK12" s="60">
        <v>0.275726068258764</v>
      </c>
      <c r="BL12" s="61">
        <v>611000</v>
      </c>
      <c r="BM12" s="60">
        <v>0.26019804242101102</v>
      </c>
      <c r="BN12" s="60">
        <v>0.28942916392986301</v>
      </c>
      <c r="BO12" s="60">
        <v>0.191805461017586</v>
      </c>
      <c r="BP12" s="60">
        <v>0.25813990310502299</v>
      </c>
      <c r="BQ12" s="60">
        <v>0.33477068330335302</v>
      </c>
      <c r="BR12" s="60">
        <v>0.52727315386942697</v>
      </c>
      <c r="BS12" s="60"/>
      <c r="BT12" s="60"/>
      <c r="BU12" s="60">
        <v>0.45675211415563899</v>
      </c>
      <c r="BV12" s="60">
        <v>0.223126606313824</v>
      </c>
      <c r="BW12" s="60">
        <v>0.26479466258281498</v>
      </c>
      <c r="BX12" s="60">
        <v>0.23233913604612599</v>
      </c>
      <c r="BY12" s="60">
        <v>0.32805201026592801</v>
      </c>
      <c r="BZ12" s="60">
        <v>0.33349278996262799</v>
      </c>
      <c r="CA12" s="60"/>
      <c r="CB12" s="60">
        <v>0.20007125619449001</v>
      </c>
      <c r="CC12" s="60">
        <v>0.36038526655397302</v>
      </c>
      <c r="CD12" s="60">
        <v>0.19104157942102901</v>
      </c>
      <c r="CE12" s="60">
        <v>0.26897140294651201</v>
      </c>
      <c r="CF12" s="60">
        <v>0.36844202508078799</v>
      </c>
      <c r="CG12" s="60"/>
      <c r="CH12" s="60"/>
      <c r="CI12" s="60"/>
      <c r="CJ12" s="60"/>
      <c r="CK12" s="60"/>
      <c r="CL12" s="60"/>
      <c r="CM12" s="60"/>
      <c r="CN12" s="60"/>
      <c r="CO12" s="60">
        <v>0.72419999999999995</v>
      </c>
      <c r="CP12" s="62">
        <v>1605100</v>
      </c>
      <c r="CQ12" s="63">
        <v>-2.92311215088529E-2</v>
      </c>
      <c r="CR12" s="63">
        <v>-0.17740044565975899</v>
      </c>
      <c r="CS12" s="63">
        <v>-0.23362550784181499</v>
      </c>
      <c r="CT12" s="63">
        <v>-0.33546769285184003</v>
      </c>
      <c r="CU12" s="163"/>
      <c r="CV12" s="163"/>
      <c r="CW12" s="163"/>
      <c r="CX12" s="158">
        <v>0.14549999999999999</v>
      </c>
    </row>
    <row r="13" spans="1:102" hidden="1" x14ac:dyDescent="0.2">
      <c r="A13" s="59" t="s">
        <v>108</v>
      </c>
      <c r="B13" s="59" t="s">
        <v>37</v>
      </c>
      <c r="C13" s="60">
        <v>0.61350000000000005</v>
      </c>
      <c r="D13" s="61">
        <v>1360400</v>
      </c>
      <c r="E13" s="60">
        <v>0.64037304338300205</v>
      </c>
      <c r="F13" s="60">
        <v>0.58656480169437397</v>
      </c>
      <c r="G13" s="60">
        <v>0.70911165079837801</v>
      </c>
      <c r="H13" s="60">
        <v>0.62989444160628205</v>
      </c>
      <c r="I13" s="60">
        <v>0.55880388261660796</v>
      </c>
      <c r="J13" s="60">
        <v>0.30296816494970402</v>
      </c>
      <c r="K13" s="60"/>
      <c r="L13" s="60"/>
      <c r="M13" s="60">
        <v>0.422863016413841</v>
      </c>
      <c r="N13" s="60">
        <v>0.66584573135769998</v>
      </c>
      <c r="O13" s="60">
        <v>0.63006540420194301</v>
      </c>
      <c r="P13" s="60">
        <v>0.64794485090173004</v>
      </c>
      <c r="Q13" s="60">
        <v>0.52346914395599298</v>
      </c>
      <c r="R13" s="60">
        <v>0.55122602000473098</v>
      </c>
      <c r="S13" s="60">
        <v>0.52584329641212602</v>
      </c>
      <c r="T13" s="60">
        <v>0.74972373983463703</v>
      </c>
      <c r="U13" s="60">
        <v>0.58523518896978499</v>
      </c>
      <c r="V13" s="60">
        <v>0.70155801954473396</v>
      </c>
      <c r="W13" s="60">
        <v>0.61803539360058501</v>
      </c>
      <c r="X13" s="60">
        <v>0.51505236417741496</v>
      </c>
      <c r="Y13" s="60"/>
      <c r="Z13" s="60"/>
      <c r="AA13" s="60"/>
      <c r="AB13" s="60"/>
      <c r="AC13" s="60"/>
      <c r="AD13" s="60"/>
      <c r="AE13" s="60"/>
      <c r="AF13" s="60"/>
      <c r="AG13" s="60">
        <v>0.109</v>
      </c>
      <c r="AH13" s="61">
        <v>241700</v>
      </c>
      <c r="AI13" s="60">
        <v>9.6454661420770901E-2</v>
      </c>
      <c r="AJ13" s="60">
        <v>0.12131766336847</v>
      </c>
      <c r="AK13" s="60">
        <v>8.9371904516717199E-2</v>
      </c>
      <c r="AL13" s="60">
        <v>0.112023126811542</v>
      </c>
      <c r="AM13" s="60">
        <v>0.12689178875493001</v>
      </c>
      <c r="AN13" s="60">
        <v>0.13449958312267199</v>
      </c>
      <c r="AO13" s="60"/>
      <c r="AP13" s="60"/>
      <c r="AQ13" s="60">
        <v>0.122120707947192</v>
      </c>
      <c r="AR13" s="60">
        <v>0.106763461604165</v>
      </c>
      <c r="AS13" s="60">
        <v>0.108137740559657</v>
      </c>
      <c r="AT13" s="60">
        <v>9.2851348597575295E-2</v>
      </c>
      <c r="AU13" s="60">
        <v>0.122380104181128</v>
      </c>
      <c r="AV13" s="60"/>
      <c r="AW13" s="60"/>
      <c r="AX13" s="60"/>
      <c r="AY13" s="60"/>
      <c r="AZ13" s="60">
        <v>0.109113441524834</v>
      </c>
      <c r="BA13" s="60">
        <v>0.11635792292425</v>
      </c>
      <c r="BB13" s="60">
        <v>0.107453869264393</v>
      </c>
      <c r="BC13" s="60"/>
      <c r="BD13" s="60"/>
      <c r="BE13" s="60"/>
      <c r="BF13" s="60"/>
      <c r="BG13" s="60"/>
      <c r="BH13" s="60"/>
      <c r="BI13" s="60"/>
      <c r="BJ13" s="60"/>
      <c r="BK13" s="60">
        <v>0.26650000000000001</v>
      </c>
      <c r="BL13" s="61">
        <v>615500</v>
      </c>
      <c r="BM13" s="60">
        <v>0.26317229519622598</v>
      </c>
      <c r="BN13" s="60">
        <v>0.29211753493716203</v>
      </c>
      <c r="BO13" s="60">
        <v>0.20151644468490601</v>
      </c>
      <c r="BP13" s="60">
        <v>0.25808243158217897</v>
      </c>
      <c r="BQ13" s="60">
        <v>0.31430432862846203</v>
      </c>
      <c r="BR13" s="60">
        <v>0.56253225192762302</v>
      </c>
      <c r="BS13" s="60"/>
      <c r="BT13" s="60"/>
      <c r="BU13" s="60">
        <v>0.45501627563896702</v>
      </c>
      <c r="BV13" s="60">
        <v>0.227390807038134</v>
      </c>
      <c r="BW13" s="60">
        <v>0.26179685523840102</v>
      </c>
      <c r="BX13" s="60">
        <v>0.25920380050069403</v>
      </c>
      <c r="BY13" s="60">
        <v>0.35415075186287898</v>
      </c>
      <c r="BZ13" s="60">
        <v>0.36993058774071202</v>
      </c>
      <c r="CA13" s="60"/>
      <c r="CB13" s="60"/>
      <c r="CC13" s="60">
        <v>0.23001426135258901</v>
      </c>
      <c r="CD13" s="60">
        <v>0.189328538930434</v>
      </c>
      <c r="CE13" s="60">
        <v>0.26560668347516903</v>
      </c>
      <c r="CF13" s="60">
        <v>0.377493766558192</v>
      </c>
      <c r="CG13" s="60"/>
      <c r="CH13" s="60"/>
      <c r="CI13" s="60"/>
      <c r="CJ13" s="60"/>
      <c r="CK13" s="60"/>
      <c r="CL13" s="60"/>
      <c r="CM13" s="60"/>
      <c r="CN13" s="60"/>
      <c r="CO13" s="60">
        <v>0.72250000000000003</v>
      </c>
      <c r="CP13" s="62">
        <v>1602100</v>
      </c>
      <c r="CQ13" s="63">
        <v>-2.8945239740936601E-2</v>
      </c>
      <c r="CR13" s="63">
        <v>-0.188165227627758</v>
      </c>
      <c r="CS13" s="63">
        <v>-0.22762546860083299</v>
      </c>
      <c r="CT13" s="63">
        <v>-0.36101580724271698</v>
      </c>
      <c r="CU13" s="163"/>
      <c r="CV13" s="163"/>
      <c r="CW13" s="163"/>
      <c r="CX13" s="158">
        <v>0.1368</v>
      </c>
    </row>
    <row r="14" spans="1:102" hidden="1" x14ac:dyDescent="0.2">
      <c r="A14" s="59" t="s">
        <v>108</v>
      </c>
      <c r="B14" s="59" t="s">
        <v>38</v>
      </c>
      <c r="C14" s="60">
        <v>0.60602960631650005</v>
      </c>
      <c r="D14" s="61">
        <v>1349700</v>
      </c>
      <c r="E14" s="60">
        <v>0.63014533215805002</v>
      </c>
      <c r="F14" s="60">
        <v>0.58347968229105995</v>
      </c>
      <c r="G14" s="60">
        <v>0.69518780663267699</v>
      </c>
      <c r="H14" s="60">
        <v>0.618545026591934</v>
      </c>
      <c r="I14" s="60">
        <v>0.56329567146313697</v>
      </c>
      <c r="J14" s="60">
        <v>0.30997534103353402</v>
      </c>
      <c r="K14" s="60"/>
      <c r="L14" s="60"/>
      <c r="M14" s="60">
        <v>0.41468789895414698</v>
      </c>
      <c r="N14" s="60">
        <v>0.65388709272443901</v>
      </c>
      <c r="O14" s="60">
        <v>0.62115694004948696</v>
      </c>
      <c r="P14" s="60">
        <v>0.63067034670976796</v>
      </c>
      <c r="Q14" s="60">
        <v>0.52205327100848797</v>
      </c>
      <c r="R14" s="60">
        <v>0.546928734497794</v>
      </c>
      <c r="S14" s="60">
        <v>0.70175627120295703</v>
      </c>
      <c r="T14" s="60">
        <v>0.71670081724748003</v>
      </c>
      <c r="U14" s="60">
        <v>0.507435799821779</v>
      </c>
      <c r="V14" s="60">
        <v>0.69385913330881599</v>
      </c>
      <c r="W14" s="60">
        <v>0.60582142705957198</v>
      </c>
      <c r="X14" s="60">
        <v>0.50046604389937899</v>
      </c>
      <c r="Y14" s="60"/>
      <c r="Z14" s="60"/>
      <c r="AA14" s="60"/>
      <c r="AB14" s="60"/>
      <c r="AC14" s="60"/>
      <c r="AD14" s="60"/>
      <c r="AE14" s="60"/>
      <c r="AF14" s="60"/>
      <c r="AG14" s="60">
        <v>0.123222967575197</v>
      </c>
      <c r="AH14" s="61">
        <v>274400</v>
      </c>
      <c r="AI14" s="60">
        <v>0.113617025209946</v>
      </c>
      <c r="AJ14" s="60">
        <v>0.13217019499274099</v>
      </c>
      <c r="AK14" s="60">
        <v>0.112164528154375</v>
      </c>
      <c r="AL14" s="60">
        <v>0.12507448521008499</v>
      </c>
      <c r="AM14" s="60">
        <v>0.13632282022384401</v>
      </c>
      <c r="AN14" s="60">
        <v>0.13219196383821999</v>
      </c>
      <c r="AO14" s="60"/>
      <c r="AP14" s="60"/>
      <c r="AQ14" s="60">
        <v>0.13934568904292399</v>
      </c>
      <c r="AR14" s="60">
        <v>0.12114162099313899</v>
      </c>
      <c r="AS14" s="60">
        <v>0.125938547029431</v>
      </c>
      <c r="AT14" s="60">
        <v>0.110682237139745</v>
      </c>
      <c r="AU14" s="60">
        <v>0.117624628077671</v>
      </c>
      <c r="AV14" s="60"/>
      <c r="AW14" s="60"/>
      <c r="AX14" s="60"/>
      <c r="AY14" s="60"/>
      <c r="AZ14" s="60">
        <v>0.12538037188219101</v>
      </c>
      <c r="BA14" s="60">
        <v>0.12648259188627201</v>
      </c>
      <c r="BB14" s="60">
        <v>0.13411775912974599</v>
      </c>
      <c r="BC14" s="60"/>
      <c r="BD14" s="60"/>
      <c r="BE14" s="60"/>
      <c r="BF14" s="60"/>
      <c r="BG14" s="60"/>
      <c r="BH14" s="60"/>
      <c r="BI14" s="60"/>
      <c r="BJ14" s="60"/>
      <c r="BK14" s="60">
        <v>0.27074742610830299</v>
      </c>
      <c r="BL14" s="61">
        <v>603000</v>
      </c>
      <c r="BM14" s="60">
        <v>0.25623764263200199</v>
      </c>
      <c r="BN14" s="60">
        <v>0.28435012271619797</v>
      </c>
      <c r="BO14" s="60">
        <v>0.19264766521294799</v>
      </c>
      <c r="BP14" s="60">
        <v>0.25638048819798298</v>
      </c>
      <c r="BQ14" s="60">
        <v>0.30038150831301602</v>
      </c>
      <c r="BR14" s="60">
        <v>0.55783269512824596</v>
      </c>
      <c r="BS14" s="60"/>
      <c r="BT14" s="60"/>
      <c r="BU14" s="60">
        <v>0.44596641200293102</v>
      </c>
      <c r="BV14" s="60">
        <v>0.224971286282418</v>
      </c>
      <c r="BW14" s="60">
        <v>0.25290451292107402</v>
      </c>
      <c r="BX14" s="60">
        <v>0.25864741615048698</v>
      </c>
      <c r="BY14" s="60">
        <v>0.36032210091384098</v>
      </c>
      <c r="BZ14" s="60">
        <v>0.35318297378465002</v>
      </c>
      <c r="CA14" s="60"/>
      <c r="CB14" s="60">
        <v>0.190696726927778</v>
      </c>
      <c r="CC14" s="60">
        <v>0.27771913803143</v>
      </c>
      <c r="CD14" s="60">
        <v>0.180760494808994</v>
      </c>
      <c r="CE14" s="60">
        <v>0.26769598105415499</v>
      </c>
      <c r="CF14" s="60">
        <v>0.36541619697087502</v>
      </c>
      <c r="CG14" s="60"/>
      <c r="CH14" s="60"/>
      <c r="CI14" s="60"/>
      <c r="CJ14" s="60"/>
      <c r="CK14" s="60"/>
      <c r="CL14" s="60"/>
      <c r="CM14" s="60"/>
      <c r="CN14" s="60"/>
      <c r="CO14" s="60">
        <v>0.72925257389169695</v>
      </c>
      <c r="CP14" s="62">
        <v>1624100</v>
      </c>
      <c r="CQ14" s="63">
        <v>-2.8112480084196301E-2</v>
      </c>
      <c r="CR14" s="63">
        <v>-0.18465570216188101</v>
      </c>
      <c r="CS14" s="63">
        <v>-0.220995125720513</v>
      </c>
      <c r="CT14" s="63">
        <v>-0.365185029915298</v>
      </c>
      <c r="CU14" s="163"/>
      <c r="CV14" s="163"/>
      <c r="CW14" s="163"/>
      <c r="CX14" s="158">
        <v>0.13389999999999999</v>
      </c>
    </row>
    <row r="15" spans="1:102" hidden="1" x14ac:dyDescent="0.2">
      <c r="A15" s="59" t="s">
        <v>108</v>
      </c>
      <c r="B15" s="59" t="s">
        <v>39</v>
      </c>
      <c r="C15" s="60">
        <v>0.60660000000000003</v>
      </c>
      <c r="D15" s="61">
        <v>1351100</v>
      </c>
      <c r="E15" s="60">
        <v>0.62665268476494596</v>
      </c>
      <c r="F15" s="60">
        <v>0.586837793236889</v>
      </c>
      <c r="G15" s="60">
        <v>0.69221075258140397</v>
      </c>
      <c r="H15" s="60">
        <v>0.61486165149430905</v>
      </c>
      <c r="I15" s="60">
        <v>0.564624086528138</v>
      </c>
      <c r="J15" s="60">
        <v>0.332888355936589</v>
      </c>
      <c r="K15" s="60">
        <v>0.65477028865775</v>
      </c>
      <c r="L15" s="60">
        <v>0.50813860816995804</v>
      </c>
      <c r="M15" s="60">
        <v>0.43609834100645101</v>
      </c>
      <c r="N15" s="60">
        <v>0.65235317862161701</v>
      </c>
      <c r="O15" s="60">
        <v>0.62056140279981997</v>
      </c>
      <c r="P15" s="60">
        <v>0.66723234091253403</v>
      </c>
      <c r="Q15" s="60">
        <v>0.53260279367240904</v>
      </c>
      <c r="R15" s="60">
        <v>0.55704208963326796</v>
      </c>
      <c r="S15" s="60">
        <v>0.67753267880589396</v>
      </c>
      <c r="T15" s="60">
        <v>0.67577321410028401</v>
      </c>
      <c r="U15" s="60">
        <v>0.46170033359345403</v>
      </c>
      <c r="V15" s="60">
        <v>0.69136932577617405</v>
      </c>
      <c r="W15" s="60">
        <v>0.60633055513247203</v>
      </c>
      <c r="X15" s="60">
        <v>0.50065789565204999</v>
      </c>
      <c r="Y15" s="60">
        <v>0.70917044510738603</v>
      </c>
      <c r="Z15" s="60"/>
      <c r="AA15" s="60"/>
      <c r="AB15" s="60"/>
      <c r="AC15" s="60"/>
      <c r="AD15" s="60"/>
      <c r="AE15" s="60"/>
      <c r="AF15" s="60"/>
      <c r="AG15" s="60">
        <v>0.12640051655468501</v>
      </c>
      <c r="AH15" s="61">
        <v>281400</v>
      </c>
      <c r="AI15" s="60">
        <v>0.11808103223244</v>
      </c>
      <c r="AJ15" s="60">
        <v>0.13453999964838301</v>
      </c>
      <c r="AK15" s="60">
        <v>0.120294926785316</v>
      </c>
      <c r="AL15" s="60">
        <v>0.13207024273569001</v>
      </c>
      <c r="AM15" s="60">
        <v>0.12997557206341601</v>
      </c>
      <c r="AN15" s="60">
        <v>0.12704560672932799</v>
      </c>
      <c r="AO15" s="60">
        <v>0.12599471237859799</v>
      </c>
      <c r="AP15" s="60">
        <v>0.12926139435311501</v>
      </c>
      <c r="AQ15" s="60">
        <v>0.12516287534651099</v>
      </c>
      <c r="AR15" s="60">
        <v>0.12673684197544699</v>
      </c>
      <c r="AS15" s="60">
        <v>0.12973669227903001</v>
      </c>
      <c r="AT15" s="60">
        <v>9.2748429484469597E-2</v>
      </c>
      <c r="AU15" s="60">
        <v>0.111468652312086</v>
      </c>
      <c r="AV15" s="60">
        <v>0.14611330263299899</v>
      </c>
      <c r="AW15" s="60"/>
      <c r="AX15" s="60"/>
      <c r="AY15" s="60"/>
      <c r="AZ15" s="60">
        <v>0.13017342894928399</v>
      </c>
      <c r="BA15" s="60">
        <v>0.13168669133105901</v>
      </c>
      <c r="BB15" s="60">
        <v>0.13231432768993601</v>
      </c>
      <c r="BC15" s="60">
        <v>0.102327114026333</v>
      </c>
      <c r="BD15" s="60"/>
      <c r="BE15" s="60"/>
      <c r="BF15" s="60"/>
      <c r="BG15" s="60"/>
      <c r="BH15" s="60"/>
      <c r="BI15" s="60"/>
      <c r="BJ15" s="60"/>
      <c r="BK15" s="60">
        <v>0.26700000000000002</v>
      </c>
      <c r="BL15" s="61">
        <v>594600</v>
      </c>
      <c r="BM15" s="60">
        <v>0.255266283002615</v>
      </c>
      <c r="BN15" s="60">
        <v>0.27862220711472702</v>
      </c>
      <c r="BO15" s="60">
        <v>0.18749432063328</v>
      </c>
      <c r="BP15" s="60">
        <v>0.25306810577000199</v>
      </c>
      <c r="BQ15" s="60">
        <v>0.30540034140844802</v>
      </c>
      <c r="BR15" s="60">
        <v>0.54006603733408398</v>
      </c>
      <c r="BS15" s="60">
        <v>0.21923499896364801</v>
      </c>
      <c r="BT15" s="60">
        <v>0.362599997476929</v>
      </c>
      <c r="BU15" s="60">
        <v>0.438738783647038</v>
      </c>
      <c r="BV15" s="60">
        <v>0.220909979402935</v>
      </c>
      <c r="BW15" s="60">
        <v>0.24970190492114799</v>
      </c>
      <c r="BX15" s="60">
        <v>0.24001922960299699</v>
      </c>
      <c r="BY15" s="60">
        <v>0.355928554015504</v>
      </c>
      <c r="BZ15" s="60">
        <v>0.296844607733732</v>
      </c>
      <c r="CA15" s="60"/>
      <c r="CB15" s="60">
        <v>0.20254637769800199</v>
      </c>
      <c r="CC15" s="60">
        <v>0.33942752837602602</v>
      </c>
      <c r="CD15" s="60">
        <v>0.17845724527454501</v>
      </c>
      <c r="CE15" s="60">
        <v>0.26198275353646799</v>
      </c>
      <c r="CF15" s="60">
        <v>0.367027776658014</v>
      </c>
      <c r="CG15" s="60">
        <v>0.18850244086628001</v>
      </c>
      <c r="CH15" s="60"/>
      <c r="CI15" s="60"/>
      <c r="CJ15" s="60"/>
      <c r="CK15" s="60"/>
      <c r="CL15" s="60"/>
      <c r="CM15" s="60"/>
      <c r="CN15" s="60"/>
      <c r="CO15" s="60">
        <v>0.73300051655468501</v>
      </c>
      <c r="CP15" s="62">
        <v>1632500</v>
      </c>
      <c r="CQ15" s="63">
        <v>-2.33559241121119E-2</v>
      </c>
      <c r="CR15" s="63">
        <v>-0.18857053138346899</v>
      </c>
      <c r="CS15" s="63">
        <v>-0.217828804244104</v>
      </c>
      <c r="CT15" s="63">
        <v>-0.35257171670080401</v>
      </c>
      <c r="CU15" s="163">
        <v>0.38894428629363798</v>
      </c>
      <c r="CV15" s="163">
        <v>0.327865495929614</v>
      </c>
      <c r="CW15" s="163">
        <v>0.57966027316722302</v>
      </c>
      <c r="CX15" s="158">
        <v>0.1195</v>
      </c>
    </row>
    <row r="16" spans="1:102" hidden="1" x14ac:dyDescent="0.2">
      <c r="A16" s="59" t="s">
        <v>108</v>
      </c>
      <c r="B16" s="59" t="s">
        <v>40</v>
      </c>
      <c r="C16" s="60">
        <v>0.61219999999999997</v>
      </c>
      <c r="D16" s="61">
        <v>1368700</v>
      </c>
      <c r="E16" s="60">
        <v>0.63880000000000003</v>
      </c>
      <c r="F16" s="60">
        <v>0.58819999999999995</v>
      </c>
      <c r="G16" s="60">
        <v>0.68320000000000003</v>
      </c>
      <c r="H16" s="60">
        <v>0.6391</v>
      </c>
      <c r="I16" s="60">
        <v>0.56230000000000002</v>
      </c>
      <c r="J16" s="60">
        <v>0.3503</v>
      </c>
      <c r="K16" s="60">
        <v>0.66210000000000002</v>
      </c>
      <c r="L16" s="60">
        <v>0.51270000000000004</v>
      </c>
      <c r="M16" s="60">
        <v>0.45190000000000002</v>
      </c>
      <c r="N16" s="60">
        <v>0.65839999999999999</v>
      </c>
      <c r="O16" s="60">
        <v>0.62929999999999997</v>
      </c>
      <c r="P16" s="60">
        <v>0.66190000000000004</v>
      </c>
      <c r="Q16" s="60">
        <v>0.52129999999999999</v>
      </c>
      <c r="R16" s="60">
        <v>0.54100000000000004</v>
      </c>
      <c r="S16" s="60">
        <v>0.54690000000000005</v>
      </c>
      <c r="T16" s="60">
        <v>0.71360000000000001</v>
      </c>
      <c r="U16" s="60">
        <v>0.61450000000000005</v>
      </c>
      <c r="V16" s="60">
        <v>0.7036</v>
      </c>
      <c r="W16" s="60">
        <v>0.6069</v>
      </c>
      <c r="X16" s="60">
        <v>0.5272</v>
      </c>
      <c r="Y16" s="60">
        <v>0.67049999999999998</v>
      </c>
      <c r="Z16" s="60">
        <v>0.65859999999999996</v>
      </c>
      <c r="AA16" s="60">
        <v>0.50349999999999995</v>
      </c>
      <c r="AB16" s="60">
        <v>0.51549999999999996</v>
      </c>
      <c r="AC16" s="60">
        <v>0.50649999999999995</v>
      </c>
      <c r="AD16" s="60">
        <v>0.34460000000000002</v>
      </c>
      <c r="AE16" s="60">
        <v>0.72240000000000004</v>
      </c>
      <c r="AF16" s="60">
        <v>0.50439999999999996</v>
      </c>
      <c r="AG16" s="60">
        <v>0.12089999999999999</v>
      </c>
      <c r="AH16" s="61">
        <v>270300</v>
      </c>
      <c r="AI16" s="60">
        <v>0.10929999999999999</v>
      </c>
      <c r="AJ16" s="60">
        <v>0.13220000000000001</v>
      </c>
      <c r="AK16" s="60">
        <v>0.11509999999999999</v>
      </c>
      <c r="AL16" s="60">
        <v>0.1158</v>
      </c>
      <c r="AM16" s="60">
        <v>0.13750000000000001</v>
      </c>
      <c r="AN16" s="60">
        <v>0.1226</v>
      </c>
      <c r="AO16" s="60">
        <v>0.1154</v>
      </c>
      <c r="AP16" s="60">
        <v>0.13400000000000001</v>
      </c>
      <c r="AQ16" s="60">
        <v>0.11459999999999999</v>
      </c>
      <c r="AR16" s="60">
        <v>0.12089999999999999</v>
      </c>
      <c r="AS16" s="60">
        <v>0.1227</v>
      </c>
      <c r="AT16" s="60">
        <v>7.9200000000000007E-2</v>
      </c>
      <c r="AU16" s="60">
        <v>0.1239</v>
      </c>
      <c r="AV16" s="60">
        <v>0.16289999999999999</v>
      </c>
      <c r="AW16" s="60"/>
      <c r="AX16" s="60"/>
      <c r="AY16" s="60"/>
      <c r="AZ16" s="60">
        <v>0.11890000000000001</v>
      </c>
      <c r="BA16" s="60">
        <v>0.13039999999999999</v>
      </c>
      <c r="BB16" s="60">
        <v>0.1153</v>
      </c>
      <c r="BC16" s="60">
        <v>0.11899999999999999</v>
      </c>
      <c r="BD16" s="60">
        <v>0.11840000000000001</v>
      </c>
      <c r="BE16" s="60">
        <v>0.1231</v>
      </c>
      <c r="BF16" s="60">
        <v>0.1234</v>
      </c>
      <c r="BG16" s="60">
        <v>0.17380000000000001</v>
      </c>
      <c r="BH16" s="60">
        <v>0.13270000000000001</v>
      </c>
      <c r="BI16" s="60">
        <v>0.11600000000000001</v>
      </c>
      <c r="BJ16" s="60">
        <v>0.1048</v>
      </c>
      <c r="BK16" s="60">
        <v>0.26690000000000003</v>
      </c>
      <c r="BL16" s="61">
        <v>596800</v>
      </c>
      <c r="BM16" s="60">
        <v>0.25190000000000001</v>
      </c>
      <c r="BN16" s="60">
        <v>0.27960000000000002</v>
      </c>
      <c r="BO16" s="60">
        <v>0.20169999999999999</v>
      </c>
      <c r="BP16" s="60">
        <v>0.2452</v>
      </c>
      <c r="BQ16" s="60">
        <v>0.30020000000000002</v>
      </c>
      <c r="BR16" s="60">
        <v>0.52710000000000001</v>
      </c>
      <c r="BS16" s="60">
        <v>0.2225</v>
      </c>
      <c r="BT16" s="60">
        <v>0.3533</v>
      </c>
      <c r="BU16" s="60">
        <v>0.4335</v>
      </c>
      <c r="BV16" s="60">
        <v>0.22059999999999999</v>
      </c>
      <c r="BW16" s="60">
        <v>0.248</v>
      </c>
      <c r="BX16" s="60">
        <v>0.25890000000000002</v>
      </c>
      <c r="BY16" s="60">
        <v>0.35470000000000002</v>
      </c>
      <c r="BZ16" s="60">
        <v>0.29609999999999997</v>
      </c>
      <c r="CA16" s="60"/>
      <c r="CB16" s="60"/>
      <c r="CC16" s="60">
        <v>0.27339999999999998</v>
      </c>
      <c r="CD16" s="60">
        <v>0.17749999999999999</v>
      </c>
      <c r="CE16" s="60">
        <v>0.26269999999999999</v>
      </c>
      <c r="CF16" s="60">
        <v>0.35749999999999998</v>
      </c>
      <c r="CG16" s="60">
        <v>0.21049999999999999</v>
      </c>
      <c r="CH16" s="60">
        <v>0.223</v>
      </c>
      <c r="CI16" s="60">
        <v>0.37340000000000001</v>
      </c>
      <c r="CJ16" s="60">
        <v>0.36109999999999998</v>
      </c>
      <c r="CK16" s="60">
        <v>0.31969999999999998</v>
      </c>
      <c r="CL16" s="60">
        <v>0.52270000000000005</v>
      </c>
      <c r="CM16" s="60">
        <v>0.16159999999999999</v>
      </c>
      <c r="CN16" s="60">
        <v>0.39079999999999998</v>
      </c>
      <c r="CO16" s="60">
        <v>0.73309999999999997</v>
      </c>
      <c r="CP16" s="62">
        <v>1639000</v>
      </c>
      <c r="CQ16" s="63">
        <v>-2.7699999999999999E-2</v>
      </c>
      <c r="CR16" s="63">
        <v>-0.18</v>
      </c>
      <c r="CS16" s="63">
        <v>-0.21290000000000001</v>
      </c>
      <c r="CT16" s="63">
        <v>-0.32540000000000002</v>
      </c>
      <c r="CU16" s="163">
        <v>0.40060000000000001</v>
      </c>
      <c r="CV16" s="163">
        <v>0.33289999999999997</v>
      </c>
      <c r="CW16" s="163">
        <v>0.58799999999999997</v>
      </c>
      <c r="CX16" s="158">
        <v>0.10730000000000001</v>
      </c>
    </row>
    <row r="17" spans="1:102" x14ac:dyDescent="0.2">
      <c r="A17" s="59" t="s">
        <v>108</v>
      </c>
      <c r="B17" s="59" t="s">
        <v>41</v>
      </c>
      <c r="C17" s="60">
        <v>0.61956052277859097</v>
      </c>
      <c r="D17" s="61">
        <v>1385200</v>
      </c>
      <c r="E17" s="60">
        <v>0.64558018018696595</v>
      </c>
      <c r="F17" s="60">
        <v>0.59596320236614697</v>
      </c>
      <c r="G17" s="60">
        <v>0.68371523137191403</v>
      </c>
      <c r="H17" s="60">
        <v>0.63669797651723903</v>
      </c>
      <c r="I17" s="60">
        <v>0.57756061559840299</v>
      </c>
      <c r="J17" s="60">
        <v>0.39372223258321898</v>
      </c>
      <c r="K17" s="60">
        <v>0.66098784686232903</v>
      </c>
      <c r="L17" s="60">
        <v>0.534521935967182</v>
      </c>
      <c r="M17" s="60">
        <v>0.45540327126583402</v>
      </c>
      <c r="N17" s="60">
        <v>0.66246067901136196</v>
      </c>
      <c r="O17" s="60">
        <v>0.64310678742788696</v>
      </c>
      <c r="P17" s="60">
        <v>0.67656042264812599</v>
      </c>
      <c r="Q17" s="60">
        <v>0.49779653170260801</v>
      </c>
      <c r="R17" s="60">
        <v>0.48929040809198399</v>
      </c>
      <c r="S17" s="60">
        <v>0.47471173499582298</v>
      </c>
      <c r="T17" s="60">
        <v>0.61525405487363405</v>
      </c>
      <c r="U17" s="60">
        <v>0.60778904682246504</v>
      </c>
      <c r="V17" s="60">
        <v>0.70140911451878196</v>
      </c>
      <c r="W17" s="60">
        <v>0.61380619629794098</v>
      </c>
      <c r="X17" s="60">
        <v>0.54206534885262403</v>
      </c>
      <c r="Y17" s="60">
        <v>0.66670944495983997</v>
      </c>
      <c r="Z17" s="60">
        <v>0.664046856751345</v>
      </c>
      <c r="AA17" s="60">
        <v>0.52929190781456903</v>
      </c>
      <c r="AB17" s="60">
        <v>0.53203305383345201</v>
      </c>
      <c r="AC17" s="60">
        <v>0.50482808859581096</v>
      </c>
      <c r="AD17" s="60">
        <v>0.31442669553805203</v>
      </c>
      <c r="AE17" s="60">
        <v>0.72675651361363203</v>
      </c>
      <c r="AF17" s="60">
        <v>0.48541125488082898</v>
      </c>
      <c r="AG17" s="60">
        <v>0.118400839485377</v>
      </c>
      <c r="AH17" s="61">
        <v>264700</v>
      </c>
      <c r="AI17" s="60">
        <v>0.10606513400951199</v>
      </c>
      <c r="AJ17" s="60">
        <v>0.130859844346673</v>
      </c>
      <c r="AK17" s="60">
        <v>0.102584941421686</v>
      </c>
      <c r="AL17" s="60">
        <v>0.117308484631167</v>
      </c>
      <c r="AM17" s="60">
        <v>0.14198315262879899</v>
      </c>
      <c r="AN17" s="60">
        <v>0.122030620264739</v>
      </c>
      <c r="AO17" s="60">
        <v>0.109702065313748</v>
      </c>
      <c r="AP17" s="60">
        <v>0.13731203534543299</v>
      </c>
      <c r="AQ17" s="60">
        <v>0.112592974741704</v>
      </c>
      <c r="AR17" s="60">
        <v>0.119707103573543</v>
      </c>
      <c r="AS17" s="60">
        <v>0.115886683866134</v>
      </c>
      <c r="AT17" s="60">
        <v>9.6403983881246505E-2</v>
      </c>
      <c r="AU17" s="60">
        <v>0.14330913883625801</v>
      </c>
      <c r="AV17" s="60">
        <v>0.114838158826541</v>
      </c>
      <c r="AW17" s="60"/>
      <c r="AX17" s="60"/>
      <c r="AY17" s="60"/>
      <c r="AZ17" s="60">
        <v>0.118857359590364</v>
      </c>
      <c r="BA17" s="60">
        <v>0.12195816546156101</v>
      </c>
      <c r="BB17" s="60">
        <v>0.122822833831619</v>
      </c>
      <c r="BC17" s="60">
        <v>0.10504151832323</v>
      </c>
      <c r="BD17" s="60">
        <v>0.118009770425896</v>
      </c>
      <c r="BE17" s="60">
        <v>0.136006347152963</v>
      </c>
      <c r="BF17" s="60">
        <v>0.12073388761444701</v>
      </c>
      <c r="BG17" s="60">
        <v>0.15062920009443501</v>
      </c>
      <c r="BH17" s="60">
        <v>0.132236682264781</v>
      </c>
      <c r="BI17" s="60">
        <v>9.0442332242039E-2</v>
      </c>
      <c r="BJ17" s="60">
        <v>0.13631953575135</v>
      </c>
      <c r="BK17" s="60">
        <v>0.26203863773603597</v>
      </c>
      <c r="BL17" s="61">
        <v>585900</v>
      </c>
      <c r="BM17" s="60">
        <v>0.24835468580352199</v>
      </c>
      <c r="BN17" s="60">
        <v>0.273176953287178</v>
      </c>
      <c r="BO17" s="60">
        <v>0.21369982720640199</v>
      </c>
      <c r="BP17" s="60">
        <v>0.245993538851593</v>
      </c>
      <c r="BQ17" s="60">
        <v>0.28045623177279999</v>
      </c>
      <c r="BR17" s="60">
        <v>0.48424714715203998</v>
      </c>
      <c r="BS17" s="60">
        <v>0.22931008782392501</v>
      </c>
      <c r="BT17" s="60">
        <v>0.32816602868738298</v>
      </c>
      <c r="BU17" s="60">
        <v>0.43200375399246199</v>
      </c>
      <c r="BV17" s="60">
        <v>0.21783221741509701</v>
      </c>
      <c r="BW17" s="60">
        <v>0.24100652870598199</v>
      </c>
      <c r="BX17" s="60">
        <v>0.22703559347062899</v>
      </c>
      <c r="BY17" s="60">
        <v>0.35889432946113298</v>
      </c>
      <c r="BZ17" s="60">
        <v>0.39587143308147499</v>
      </c>
      <c r="CA17" s="60"/>
      <c r="CB17" s="60">
        <v>0.28294038795762499</v>
      </c>
      <c r="CC17" s="60"/>
      <c r="CD17" s="60">
        <v>0.17973352589085501</v>
      </c>
      <c r="CE17" s="60">
        <v>0.26423563824049801</v>
      </c>
      <c r="CF17" s="60">
        <v>0.33511181731575701</v>
      </c>
      <c r="CG17" s="60">
        <v>0.228249036716929</v>
      </c>
      <c r="CH17" s="60">
        <v>0.21794337282276099</v>
      </c>
      <c r="CI17" s="60">
        <v>0.33470174503246702</v>
      </c>
      <c r="CJ17" s="60">
        <v>0.34723305855209802</v>
      </c>
      <c r="CK17" s="60">
        <v>0.344542711309756</v>
      </c>
      <c r="CL17" s="60">
        <v>0.55333662219716595</v>
      </c>
      <c r="CM17" s="60">
        <v>0.18280115414432899</v>
      </c>
      <c r="CN17" s="60">
        <v>0.37826920936782199</v>
      </c>
      <c r="CO17" s="60">
        <v>0.73796136226396802</v>
      </c>
      <c r="CP17" s="62">
        <v>1649900</v>
      </c>
      <c r="CQ17" s="63">
        <v>-2.4822267483656301E-2</v>
      </c>
      <c r="CR17" s="63">
        <v>-0.155378291424902</v>
      </c>
      <c r="CS17" s="63">
        <v>-0.21417153657736501</v>
      </c>
      <c r="CT17" s="63">
        <v>-0.27054731994563802</v>
      </c>
      <c r="CU17" s="163">
        <v>0.40530100037052402</v>
      </c>
      <c r="CV17" s="163">
        <v>0.33964720666925502</v>
      </c>
      <c r="CW17" s="163">
        <v>0.59750143398389699</v>
      </c>
      <c r="CX17" s="158">
        <v>0.11070000000000001</v>
      </c>
    </row>
    <row r="18" spans="1:102" x14ac:dyDescent="0.2">
      <c r="A18" s="59" t="s">
        <v>108</v>
      </c>
      <c r="B18" s="59" t="s">
        <v>155</v>
      </c>
      <c r="C18" s="60">
        <v>0.61019999999999996</v>
      </c>
      <c r="D18" s="61">
        <v>1375300</v>
      </c>
      <c r="E18" s="60">
        <v>0.63738273459321604</v>
      </c>
      <c r="F18" s="60">
        <v>0.58570756006145697</v>
      </c>
      <c r="G18" s="60">
        <v>0.680119284270434</v>
      </c>
      <c r="H18" s="60">
        <v>0.61722995596428598</v>
      </c>
      <c r="I18" s="60">
        <v>0.57987463673587702</v>
      </c>
      <c r="J18" s="60">
        <v>0.384531376175686</v>
      </c>
      <c r="K18" s="60">
        <v>0.64918346583439901</v>
      </c>
      <c r="L18" s="60">
        <v>0.53189041319503105</v>
      </c>
      <c r="M18" s="60">
        <v>0.44375942668087098</v>
      </c>
      <c r="N18" s="60">
        <v>0.65285645008675497</v>
      </c>
      <c r="O18" s="60">
        <v>0.63617213188793498</v>
      </c>
      <c r="P18" s="60">
        <v>0.65994969185704599</v>
      </c>
      <c r="Q18" s="60">
        <v>0.47582232976328298</v>
      </c>
      <c r="R18" s="60">
        <v>0.451199801794472</v>
      </c>
      <c r="S18" s="60">
        <v>0.56517470628188005</v>
      </c>
      <c r="T18" s="60">
        <v>0.66430434204868005</v>
      </c>
      <c r="U18" s="60">
        <v>0.42995591049085402</v>
      </c>
      <c r="V18" s="60">
        <v>0.70618831670525595</v>
      </c>
      <c r="W18" s="60">
        <v>0.59410202320888605</v>
      </c>
      <c r="X18" s="60">
        <v>0.51798435821441002</v>
      </c>
      <c r="Y18" s="60">
        <v>0.66943243116204199</v>
      </c>
      <c r="Z18" s="60">
        <v>0.65652384366128003</v>
      </c>
      <c r="AA18" s="60">
        <v>0.52485793739042197</v>
      </c>
      <c r="AB18" s="60">
        <v>0.51853430979373505</v>
      </c>
      <c r="AC18" s="60">
        <v>0.439038125615133</v>
      </c>
      <c r="AD18" s="60">
        <v>0.28484388111483799</v>
      </c>
      <c r="AE18" s="60">
        <v>0.73801322122625201</v>
      </c>
      <c r="AF18" s="60">
        <v>0.492497193696605</v>
      </c>
      <c r="AG18" s="60">
        <v>0.10929999999999999</v>
      </c>
      <c r="AH18" s="61">
        <v>246400</v>
      </c>
      <c r="AI18" s="60">
        <v>9.3409616278763194E-2</v>
      </c>
      <c r="AJ18" s="60">
        <v>0.12597369775650499</v>
      </c>
      <c r="AK18" s="60">
        <v>9.7439461401791896E-2</v>
      </c>
      <c r="AL18" s="60">
        <v>0.114239739736496</v>
      </c>
      <c r="AM18" s="60">
        <v>0.1165155756301</v>
      </c>
      <c r="AN18" s="60">
        <v>0.114181249360786</v>
      </c>
      <c r="AO18" s="60">
        <v>0.10570366733681399</v>
      </c>
      <c r="AP18" s="60">
        <v>0.11594217047036801</v>
      </c>
      <c r="AQ18" s="60">
        <v>0.117058288149156</v>
      </c>
      <c r="AR18" s="60">
        <v>0.10914207812122</v>
      </c>
      <c r="AS18" s="60">
        <v>0.10590082164363999</v>
      </c>
      <c r="AT18" s="60">
        <v>0.105538455212857</v>
      </c>
      <c r="AU18" s="60">
        <v>0.136218135772397</v>
      </c>
      <c r="AV18" s="60">
        <v>8.7100265400702495E-2</v>
      </c>
      <c r="AW18" s="60"/>
      <c r="AX18" s="60"/>
      <c r="AY18" s="60"/>
      <c r="AZ18" s="60">
        <v>0.110633861045717</v>
      </c>
      <c r="BA18" s="60">
        <v>0.123450715990467</v>
      </c>
      <c r="BB18" s="60">
        <v>0.104533645791007</v>
      </c>
      <c r="BC18" s="60">
        <v>8.7393718409609994E-2</v>
      </c>
      <c r="BD18" s="60">
        <v>0.112911326024199</v>
      </c>
      <c r="BE18" s="60">
        <v>0.121181393959241</v>
      </c>
      <c r="BF18" s="60">
        <v>0.10968432015153599</v>
      </c>
      <c r="BG18" s="60">
        <v>0.15839203009575101</v>
      </c>
      <c r="BH18" s="60">
        <v>0.123304184250633</v>
      </c>
      <c r="BI18" s="60">
        <v>7.7961385964911797E-2</v>
      </c>
      <c r="BJ18" s="60">
        <v>8.9441625190955207E-2</v>
      </c>
      <c r="BK18" s="60">
        <v>0.28050000000000003</v>
      </c>
      <c r="BL18" s="61">
        <v>632200</v>
      </c>
      <c r="BM18" s="60">
        <v>0.26920764912802198</v>
      </c>
      <c r="BN18" s="60">
        <v>0.28831874218203801</v>
      </c>
      <c r="BO18" s="60">
        <v>0.22244125432777401</v>
      </c>
      <c r="BP18" s="60">
        <v>0.26853030429921898</v>
      </c>
      <c r="BQ18" s="60">
        <v>0.30360978763402802</v>
      </c>
      <c r="BR18" s="60">
        <v>0.501287374463528</v>
      </c>
      <c r="BS18" s="60">
        <v>0.245112866828787</v>
      </c>
      <c r="BT18" s="60">
        <v>0.35216741633460502</v>
      </c>
      <c r="BU18" s="60">
        <v>0.43918228516997299</v>
      </c>
      <c r="BV18" s="60">
        <v>0.23800147179202299</v>
      </c>
      <c r="BW18" s="60">
        <v>0.25792704646842401</v>
      </c>
      <c r="BX18" s="60">
        <v>0.23451185293009799</v>
      </c>
      <c r="BY18" s="60">
        <v>0.38795953446431902</v>
      </c>
      <c r="BZ18" s="60">
        <v>0.46169993280482502</v>
      </c>
      <c r="CA18" s="60">
        <v>0.29025657544927602</v>
      </c>
      <c r="CB18" s="60">
        <v>0.22791204366455001</v>
      </c>
      <c r="CC18" s="60">
        <v>0.45939382382357302</v>
      </c>
      <c r="CD18" s="60">
        <v>0.18317782224902901</v>
      </c>
      <c r="CE18" s="60">
        <v>0.28244726080064902</v>
      </c>
      <c r="CF18" s="60">
        <v>0.37748199599458099</v>
      </c>
      <c r="CG18" s="60">
        <v>0.24317385042834799</v>
      </c>
      <c r="CH18" s="60">
        <v>0.23056483031451799</v>
      </c>
      <c r="CI18" s="60">
        <v>0.35396066865033898</v>
      </c>
      <c r="CJ18" s="60">
        <v>0.371781370054725</v>
      </c>
      <c r="CK18" s="60">
        <v>0.40256984428911602</v>
      </c>
      <c r="CL18" s="60">
        <v>0.59185193463452901</v>
      </c>
      <c r="CM18" s="60">
        <v>0.18402539280883601</v>
      </c>
      <c r="CN18" s="60">
        <v>0.418061181112441</v>
      </c>
      <c r="CO18" s="60">
        <v>0.71950000000000003</v>
      </c>
      <c r="CP18" s="62">
        <v>1621700</v>
      </c>
      <c r="CQ18" s="63">
        <v>-1.9111093054016301E-2</v>
      </c>
      <c r="CR18" s="63">
        <v>-0.19430417374555201</v>
      </c>
      <c r="CS18" s="63">
        <v>-0.20118081337794999</v>
      </c>
      <c r="CT18" s="63">
        <v>-0.27884612013575399</v>
      </c>
      <c r="CU18" s="163">
        <v>0.405430914767205</v>
      </c>
      <c r="CV18" s="163">
        <v>0.405430914767205</v>
      </c>
      <c r="CW18" s="163">
        <v>0.56733255801786597</v>
      </c>
      <c r="CX18" s="158">
        <v>0.1113</v>
      </c>
    </row>
    <row r="19" spans="1:102" hidden="1" x14ac:dyDescent="0.2">
      <c r="A19" s="59" t="s">
        <v>108</v>
      </c>
      <c r="B19" s="59" t="s">
        <v>42</v>
      </c>
      <c r="C19" s="60">
        <v>1.6654846762943199E-2</v>
      </c>
      <c r="D19" s="61"/>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v>-1.19741832861298E-2</v>
      </c>
      <c r="AH19" s="61"/>
      <c r="AI19" s="60">
        <v>-1.6999164121954399E-2</v>
      </c>
      <c r="AJ19" s="60">
        <v>-5.9054471491001804E-3</v>
      </c>
      <c r="AK19" s="60">
        <v>-1.3824276910284599E-2</v>
      </c>
      <c r="AL19" s="60">
        <v>-8.4089729081529008E-3</v>
      </c>
      <c r="AM19" s="60">
        <v>-1.7057321060006101E-2</v>
      </c>
      <c r="AN19" s="60">
        <v>-1.09831173942035E-2</v>
      </c>
      <c r="AO19" s="60">
        <v>0.10570366733681399</v>
      </c>
      <c r="AP19" s="60">
        <v>0.11594217047036801</v>
      </c>
      <c r="AQ19" s="60">
        <v>-1.2444000480291701E-2</v>
      </c>
      <c r="AR19" s="60">
        <v>-1.2401538925885301E-2</v>
      </c>
      <c r="AS19" s="60">
        <v>-1.6575802503946999E-2</v>
      </c>
      <c r="AT19" s="60">
        <v>-1.7547339528370599E-2</v>
      </c>
      <c r="AU19" s="60">
        <v>1.1886583852068E-2</v>
      </c>
      <c r="AV19" s="60">
        <v>8.7100265400702495E-2</v>
      </c>
      <c r="AW19" s="60">
        <v>0</v>
      </c>
      <c r="AX19" s="60">
        <v>0</v>
      </c>
      <c r="AY19" s="60">
        <v>-8.1783837408066898E-2</v>
      </c>
      <c r="AZ19" s="60">
        <v>-1.01868812104433E-2</v>
      </c>
      <c r="BA19" s="60">
        <v>-1.3162123631551399E-2</v>
      </c>
      <c r="BB19" s="60">
        <v>-1.26796094232584E-2</v>
      </c>
      <c r="BC19" s="60">
        <v>8.7393718409609994E-2</v>
      </c>
      <c r="BD19" s="60">
        <v>0.112911326024199</v>
      </c>
      <c r="BE19" s="60">
        <v>0.121181393959241</v>
      </c>
      <c r="BF19" s="60">
        <v>0.10968432015153599</v>
      </c>
      <c r="BG19" s="60">
        <v>0.15839203009575101</v>
      </c>
      <c r="BH19" s="60">
        <v>0.123304184250633</v>
      </c>
      <c r="BI19" s="60">
        <v>7.7961385964911797E-2</v>
      </c>
      <c r="BJ19" s="60">
        <v>8.9441625190955207E-2</v>
      </c>
      <c r="BK19" s="60">
        <v>-4.6999999999999802E-3</v>
      </c>
      <c r="BL19" s="61"/>
      <c r="BM19" s="60">
        <v>8.9625239009205604E-4</v>
      </c>
      <c r="BN19" s="60">
        <v>-1.12081000182072E-2</v>
      </c>
      <c r="BO19" s="60">
        <v>2.41711654567986E-2</v>
      </c>
      <c r="BP19" s="60">
        <v>1.5401807215675899E-4</v>
      </c>
      <c r="BQ19" s="60">
        <v>-3.1591525582838599E-2</v>
      </c>
      <c r="BR19" s="60">
        <v>-4.9252295389972403E-2</v>
      </c>
      <c r="BS19" s="60">
        <v>0.245112866828787</v>
      </c>
      <c r="BT19" s="60">
        <v>0.35216741633460502</v>
      </c>
      <c r="BU19" s="60">
        <v>-2.1481424709585899E-2</v>
      </c>
      <c r="BV19" s="60">
        <v>4.17937419239917E-3</v>
      </c>
      <c r="BW19" s="60">
        <v>-1.65594043051276E-2</v>
      </c>
      <c r="BX19" s="60">
        <v>-5.8320547724256804E-3</v>
      </c>
      <c r="BY19" s="60">
        <v>7.6767240135939302E-2</v>
      </c>
      <c r="BZ19" s="60">
        <v>9.1332882306863497E-2</v>
      </c>
      <c r="CA19" s="60">
        <v>-0.172792420240066</v>
      </c>
      <c r="CB19" s="60">
        <v>-3.95078519313634E-2</v>
      </c>
      <c r="CC19" s="60">
        <v>4.2958886301230702E-2</v>
      </c>
      <c r="CD19" s="60">
        <v>-5.0040968321190798E-3</v>
      </c>
      <c r="CE19" s="60">
        <v>3.06898798884853E-3</v>
      </c>
      <c r="CF19" s="60">
        <v>2.8830550287579099E-3</v>
      </c>
      <c r="CG19" s="60">
        <v>0.24317385042834799</v>
      </c>
      <c r="CH19" s="60">
        <v>0.23056483031451799</v>
      </c>
      <c r="CI19" s="60">
        <v>0.35396066865033898</v>
      </c>
      <c r="CJ19" s="60">
        <v>0.371781370054725</v>
      </c>
      <c r="CK19" s="60">
        <v>0.40256984428911602</v>
      </c>
      <c r="CL19" s="60">
        <v>0.59185193463452901</v>
      </c>
      <c r="CM19" s="60">
        <v>0.18402539280883601</v>
      </c>
      <c r="CN19" s="60">
        <v>0.418061181112441</v>
      </c>
      <c r="CO19" s="60">
        <v>4.6806634768134002E-3</v>
      </c>
      <c r="CP19" s="62">
        <v>50800</v>
      </c>
      <c r="CQ19" s="63">
        <v>1.2104352408299201E-2</v>
      </c>
      <c r="CR19" s="63">
        <v>-7.8871518608769897E-3</v>
      </c>
      <c r="CS19" s="63">
        <v>2.5660798901984999E-2</v>
      </c>
      <c r="CT19" s="63">
        <v>7.3423460846770996E-2</v>
      </c>
      <c r="CU19" s="163">
        <v>1.6486628473567699E-2</v>
      </c>
      <c r="CV19" s="163">
        <v>7.7565418837591604E-2</v>
      </c>
      <c r="CW19" s="163">
        <v>-1.2327715149357399E-2</v>
      </c>
      <c r="CX19" s="158"/>
    </row>
    <row r="20" spans="1:102" hidden="1" x14ac:dyDescent="0.2">
      <c r="A20" s="59" t="s">
        <v>109</v>
      </c>
      <c r="B20" s="59" t="s">
        <v>35</v>
      </c>
      <c r="C20" s="60">
        <v>0.5665</v>
      </c>
      <c r="D20" s="61">
        <v>126300</v>
      </c>
      <c r="E20" s="60">
        <v>0.61943870250101496</v>
      </c>
      <c r="F20" s="60">
        <v>0.51591988682871104</v>
      </c>
      <c r="G20" s="60">
        <v>0.68812934392931502</v>
      </c>
      <c r="H20" s="60">
        <v>0.56721266053166397</v>
      </c>
      <c r="I20" s="60">
        <v>0.47894319356251702</v>
      </c>
      <c r="J20" s="60">
        <v>0.440582550120867</v>
      </c>
      <c r="K20" s="60"/>
      <c r="L20" s="60"/>
      <c r="M20" s="60">
        <v>0.42192059980684898</v>
      </c>
      <c r="N20" s="60">
        <v>0.60705523970899899</v>
      </c>
      <c r="O20" s="60">
        <v>0.57656925768377199</v>
      </c>
      <c r="P20" s="60"/>
      <c r="Q20" s="60">
        <v>0.60155311265671996</v>
      </c>
      <c r="R20" s="60"/>
      <c r="S20" s="60"/>
      <c r="T20" s="60"/>
      <c r="U20" s="60"/>
      <c r="V20" s="60">
        <v>0.65752780986468795</v>
      </c>
      <c r="W20" s="60">
        <v>0.57358890515420202</v>
      </c>
      <c r="X20" s="60">
        <v>0.45576433771721903</v>
      </c>
      <c r="Y20" s="60"/>
      <c r="Z20" s="60"/>
      <c r="AA20" s="60"/>
      <c r="AB20" s="60"/>
      <c r="AC20" s="60"/>
      <c r="AD20" s="60"/>
      <c r="AE20" s="60"/>
      <c r="AF20" s="60"/>
      <c r="AG20" s="60">
        <v>0.14230000000000001</v>
      </c>
      <c r="AH20" s="61">
        <v>31700</v>
      </c>
      <c r="AI20" s="60">
        <v>0.117898771411871</v>
      </c>
      <c r="AJ20" s="60">
        <v>0.167436798783583</v>
      </c>
      <c r="AK20" s="60">
        <v>0.163755093864415</v>
      </c>
      <c r="AL20" s="60">
        <v>0.12922386437271199</v>
      </c>
      <c r="AM20" s="60">
        <v>0.174560969385883</v>
      </c>
      <c r="AN20" s="60"/>
      <c r="AO20" s="60"/>
      <c r="AP20" s="60"/>
      <c r="AQ20" s="60">
        <v>0.14797489493816099</v>
      </c>
      <c r="AR20" s="60">
        <v>0.14898299724487299</v>
      </c>
      <c r="AS20" s="60">
        <v>0.14188461387189399</v>
      </c>
      <c r="AT20" s="60"/>
      <c r="AU20" s="60"/>
      <c r="AV20" s="60"/>
      <c r="AW20" s="60"/>
      <c r="AX20" s="60"/>
      <c r="AY20" s="60"/>
      <c r="AZ20" s="60">
        <v>0.141099858071218</v>
      </c>
      <c r="BA20" s="60">
        <v>0.18521002890857099</v>
      </c>
      <c r="BB20" s="60"/>
      <c r="BC20" s="60"/>
      <c r="BD20" s="60"/>
      <c r="BE20" s="60"/>
      <c r="BF20" s="60"/>
      <c r="BG20" s="60"/>
      <c r="BH20" s="60"/>
      <c r="BI20" s="60"/>
      <c r="BJ20" s="60"/>
      <c r="BK20" s="60">
        <v>0.29120000000000001</v>
      </c>
      <c r="BL20" s="61">
        <v>64900</v>
      </c>
      <c r="BM20" s="60">
        <v>0.26266252608711399</v>
      </c>
      <c r="BN20" s="60">
        <v>0.31664331438770499</v>
      </c>
      <c r="BO20" s="60">
        <v>0.14811556220627001</v>
      </c>
      <c r="BP20" s="60">
        <v>0.30356347509562398</v>
      </c>
      <c r="BQ20" s="60">
        <v>0.34649583705160097</v>
      </c>
      <c r="BR20" s="60">
        <v>0.499481952351016</v>
      </c>
      <c r="BS20" s="60"/>
      <c r="BT20" s="60"/>
      <c r="BU20" s="60">
        <v>0.430104505254992</v>
      </c>
      <c r="BV20" s="60">
        <v>0.24396176304612999</v>
      </c>
      <c r="BW20" s="60">
        <v>0.28154612844433602</v>
      </c>
      <c r="BX20" s="60"/>
      <c r="BY20" s="60"/>
      <c r="BZ20" s="60"/>
      <c r="CA20" s="60"/>
      <c r="CB20" s="60"/>
      <c r="CC20" s="60"/>
      <c r="CD20" s="60">
        <v>0.201372332064093</v>
      </c>
      <c r="CE20" s="60">
        <v>0.24120106593722701</v>
      </c>
      <c r="CF20" s="60">
        <v>0.38534974151782098</v>
      </c>
      <c r="CG20" s="60"/>
      <c r="CH20" s="60"/>
      <c r="CI20" s="60"/>
      <c r="CJ20" s="60"/>
      <c r="CK20" s="60"/>
      <c r="CL20" s="60"/>
      <c r="CM20" s="60"/>
      <c r="CN20" s="60"/>
      <c r="CO20" s="60">
        <v>0.70879999999999999</v>
      </c>
      <c r="CP20" s="62">
        <v>158000</v>
      </c>
      <c r="CQ20" s="63">
        <v>-5.39807883005912E-2</v>
      </c>
      <c r="CR20" s="63">
        <v>-0.18397740945372801</v>
      </c>
      <c r="CS20" s="63">
        <v>-0.18614274220886201</v>
      </c>
      <c r="CT20" s="63">
        <v>-0.35136639014474702</v>
      </c>
      <c r="CU20" s="163"/>
      <c r="CV20" s="163"/>
      <c r="CW20" s="163"/>
      <c r="CX20" s="158"/>
    </row>
    <row r="21" spans="1:102" hidden="1" x14ac:dyDescent="0.2">
      <c r="A21" s="59" t="s">
        <v>109</v>
      </c>
      <c r="B21" s="59" t="s">
        <v>36</v>
      </c>
      <c r="C21" s="60">
        <v>0.57699999999999996</v>
      </c>
      <c r="D21" s="61">
        <v>129200</v>
      </c>
      <c r="E21" s="60">
        <v>0.60275110999734505</v>
      </c>
      <c r="F21" s="60">
        <v>0.51961200311037103</v>
      </c>
      <c r="G21" s="60">
        <v>0.65817090935647005</v>
      </c>
      <c r="H21" s="60">
        <v>0.55841685607737002</v>
      </c>
      <c r="I21" s="60">
        <v>0.48379867347058297</v>
      </c>
      <c r="J21" s="60">
        <v>0.41740230760327901</v>
      </c>
      <c r="K21" s="60"/>
      <c r="L21" s="60"/>
      <c r="M21" s="60">
        <v>0.41333671744403899</v>
      </c>
      <c r="N21" s="60">
        <v>0.61480633928039297</v>
      </c>
      <c r="O21" s="60">
        <v>0.56460561051856195</v>
      </c>
      <c r="P21" s="60"/>
      <c r="Q21" s="60">
        <v>0.51261645053770799</v>
      </c>
      <c r="R21" s="60"/>
      <c r="S21" s="60"/>
      <c r="T21" s="60"/>
      <c r="U21" s="60"/>
      <c r="V21" s="60">
        <v>0.65807993193408898</v>
      </c>
      <c r="W21" s="60">
        <v>0.56459723988484201</v>
      </c>
      <c r="X21" s="60">
        <v>0.489901480396714</v>
      </c>
      <c r="Y21" s="60"/>
      <c r="Z21" s="60"/>
      <c r="AA21" s="60"/>
      <c r="AB21" s="60"/>
      <c r="AC21" s="60"/>
      <c r="AD21" s="60"/>
      <c r="AE21" s="60"/>
      <c r="AF21" s="60"/>
      <c r="AG21" s="60">
        <v>0.1222</v>
      </c>
      <c r="AH21" s="61">
        <v>27400</v>
      </c>
      <c r="AI21" s="60">
        <v>0.12196245123190499</v>
      </c>
      <c r="AJ21" s="60">
        <v>0.15844909406086799</v>
      </c>
      <c r="AK21" s="60">
        <v>0.13685986972448699</v>
      </c>
      <c r="AL21" s="60">
        <v>0.159564292142646</v>
      </c>
      <c r="AM21" s="60">
        <v>0.13775513117195101</v>
      </c>
      <c r="AN21" s="60"/>
      <c r="AO21" s="60"/>
      <c r="AP21" s="60"/>
      <c r="AQ21" s="60">
        <v>0.141078866565992</v>
      </c>
      <c r="AR21" s="60">
        <v>0.14354991506843601</v>
      </c>
      <c r="AS21" s="60">
        <v>0.13181623739119999</v>
      </c>
      <c r="AT21" s="60"/>
      <c r="AU21" s="60"/>
      <c r="AV21" s="60"/>
      <c r="AW21" s="60"/>
      <c r="AX21" s="60"/>
      <c r="AY21" s="60"/>
      <c r="AZ21" s="60">
        <v>0.11272468121885899</v>
      </c>
      <c r="BA21" s="60">
        <v>0.16485917832203401</v>
      </c>
      <c r="BB21" s="60"/>
      <c r="BC21" s="60"/>
      <c r="BD21" s="60"/>
      <c r="BE21" s="60"/>
      <c r="BF21" s="60"/>
      <c r="BG21" s="60"/>
      <c r="BH21" s="60"/>
      <c r="BI21" s="60"/>
      <c r="BJ21" s="60"/>
      <c r="BK21" s="60">
        <v>0.30074989547068898</v>
      </c>
      <c r="BL21" s="61">
        <v>67400</v>
      </c>
      <c r="BM21" s="60">
        <v>0.27528643877074799</v>
      </c>
      <c r="BN21" s="60">
        <v>0.32193890282876197</v>
      </c>
      <c r="BO21" s="60">
        <v>0.20496922091904199</v>
      </c>
      <c r="BP21" s="60">
        <v>0.28201885177998398</v>
      </c>
      <c r="BQ21" s="60">
        <v>0.37844619535746399</v>
      </c>
      <c r="BR21" s="60">
        <v>0.49331528847544798</v>
      </c>
      <c r="BS21" s="60"/>
      <c r="BT21" s="60"/>
      <c r="BU21" s="60">
        <v>0.44558441598996901</v>
      </c>
      <c r="BV21" s="60">
        <v>0.241643745651171</v>
      </c>
      <c r="BW21" s="60">
        <v>0.30357815209023797</v>
      </c>
      <c r="BX21" s="60"/>
      <c r="BY21" s="60">
        <v>0.35113201688828399</v>
      </c>
      <c r="BZ21" s="60"/>
      <c r="CA21" s="60"/>
      <c r="CB21" s="60"/>
      <c r="CC21" s="60"/>
      <c r="CD21" s="60">
        <v>0.22919538684705301</v>
      </c>
      <c r="CE21" s="60">
        <v>0.27054358179312399</v>
      </c>
      <c r="CF21" s="60">
        <v>0.34793208154153099</v>
      </c>
      <c r="CG21" s="60"/>
      <c r="CH21" s="60"/>
      <c r="CI21" s="60"/>
      <c r="CJ21" s="60"/>
      <c r="CK21" s="60"/>
      <c r="CL21" s="60"/>
      <c r="CM21" s="60"/>
      <c r="CN21" s="60"/>
      <c r="CO21" s="60">
        <v>0.69920000000000004</v>
      </c>
      <c r="CP21" s="62">
        <v>156600</v>
      </c>
      <c r="CQ21" s="63">
        <v>-4.6652464058013501E-2</v>
      </c>
      <c r="CR21" s="63">
        <v>-0.11873669469447901</v>
      </c>
      <c r="CS21" s="63">
        <v>-0.20394067033879801</v>
      </c>
      <c r="CT21" s="63">
        <v>-0.28834606755640602</v>
      </c>
      <c r="CU21" s="163"/>
      <c r="CV21" s="163"/>
      <c r="CW21" s="163"/>
      <c r="CX21" s="158">
        <v>0.15079999999999999</v>
      </c>
    </row>
    <row r="22" spans="1:102" hidden="1" x14ac:dyDescent="0.2">
      <c r="A22" s="59" t="s">
        <v>109</v>
      </c>
      <c r="B22" s="59" t="s">
        <v>37</v>
      </c>
      <c r="C22" s="60">
        <v>0.57330000000000003</v>
      </c>
      <c r="D22" s="61">
        <v>128100</v>
      </c>
      <c r="E22" s="60">
        <v>0.59940754731927604</v>
      </c>
      <c r="F22" s="60">
        <v>0.54917883234701903</v>
      </c>
      <c r="G22" s="60">
        <v>0.66804657826720304</v>
      </c>
      <c r="H22" s="60">
        <v>0.557630704163389</v>
      </c>
      <c r="I22" s="60">
        <v>0.54557500059592701</v>
      </c>
      <c r="J22" s="60">
        <v>0.34054551237134101</v>
      </c>
      <c r="K22" s="60"/>
      <c r="L22" s="60"/>
      <c r="M22" s="60">
        <v>0.39392064290583501</v>
      </c>
      <c r="N22" s="60">
        <v>0.63290626025028396</v>
      </c>
      <c r="O22" s="60">
        <v>0.59564793963957996</v>
      </c>
      <c r="P22" s="60">
        <v>0.52699628501767204</v>
      </c>
      <c r="Q22" s="60">
        <v>0.50780189801766096</v>
      </c>
      <c r="R22" s="60"/>
      <c r="S22" s="60"/>
      <c r="T22" s="60"/>
      <c r="U22" s="60"/>
      <c r="V22" s="60">
        <v>0.65414088621023403</v>
      </c>
      <c r="W22" s="60">
        <v>0.58507170486868598</v>
      </c>
      <c r="X22" s="60">
        <v>0.47463366883981201</v>
      </c>
      <c r="Y22" s="60"/>
      <c r="Z22" s="60"/>
      <c r="AA22" s="60"/>
      <c r="AB22" s="60"/>
      <c r="AC22" s="60"/>
      <c r="AD22" s="60"/>
      <c r="AE22" s="60"/>
      <c r="AF22" s="60"/>
      <c r="AG22" s="60">
        <v>0.13539999999999999</v>
      </c>
      <c r="AH22" s="61">
        <v>30200</v>
      </c>
      <c r="AI22" s="60">
        <v>0.147274510269229</v>
      </c>
      <c r="AJ22" s="60">
        <v>0.12437572162819401</v>
      </c>
      <c r="AK22" s="60"/>
      <c r="AL22" s="60">
        <v>0.141003692885524</v>
      </c>
      <c r="AM22" s="60">
        <v>0.145075750990209</v>
      </c>
      <c r="AN22" s="60"/>
      <c r="AO22" s="60"/>
      <c r="AP22" s="60"/>
      <c r="AQ22" s="60">
        <v>0.17377766188973501</v>
      </c>
      <c r="AR22" s="60">
        <v>0.12751346846152201</v>
      </c>
      <c r="AS22" s="60">
        <v>0.12260920596923799</v>
      </c>
      <c r="AT22" s="60"/>
      <c r="AU22" s="60"/>
      <c r="AV22" s="60"/>
      <c r="AW22" s="60"/>
      <c r="AX22" s="60"/>
      <c r="AY22" s="60"/>
      <c r="AZ22" s="60">
        <v>0.12114709571195099</v>
      </c>
      <c r="BA22" s="60">
        <v>0.14081725379603599</v>
      </c>
      <c r="BB22" s="60"/>
      <c r="BC22" s="60"/>
      <c r="BD22" s="60"/>
      <c r="BE22" s="60"/>
      <c r="BF22" s="60"/>
      <c r="BG22" s="60"/>
      <c r="BH22" s="60"/>
      <c r="BI22" s="60"/>
      <c r="BJ22" s="60"/>
      <c r="BK22" s="60">
        <v>0.2913</v>
      </c>
      <c r="BL22" s="61">
        <v>65100</v>
      </c>
      <c r="BM22" s="60">
        <v>0.25331794241149402</v>
      </c>
      <c r="BN22" s="60">
        <v>0.32644544602478698</v>
      </c>
      <c r="BO22" s="60">
        <v>0.201436270020733</v>
      </c>
      <c r="BP22" s="60">
        <v>0.301365602951086</v>
      </c>
      <c r="BQ22" s="60">
        <v>0.30934924841386502</v>
      </c>
      <c r="BR22" s="60">
        <v>0.54527096811356301</v>
      </c>
      <c r="BS22" s="60"/>
      <c r="BT22" s="60"/>
      <c r="BU22" s="60">
        <v>0.43230169520443001</v>
      </c>
      <c r="BV22" s="60">
        <v>0.23958027128819401</v>
      </c>
      <c r="BW22" s="60">
        <v>0.28174285439118102</v>
      </c>
      <c r="BX22" s="60"/>
      <c r="BY22" s="60">
        <v>0.351936279747394</v>
      </c>
      <c r="BZ22" s="60"/>
      <c r="CA22" s="60"/>
      <c r="CB22" s="60"/>
      <c r="CC22" s="60"/>
      <c r="CD22" s="60">
        <v>0.22471201807781499</v>
      </c>
      <c r="CE22" s="60">
        <v>0.27411104133527803</v>
      </c>
      <c r="CF22" s="60">
        <v>0.38139290178373197</v>
      </c>
      <c r="CG22" s="60"/>
      <c r="CH22" s="60"/>
      <c r="CI22" s="60"/>
      <c r="CJ22" s="60"/>
      <c r="CK22" s="60"/>
      <c r="CL22" s="60"/>
      <c r="CM22" s="60"/>
      <c r="CN22" s="60"/>
      <c r="CO22" s="60">
        <v>0.7087</v>
      </c>
      <c r="CP22" s="62">
        <v>158300</v>
      </c>
      <c r="CQ22" s="63">
        <v>-7.3127503613292497E-2</v>
      </c>
      <c r="CR22" s="63">
        <v>-0.15668088370591701</v>
      </c>
      <c r="CS22" s="63">
        <v>-0.19272142391623701</v>
      </c>
      <c r="CT22" s="63">
        <v>-0.34383469809283101</v>
      </c>
      <c r="CU22" s="163"/>
      <c r="CV22" s="163"/>
      <c r="CW22" s="163"/>
      <c r="CX22" s="158">
        <v>0.155</v>
      </c>
    </row>
    <row r="23" spans="1:102" hidden="1" x14ac:dyDescent="0.2">
      <c r="A23" s="59" t="s">
        <v>109</v>
      </c>
      <c r="B23" s="59" t="s">
        <v>38</v>
      </c>
      <c r="C23" s="60">
        <v>0.568054991734814</v>
      </c>
      <c r="D23" s="61">
        <v>127400</v>
      </c>
      <c r="E23" s="60">
        <v>0.62640636099390701</v>
      </c>
      <c r="F23" s="60">
        <v>0.518212488892552</v>
      </c>
      <c r="G23" s="60">
        <v>0.62184845449893</v>
      </c>
      <c r="H23" s="60">
        <v>0.59598434290156999</v>
      </c>
      <c r="I23" s="60">
        <v>0.54650866186865898</v>
      </c>
      <c r="J23" s="60"/>
      <c r="K23" s="60"/>
      <c r="L23" s="60"/>
      <c r="M23" s="60">
        <v>0.39719890932629598</v>
      </c>
      <c r="N23" s="60">
        <v>0.61392727163633398</v>
      </c>
      <c r="O23" s="60">
        <v>0.61603241933087105</v>
      </c>
      <c r="P23" s="60"/>
      <c r="Q23" s="60">
        <v>0.35489474788386599</v>
      </c>
      <c r="R23" s="60"/>
      <c r="S23" s="60"/>
      <c r="T23" s="60"/>
      <c r="U23" s="60"/>
      <c r="V23" s="60">
        <v>0.68145377306521104</v>
      </c>
      <c r="W23" s="60">
        <v>0.59684165156874003</v>
      </c>
      <c r="X23" s="60">
        <v>0.45896330086993897</v>
      </c>
      <c r="Y23" s="60"/>
      <c r="Z23" s="60"/>
      <c r="AA23" s="60"/>
      <c r="AB23" s="60"/>
      <c r="AC23" s="60"/>
      <c r="AD23" s="60"/>
      <c r="AE23" s="60"/>
      <c r="AF23" s="60"/>
      <c r="AG23" s="60">
        <v>0.14409866701179699</v>
      </c>
      <c r="AH23" s="61">
        <v>32300</v>
      </c>
      <c r="AI23" s="60">
        <v>0.128324830895584</v>
      </c>
      <c r="AJ23" s="60">
        <v>0.157390308685223</v>
      </c>
      <c r="AK23" s="60"/>
      <c r="AL23" s="60">
        <v>0.127135605480792</v>
      </c>
      <c r="AM23" s="60">
        <v>0.119961055412936</v>
      </c>
      <c r="AN23" s="60"/>
      <c r="AO23" s="60"/>
      <c r="AP23" s="60"/>
      <c r="AQ23" s="60"/>
      <c r="AR23" s="60">
        <v>0.14549660441325499</v>
      </c>
      <c r="AS23" s="60">
        <v>0.13617482132099401</v>
      </c>
      <c r="AT23" s="60"/>
      <c r="AU23" s="60"/>
      <c r="AV23" s="60"/>
      <c r="AW23" s="60"/>
      <c r="AX23" s="60"/>
      <c r="AY23" s="60"/>
      <c r="AZ23" s="60">
        <v>0.13999263296936801</v>
      </c>
      <c r="BA23" s="60">
        <v>9.3528424886510197E-2</v>
      </c>
      <c r="BB23" s="60">
        <v>0.14780359878211899</v>
      </c>
      <c r="BC23" s="60"/>
      <c r="BD23" s="60"/>
      <c r="BE23" s="60"/>
      <c r="BF23" s="60"/>
      <c r="BG23" s="60"/>
      <c r="BH23" s="60"/>
      <c r="BI23" s="60"/>
      <c r="BJ23" s="60"/>
      <c r="BK23" s="60">
        <v>0.28784634125338998</v>
      </c>
      <c r="BL23" s="61">
        <v>64600</v>
      </c>
      <c r="BM23" s="60">
        <v>0.245268808110508</v>
      </c>
      <c r="BN23" s="60">
        <v>0.32439720242222397</v>
      </c>
      <c r="BO23" s="60">
        <v>0.20403732014701201</v>
      </c>
      <c r="BP23" s="60">
        <v>0.27688005161763701</v>
      </c>
      <c r="BQ23" s="60">
        <v>0.33353028271840501</v>
      </c>
      <c r="BR23" s="60">
        <v>0.53414778853670097</v>
      </c>
      <c r="BS23" s="60"/>
      <c r="BT23" s="60"/>
      <c r="BU23" s="60">
        <v>0.44525243733458397</v>
      </c>
      <c r="BV23" s="60">
        <v>0.24057612395041</v>
      </c>
      <c r="BW23" s="60">
        <v>0.24779275934813499</v>
      </c>
      <c r="BX23" s="60"/>
      <c r="BY23" s="60">
        <v>0.47627264319745</v>
      </c>
      <c r="BZ23" s="60"/>
      <c r="CA23" s="60"/>
      <c r="CB23" s="60"/>
      <c r="CC23" s="60"/>
      <c r="CD23" s="60">
        <v>0.178553593965421</v>
      </c>
      <c r="CE23" s="60">
        <v>0.30962992354475</v>
      </c>
      <c r="CF23" s="60">
        <v>0.39323310034794301</v>
      </c>
      <c r="CG23" s="60"/>
      <c r="CH23" s="60"/>
      <c r="CI23" s="60"/>
      <c r="CJ23" s="60"/>
      <c r="CK23" s="60"/>
      <c r="CL23" s="60"/>
      <c r="CM23" s="60"/>
      <c r="CN23" s="60"/>
      <c r="CO23" s="60">
        <v>0.71215365874660996</v>
      </c>
      <c r="CP23" s="62">
        <v>159700</v>
      </c>
      <c r="CQ23" s="63">
        <v>-7.9128394311716102E-2</v>
      </c>
      <c r="CR23" s="63">
        <v>-0.21467950638252201</v>
      </c>
      <c r="CS23" s="63">
        <v>-0.204676313384175</v>
      </c>
      <c r="CT23" s="63">
        <v>-0.33011046838968899</v>
      </c>
      <c r="CU23" s="163"/>
      <c r="CV23" s="163"/>
      <c r="CW23" s="163"/>
      <c r="CX23" s="158">
        <v>0.16470000000000001</v>
      </c>
    </row>
    <row r="24" spans="1:102" hidden="1" x14ac:dyDescent="0.2">
      <c r="A24" s="59" t="s">
        <v>109</v>
      </c>
      <c r="B24" s="59" t="s">
        <v>39</v>
      </c>
      <c r="C24" s="60">
        <v>0.58320000000000005</v>
      </c>
      <c r="D24" s="61">
        <v>130800</v>
      </c>
      <c r="E24" s="60">
        <v>0.643556197393366</v>
      </c>
      <c r="F24" s="60">
        <v>0.52497037405199698</v>
      </c>
      <c r="G24" s="60">
        <v>0.61222021190656695</v>
      </c>
      <c r="H24" s="60">
        <v>0.63922752921942805</v>
      </c>
      <c r="I24" s="60">
        <v>0.55559241811725402</v>
      </c>
      <c r="J24" s="60"/>
      <c r="K24" s="60">
        <v>0.62508562646322796</v>
      </c>
      <c r="L24" s="60">
        <v>0.501480509994501</v>
      </c>
      <c r="M24" s="60">
        <v>0.41763209311157801</v>
      </c>
      <c r="N24" s="60">
        <v>0.63554535041471605</v>
      </c>
      <c r="O24" s="60">
        <v>0.60303953033775604</v>
      </c>
      <c r="P24" s="60"/>
      <c r="Q24" s="60">
        <v>0.36437085919548601</v>
      </c>
      <c r="R24" s="60"/>
      <c r="S24" s="60"/>
      <c r="T24" s="60"/>
      <c r="U24" s="60"/>
      <c r="V24" s="60">
        <v>0.69672619467067598</v>
      </c>
      <c r="W24" s="60">
        <v>0.59585161957909105</v>
      </c>
      <c r="X24" s="60">
        <v>0.52398852158166398</v>
      </c>
      <c r="Y24" s="60">
        <v>0.51392288589707702</v>
      </c>
      <c r="Z24" s="60"/>
      <c r="AA24" s="60"/>
      <c r="AB24" s="60"/>
      <c r="AC24" s="60"/>
      <c r="AD24" s="60"/>
      <c r="AE24" s="60"/>
      <c r="AF24" s="60"/>
      <c r="AG24" s="60">
        <v>0.12920000000000001</v>
      </c>
      <c r="AH24" s="61">
        <v>29000</v>
      </c>
      <c r="AI24" s="60">
        <v>9.4138399794545302E-2</v>
      </c>
      <c r="AJ24" s="60">
        <v>0.161318184874534</v>
      </c>
      <c r="AK24" s="60">
        <v>0.16624270649180201</v>
      </c>
      <c r="AL24" s="60">
        <v>0.116695655443215</v>
      </c>
      <c r="AM24" s="60">
        <v>9.3011140687616595E-2</v>
      </c>
      <c r="AN24" s="60"/>
      <c r="AO24" s="60">
        <v>0.142640090044719</v>
      </c>
      <c r="AP24" s="60">
        <v>0.109019503272329</v>
      </c>
      <c r="AQ24" s="60"/>
      <c r="AR24" s="60">
        <v>0.130237572442616</v>
      </c>
      <c r="AS24" s="60">
        <v>0.12783647924885599</v>
      </c>
      <c r="AT24" s="60"/>
      <c r="AU24" s="60"/>
      <c r="AV24" s="60"/>
      <c r="AW24" s="60"/>
      <c r="AX24" s="60"/>
      <c r="AY24" s="60"/>
      <c r="AZ24" s="60">
        <v>0.12111505260487</v>
      </c>
      <c r="BA24" s="60"/>
      <c r="BB24" s="60"/>
      <c r="BC24" s="60"/>
      <c r="BD24" s="60"/>
      <c r="BE24" s="60"/>
      <c r="BF24" s="60"/>
      <c r="BG24" s="60"/>
      <c r="BH24" s="60"/>
      <c r="BI24" s="60"/>
      <c r="BJ24" s="60"/>
      <c r="BK24" s="60">
        <v>0.28760000000000002</v>
      </c>
      <c r="BL24" s="61">
        <v>64500</v>
      </c>
      <c r="BM24" s="60">
        <v>0.26230540281208797</v>
      </c>
      <c r="BN24" s="60">
        <v>0.31371144107346799</v>
      </c>
      <c r="BO24" s="60">
        <v>0.22153708160162999</v>
      </c>
      <c r="BP24" s="60">
        <v>0.24407681533735801</v>
      </c>
      <c r="BQ24" s="60">
        <v>0.35139644119512897</v>
      </c>
      <c r="BR24" s="60">
        <v>0.51974849803147305</v>
      </c>
      <c r="BS24" s="60">
        <v>0.23227428349205301</v>
      </c>
      <c r="BT24" s="60">
        <v>0.38949998673316999</v>
      </c>
      <c r="BU24" s="60">
        <v>0.46922422342031</v>
      </c>
      <c r="BV24" s="60">
        <v>0.23421707714266701</v>
      </c>
      <c r="BW24" s="60">
        <v>0.26912399041338803</v>
      </c>
      <c r="BX24" s="60"/>
      <c r="BY24" s="60">
        <v>0.47195239115828702</v>
      </c>
      <c r="BZ24" s="60"/>
      <c r="CA24" s="60"/>
      <c r="CB24" s="60"/>
      <c r="CC24" s="60"/>
      <c r="CD24" s="60">
        <v>0.182158752724455</v>
      </c>
      <c r="CE24" s="60">
        <v>0.31500927243311</v>
      </c>
      <c r="CF24" s="60">
        <v>0.33529881472284601</v>
      </c>
      <c r="CG24" s="60"/>
      <c r="CH24" s="60"/>
      <c r="CI24" s="60"/>
      <c r="CJ24" s="60"/>
      <c r="CK24" s="60"/>
      <c r="CL24" s="60"/>
      <c r="CM24" s="60"/>
      <c r="CN24" s="60"/>
      <c r="CO24" s="60">
        <v>0.71240000000000003</v>
      </c>
      <c r="CP24" s="62">
        <v>159800</v>
      </c>
      <c r="CQ24" s="63">
        <v>-5.1406038261380002E-2</v>
      </c>
      <c r="CR24" s="63">
        <v>-0.153140061998391</v>
      </c>
      <c r="CS24" s="63">
        <v>-0.23500714627764299</v>
      </c>
      <c r="CT24" s="63">
        <v>-0.298211416429842</v>
      </c>
      <c r="CU24" s="163">
        <v>0.441284630240033</v>
      </c>
      <c r="CV24" s="163">
        <v>0.31953654607778698</v>
      </c>
      <c r="CW24" s="163">
        <v>0.60827627845259002</v>
      </c>
      <c r="CX24" s="158">
        <v>0.10920000000000001</v>
      </c>
    </row>
    <row r="25" spans="1:102" hidden="1" x14ac:dyDescent="0.2">
      <c r="A25" s="59" t="s">
        <v>109</v>
      </c>
      <c r="B25" s="59" t="s">
        <v>40</v>
      </c>
      <c r="C25" s="60">
        <v>0.59119999999999995</v>
      </c>
      <c r="D25" s="61">
        <v>132700</v>
      </c>
      <c r="E25" s="60">
        <v>0.6321</v>
      </c>
      <c r="F25" s="60">
        <v>0.55230000000000001</v>
      </c>
      <c r="G25" s="60">
        <v>0.62860000000000005</v>
      </c>
      <c r="H25" s="60">
        <v>0.6462</v>
      </c>
      <c r="I25" s="60">
        <v>0.57709999999999995</v>
      </c>
      <c r="J25" s="60"/>
      <c r="K25" s="60">
        <v>0.63670000000000004</v>
      </c>
      <c r="L25" s="60">
        <v>0.51439999999999997</v>
      </c>
      <c r="M25" s="60">
        <v>0.434</v>
      </c>
      <c r="N25" s="60">
        <v>0.64580000000000004</v>
      </c>
      <c r="O25" s="60">
        <v>0.61029999999999995</v>
      </c>
      <c r="P25" s="60"/>
      <c r="Q25" s="60">
        <v>0.43890000000000001</v>
      </c>
      <c r="R25" s="60"/>
      <c r="S25" s="60"/>
      <c r="T25" s="60"/>
      <c r="U25" s="60"/>
      <c r="V25" s="60">
        <v>0.69299999999999995</v>
      </c>
      <c r="W25" s="60">
        <v>0.61599999999999999</v>
      </c>
      <c r="X25" s="60">
        <v>0.56120000000000003</v>
      </c>
      <c r="Y25" s="60">
        <v>0.53749999999999998</v>
      </c>
      <c r="Z25" s="60">
        <v>0.66359999999999997</v>
      </c>
      <c r="AA25" s="60"/>
      <c r="AB25" s="60">
        <v>0.49590000000000001</v>
      </c>
      <c r="AC25" s="60"/>
      <c r="AD25" s="60"/>
      <c r="AE25" s="60"/>
      <c r="AF25" s="60"/>
      <c r="AG25" s="60">
        <v>0.1414</v>
      </c>
      <c r="AH25" s="61">
        <v>31700</v>
      </c>
      <c r="AI25" s="60">
        <v>0.1202</v>
      </c>
      <c r="AJ25" s="60">
        <v>0.16309999999999999</v>
      </c>
      <c r="AK25" s="60"/>
      <c r="AL25" s="60">
        <v>0.1009</v>
      </c>
      <c r="AM25" s="60">
        <v>0.13009999999999999</v>
      </c>
      <c r="AN25" s="60"/>
      <c r="AO25" s="60">
        <v>0.1394</v>
      </c>
      <c r="AP25" s="60">
        <v>0.1462</v>
      </c>
      <c r="AQ25" s="60"/>
      <c r="AR25" s="60">
        <v>0.14180000000000001</v>
      </c>
      <c r="AS25" s="60">
        <v>0.13250000000000001</v>
      </c>
      <c r="AT25" s="60"/>
      <c r="AU25" s="60"/>
      <c r="AV25" s="60"/>
      <c r="AW25" s="60"/>
      <c r="AX25" s="60"/>
      <c r="AY25" s="60"/>
      <c r="AZ25" s="60">
        <v>0.11650000000000001</v>
      </c>
      <c r="BA25" s="60">
        <v>0.15559999999999999</v>
      </c>
      <c r="BB25" s="60"/>
      <c r="BC25" s="60"/>
      <c r="BD25" s="60">
        <v>0.1225</v>
      </c>
      <c r="BE25" s="60"/>
      <c r="BF25" s="60">
        <v>0.14929999999999999</v>
      </c>
      <c r="BG25" s="60"/>
      <c r="BH25" s="60"/>
      <c r="BI25" s="60"/>
      <c r="BJ25" s="60"/>
      <c r="BK25" s="60">
        <v>0.26740000000000003</v>
      </c>
      <c r="BL25" s="61">
        <v>60000</v>
      </c>
      <c r="BM25" s="60">
        <v>0.2477</v>
      </c>
      <c r="BN25" s="60">
        <v>0.28460000000000002</v>
      </c>
      <c r="BO25" s="60">
        <v>0.19889999999999999</v>
      </c>
      <c r="BP25" s="60">
        <v>0.25290000000000001</v>
      </c>
      <c r="BQ25" s="60">
        <v>0.2928</v>
      </c>
      <c r="BR25" s="60">
        <v>0.4824</v>
      </c>
      <c r="BS25" s="60">
        <v>0.22389999999999999</v>
      </c>
      <c r="BT25" s="60">
        <v>0.33939999999999998</v>
      </c>
      <c r="BU25" s="60">
        <v>0.44769999999999999</v>
      </c>
      <c r="BV25" s="60">
        <v>0.21249999999999999</v>
      </c>
      <c r="BW25" s="60">
        <v>0.25719999999999998</v>
      </c>
      <c r="BX25" s="60"/>
      <c r="BY25" s="60">
        <v>0.35439999999999999</v>
      </c>
      <c r="BZ25" s="60"/>
      <c r="CA25" s="60"/>
      <c r="CB25" s="60"/>
      <c r="CC25" s="60"/>
      <c r="CD25" s="60">
        <v>0.1905</v>
      </c>
      <c r="CE25" s="60">
        <v>0.22839999999999999</v>
      </c>
      <c r="CF25" s="60">
        <v>0.34470000000000001</v>
      </c>
      <c r="CG25" s="60"/>
      <c r="CH25" s="60">
        <v>0.21379999999999999</v>
      </c>
      <c r="CI25" s="60"/>
      <c r="CJ25" s="60">
        <v>0.3548</v>
      </c>
      <c r="CK25" s="60"/>
      <c r="CL25" s="60"/>
      <c r="CM25" s="60"/>
      <c r="CN25" s="60"/>
      <c r="CO25" s="60">
        <v>0.73260000000000003</v>
      </c>
      <c r="CP25" s="62">
        <v>164400</v>
      </c>
      <c r="CQ25" s="63">
        <v>-3.6900000000000002E-2</v>
      </c>
      <c r="CR25" s="63">
        <v>-0.1542</v>
      </c>
      <c r="CS25" s="63">
        <v>-0.23519999999999999</v>
      </c>
      <c r="CT25" s="63">
        <v>-0.28349999999999997</v>
      </c>
      <c r="CU25" s="163">
        <v>0.45379999999999998</v>
      </c>
      <c r="CV25" s="163">
        <v>0.33250000000000002</v>
      </c>
      <c r="CW25" s="163">
        <v>0.63790000000000002</v>
      </c>
      <c r="CX25" s="158">
        <v>7.8600000000000003E-2</v>
      </c>
    </row>
    <row r="26" spans="1:102" hidden="1" x14ac:dyDescent="0.2">
      <c r="A26" s="59" t="s">
        <v>109</v>
      </c>
      <c r="B26" s="59" t="s">
        <v>41</v>
      </c>
      <c r="C26" s="60">
        <v>0.57423045374563197</v>
      </c>
      <c r="D26" s="61">
        <v>128900</v>
      </c>
      <c r="E26" s="60">
        <v>0.58604681393051605</v>
      </c>
      <c r="F26" s="60">
        <v>0.562241257682629</v>
      </c>
      <c r="G26" s="60">
        <v>0.58169795073742203</v>
      </c>
      <c r="H26" s="60">
        <v>0.61265869619038305</v>
      </c>
      <c r="I26" s="60">
        <v>0.57573962838571202</v>
      </c>
      <c r="J26" s="60">
        <v>0.41779686439314001</v>
      </c>
      <c r="K26" s="60">
        <v>0.59584528859214503</v>
      </c>
      <c r="L26" s="60">
        <v>0.53427666190395195</v>
      </c>
      <c r="M26" s="60">
        <v>0.39050930988293397</v>
      </c>
      <c r="N26" s="60">
        <v>0.61955209861777405</v>
      </c>
      <c r="O26" s="60">
        <v>0.61396461051203</v>
      </c>
      <c r="P26" s="60"/>
      <c r="Q26" s="60">
        <v>0.43497038291255902</v>
      </c>
      <c r="R26" s="60"/>
      <c r="S26" s="60"/>
      <c r="T26" s="60"/>
      <c r="U26" s="60"/>
      <c r="V26" s="60">
        <v>0.70544998405378201</v>
      </c>
      <c r="W26" s="60">
        <v>0.56112396924210695</v>
      </c>
      <c r="X26" s="60">
        <v>0.50879912733500299</v>
      </c>
      <c r="Y26" s="60">
        <v>0.54827972891883903</v>
      </c>
      <c r="Z26" s="60">
        <v>0.66283260314278802</v>
      </c>
      <c r="AA26" s="60"/>
      <c r="AB26" s="60">
        <v>0.52346801754227201</v>
      </c>
      <c r="AC26" s="60"/>
      <c r="AD26" s="60"/>
      <c r="AE26" s="60">
        <v>0.56219168276870701</v>
      </c>
      <c r="AF26" s="60"/>
      <c r="AG26" s="60">
        <v>0.14787165597525601</v>
      </c>
      <c r="AH26" s="61">
        <v>33200</v>
      </c>
      <c r="AI26" s="60">
        <v>0.13109680833336501</v>
      </c>
      <c r="AJ26" s="60">
        <v>0.166207435803394</v>
      </c>
      <c r="AK26" s="60">
        <v>0.16821640245598399</v>
      </c>
      <c r="AL26" s="60">
        <v>0.121837516917001</v>
      </c>
      <c r="AM26" s="60">
        <v>0.14749684395583401</v>
      </c>
      <c r="AN26" s="60">
        <v>0.15840326159160301</v>
      </c>
      <c r="AO26" s="60">
        <v>0.14702383252764101</v>
      </c>
      <c r="AP26" s="60">
        <v>0.15035998511809301</v>
      </c>
      <c r="AQ26" s="60"/>
      <c r="AR26" s="60">
        <v>0.15790449125980599</v>
      </c>
      <c r="AS26" s="60">
        <v>0.12328446010760299</v>
      </c>
      <c r="AT26" s="60"/>
      <c r="AU26" s="60"/>
      <c r="AV26" s="60"/>
      <c r="AW26" s="60"/>
      <c r="AX26" s="60"/>
      <c r="AY26" s="60"/>
      <c r="AZ26" s="60">
        <v>0.112267127226611</v>
      </c>
      <c r="BA26" s="60">
        <v>0.17148717551857701</v>
      </c>
      <c r="BB26" s="60"/>
      <c r="BC26" s="60"/>
      <c r="BD26" s="60">
        <v>0.13364738654996899</v>
      </c>
      <c r="BE26" s="60"/>
      <c r="BF26" s="60">
        <v>0.14502116265773199</v>
      </c>
      <c r="BG26" s="60"/>
      <c r="BH26" s="60"/>
      <c r="BI26" s="60"/>
      <c r="BJ26" s="60"/>
      <c r="BK26" s="60">
        <v>0.27789789027910999</v>
      </c>
      <c r="BL26" s="61">
        <v>62400</v>
      </c>
      <c r="BM26" s="60">
        <v>0.28285637773611999</v>
      </c>
      <c r="BN26" s="60">
        <v>0.27155130651397802</v>
      </c>
      <c r="BO26" s="60">
        <v>0.25008564680659401</v>
      </c>
      <c r="BP26" s="60">
        <v>0.265503786892616</v>
      </c>
      <c r="BQ26" s="60">
        <v>0.27676352765845202</v>
      </c>
      <c r="BR26" s="60">
        <v>0.42379987401525698</v>
      </c>
      <c r="BS26" s="60">
        <v>0.25713087888021502</v>
      </c>
      <c r="BT26" s="60">
        <v>0.31536335297795498</v>
      </c>
      <c r="BU26" s="60">
        <v>0.50415482473544604</v>
      </c>
      <c r="BV26" s="60">
        <v>0.22254341012241799</v>
      </c>
      <c r="BW26" s="60">
        <v>0.26275092938036498</v>
      </c>
      <c r="BX26" s="60"/>
      <c r="BY26" s="60">
        <v>0.31928285873432899</v>
      </c>
      <c r="BZ26" s="60"/>
      <c r="CA26" s="60"/>
      <c r="CB26" s="60"/>
      <c r="CC26" s="60"/>
      <c r="CD26" s="60">
        <v>0.18228288871960599</v>
      </c>
      <c r="CE26" s="60">
        <v>0.26738885523931699</v>
      </c>
      <c r="CF26" s="60">
        <v>0.365811989347816</v>
      </c>
      <c r="CG26" s="60"/>
      <c r="CH26" s="60">
        <v>0.20352001030724401</v>
      </c>
      <c r="CI26" s="60"/>
      <c r="CJ26" s="60">
        <v>0.33151081979999503</v>
      </c>
      <c r="CK26" s="60"/>
      <c r="CL26" s="60"/>
      <c r="CM26" s="60"/>
      <c r="CN26" s="60"/>
      <c r="CO26" s="60">
        <v>0.72210210972088795</v>
      </c>
      <c r="CP26" s="62">
        <v>162100</v>
      </c>
      <c r="CQ26" s="63">
        <v>1.1305071222141401E-2</v>
      </c>
      <c r="CR26" s="63">
        <v>-0.18352910062821001</v>
      </c>
      <c r="CS26" s="63">
        <v>-0.28161141461302802</v>
      </c>
      <c r="CT26" s="63">
        <v>-0.173714227208663</v>
      </c>
      <c r="CU26" s="163">
        <v>0.42674493656394602</v>
      </c>
      <c r="CV26" s="163">
        <v>0.29229566423617498</v>
      </c>
      <c r="CW26" s="163">
        <v>0.59163346229602698</v>
      </c>
      <c r="CX26" s="158">
        <v>0.1273</v>
      </c>
    </row>
    <row r="27" spans="1:102" hidden="1" x14ac:dyDescent="0.2">
      <c r="A27" s="59" t="s">
        <v>109</v>
      </c>
      <c r="B27" s="59" t="s">
        <v>155</v>
      </c>
      <c r="C27" s="60">
        <v>0.57340000000000002</v>
      </c>
      <c r="D27" s="61">
        <v>129500</v>
      </c>
      <c r="E27" s="60">
        <v>0.56014940644294497</v>
      </c>
      <c r="F27" s="60">
        <v>0.589270318273873</v>
      </c>
      <c r="G27" s="60">
        <v>0.60566060086065399</v>
      </c>
      <c r="H27" s="60">
        <v>0.59816693143369204</v>
      </c>
      <c r="I27" s="60">
        <v>0.55436686900687504</v>
      </c>
      <c r="J27" s="60">
        <v>0.44246982278461899</v>
      </c>
      <c r="K27" s="60">
        <v>0.60199906823847504</v>
      </c>
      <c r="L27" s="60">
        <v>0.52545878851936101</v>
      </c>
      <c r="M27" s="60">
        <v>0.39008802182449398</v>
      </c>
      <c r="N27" s="60">
        <v>0.62376477331815305</v>
      </c>
      <c r="O27" s="60">
        <v>0.60436747228524701</v>
      </c>
      <c r="P27" s="60"/>
      <c r="Q27" s="60">
        <v>0.465297884137364</v>
      </c>
      <c r="R27" s="60"/>
      <c r="S27" s="60"/>
      <c r="T27" s="60"/>
      <c r="U27" s="60"/>
      <c r="V27" s="60">
        <v>0.685997671681979</v>
      </c>
      <c r="W27" s="60">
        <v>0.55539891551508702</v>
      </c>
      <c r="X27" s="60">
        <v>0.478005178204575</v>
      </c>
      <c r="Y27" s="60">
        <v>0.59410832723802798</v>
      </c>
      <c r="Z27" s="60">
        <v>0.62269268057275995</v>
      </c>
      <c r="AA27" s="60"/>
      <c r="AB27" s="60">
        <v>0.52417356702213203</v>
      </c>
      <c r="AC27" s="60"/>
      <c r="AD27" s="60"/>
      <c r="AE27" s="60">
        <v>0.62174646166651204</v>
      </c>
      <c r="AF27" s="60"/>
      <c r="AG27" s="60">
        <v>0.10589999999999999</v>
      </c>
      <c r="AH27" s="61">
        <v>23900</v>
      </c>
      <c r="AI27" s="60">
        <v>9.1598458695081195E-2</v>
      </c>
      <c r="AJ27" s="60">
        <v>0.12049047913494799</v>
      </c>
      <c r="AK27" s="60"/>
      <c r="AL27" s="60">
        <v>0.11018383346144001</v>
      </c>
      <c r="AM27" s="60">
        <v>9.7878151830108895E-2</v>
      </c>
      <c r="AN27" s="60"/>
      <c r="AO27" s="60">
        <v>0.108950999978846</v>
      </c>
      <c r="AP27" s="60">
        <v>9.9604809392561694E-2</v>
      </c>
      <c r="AQ27" s="60"/>
      <c r="AR27" s="60">
        <v>0.108498309760686</v>
      </c>
      <c r="AS27" s="60">
        <v>8.8621022676783304E-2</v>
      </c>
      <c r="AT27" s="60"/>
      <c r="AU27" s="60"/>
      <c r="AV27" s="60"/>
      <c r="AW27" s="60"/>
      <c r="AX27" s="60"/>
      <c r="AY27" s="60"/>
      <c r="AZ27" s="60">
        <v>0.106849881664991</v>
      </c>
      <c r="BA27" s="60"/>
      <c r="BB27" s="60"/>
      <c r="BC27" s="60"/>
      <c r="BD27" s="60">
        <v>0.10444670098357001</v>
      </c>
      <c r="BE27" s="60"/>
      <c r="BF27" s="60">
        <v>9.5579413668131996E-2</v>
      </c>
      <c r="BG27" s="60"/>
      <c r="BH27" s="60"/>
      <c r="BI27" s="60"/>
      <c r="BJ27" s="60"/>
      <c r="BK27" s="60">
        <v>0.32069999999999999</v>
      </c>
      <c r="BL27" s="61">
        <v>72400</v>
      </c>
      <c r="BM27" s="60">
        <v>0.34825213486197298</v>
      </c>
      <c r="BN27" s="60">
        <v>0.29023920259118002</v>
      </c>
      <c r="BO27" s="60">
        <v>0.28656634771614697</v>
      </c>
      <c r="BP27" s="60">
        <v>0.29164923510486801</v>
      </c>
      <c r="BQ27" s="60">
        <v>0.34775497916301701</v>
      </c>
      <c r="BR27" s="60">
        <v>0.45296850030102198</v>
      </c>
      <c r="BS27" s="60">
        <v>0.28904993178268001</v>
      </c>
      <c r="BT27" s="60">
        <v>0.37493640208807799</v>
      </c>
      <c r="BU27" s="60">
        <v>0.51183141071929195</v>
      </c>
      <c r="BV27" s="60">
        <v>0.26773691692115997</v>
      </c>
      <c r="BW27" s="60">
        <v>0.30701150503796998</v>
      </c>
      <c r="BX27" s="60"/>
      <c r="BY27" s="60">
        <v>0.36783158941503802</v>
      </c>
      <c r="BZ27" s="60"/>
      <c r="CA27" s="60"/>
      <c r="CB27" s="60"/>
      <c r="CC27" s="60"/>
      <c r="CD27" s="60">
        <v>0.20715244665302901</v>
      </c>
      <c r="CE27" s="60">
        <v>0.35180114555097303</v>
      </c>
      <c r="CF27" s="60">
        <v>0.42295950782213798</v>
      </c>
      <c r="CG27" s="60">
        <v>0.27729344590868199</v>
      </c>
      <c r="CH27" s="60">
        <v>0.27286061844366899</v>
      </c>
      <c r="CI27" s="60"/>
      <c r="CJ27" s="60">
        <v>0.38024701930973698</v>
      </c>
      <c r="CK27" s="60"/>
      <c r="CL27" s="60"/>
      <c r="CM27" s="60"/>
      <c r="CN27" s="60"/>
      <c r="CO27" s="60">
        <v>0.10589999999999999</v>
      </c>
      <c r="CP27" s="62">
        <v>153400</v>
      </c>
      <c r="CQ27" s="63">
        <v>5.8012932270793002E-2</v>
      </c>
      <c r="CR27" s="63">
        <v>-0.215807061169109</v>
      </c>
      <c r="CS27" s="63">
        <v>-0.244094493798131</v>
      </c>
      <c r="CT27" s="63">
        <v>-0.16640215258487601</v>
      </c>
      <c r="CU27" s="163">
        <v>0.417175102536536</v>
      </c>
      <c r="CV27" s="163">
        <v>0.25666955119615897</v>
      </c>
      <c r="CW27" s="163">
        <v>0.55318666085347501</v>
      </c>
      <c r="CX27" s="158"/>
    </row>
    <row r="28" spans="1:102" hidden="1" x14ac:dyDescent="0.2">
      <c r="A28" s="59" t="s">
        <v>109</v>
      </c>
      <c r="B28" s="59" t="s">
        <v>42</v>
      </c>
      <c r="C28" s="60">
        <v>9.9999999999989E-5</v>
      </c>
      <c r="D28" s="61"/>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v>-3.6400000000000002E-2</v>
      </c>
      <c r="AH28" s="61"/>
      <c r="AI28" s="60">
        <v>-2.63003127167898E-2</v>
      </c>
      <c r="AJ28" s="60">
        <v>-4.6946319648634598E-2</v>
      </c>
      <c r="AK28" s="60">
        <v>-0.163755093864415</v>
      </c>
      <c r="AL28" s="60">
        <v>-1.90400309112722E-2</v>
      </c>
      <c r="AM28" s="60">
        <v>-7.6682817555773997E-2</v>
      </c>
      <c r="AN28" s="60">
        <v>0</v>
      </c>
      <c r="AO28" s="60">
        <v>0.108950999978846</v>
      </c>
      <c r="AP28" s="60">
        <v>9.9604809392561694E-2</v>
      </c>
      <c r="AQ28" s="60">
        <v>-0.14797489493816099</v>
      </c>
      <c r="AR28" s="60">
        <v>-4.0484687484186897E-2</v>
      </c>
      <c r="AS28" s="60">
        <v>-5.32635911951106E-2</v>
      </c>
      <c r="AT28" s="60">
        <v>0</v>
      </c>
      <c r="AU28" s="60">
        <v>0</v>
      </c>
      <c r="AV28" s="60">
        <v>0</v>
      </c>
      <c r="AW28" s="60">
        <v>0</v>
      </c>
      <c r="AX28" s="60">
        <v>0</v>
      </c>
      <c r="AY28" s="60">
        <v>0</v>
      </c>
      <c r="AZ28" s="60">
        <v>-3.4249976406226998E-2</v>
      </c>
      <c r="BA28" s="60">
        <v>-0.18521002890857099</v>
      </c>
      <c r="BB28" s="60">
        <v>0</v>
      </c>
      <c r="BC28" s="60">
        <v>0</v>
      </c>
      <c r="BD28" s="60">
        <v>0.10444670098357001</v>
      </c>
      <c r="BE28" s="60">
        <v>0</v>
      </c>
      <c r="BF28" s="60">
        <v>9.5579413668131996E-2</v>
      </c>
      <c r="BG28" s="60">
        <v>0</v>
      </c>
      <c r="BH28" s="60">
        <v>0</v>
      </c>
      <c r="BI28" s="60">
        <v>0</v>
      </c>
      <c r="BJ28" s="60">
        <v>0</v>
      </c>
      <c r="BK28" s="60">
        <v>2.9499999999999998E-2</v>
      </c>
      <c r="BL28" s="61"/>
      <c r="BM28" s="60">
        <v>8.5589608774858897E-2</v>
      </c>
      <c r="BN28" s="60">
        <v>-2.6404111796525399E-2</v>
      </c>
      <c r="BO28" s="60">
        <v>0.13845078550987699</v>
      </c>
      <c r="BP28" s="60">
        <v>-1.1914239990755599E-2</v>
      </c>
      <c r="BQ28" s="60">
        <v>1.2591421114162E-3</v>
      </c>
      <c r="BR28" s="60">
        <v>-4.6513452049993999E-2</v>
      </c>
      <c r="BS28" s="60">
        <v>0.28904993178268001</v>
      </c>
      <c r="BT28" s="60">
        <v>0.37493640208807799</v>
      </c>
      <c r="BU28" s="60">
        <v>8.1726905464300004E-2</v>
      </c>
      <c r="BV28" s="60">
        <v>2.37751538750305E-2</v>
      </c>
      <c r="BW28" s="60">
        <v>2.54653765936339E-2</v>
      </c>
      <c r="BX28" s="60">
        <v>0</v>
      </c>
      <c r="BY28" s="60">
        <v>0.36783158941503802</v>
      </c>
      <c r="BZ28" s="60">
        <v>0</v>
      </c>
      <c r="CA28" s="60">
        <v>0</v>
      </c>
      <c r="CB28" s="60">
        <v>0</v>
      </c>
      <c r="CC28" s="60">
        <v>0</v>
      </c>
      <c r="CD28" s="60">
        <v>5.78011458893568E-3</v>
      </c>
      <c r="CE28" s="60">
        <v>0.110600079613746</v>
      </c>
      <c r="CF28" s="60">
        <v>3.7609766304316998E-2</v>
      </c>
      <c r="CG28" s="60">
        <v>0.27729344590868199</v>
      </c>
      <c r="CH28" s="60">
        <v>0.27286061844366899</v>
      </c>
      <c r="CI28" s="60">
        <v>0</v>
      </c>
      <c r="CJ28" s="60">
        <v>0.38024701930973698</v>
      </c>
      <c r="CK28" s="60">
        <v>0</v>
      </c>
      <c r="CL28" s="60">
        <v>0</v>
      </c>
      <c r="CM28" s="60">
        <v>0</v>
      </c>
      <c r="CN28" s="60">
        <v>0</v>
      </c>
      <c r="CO28" s="60">
        <v>-0.60289999999999999</v>
      </c>
      <c r="CP28" s="62">
        <v>-4600</v>
      </c>
      <c r="CQ28" s="63">
        <v>0.111993720571384</v>
      </c>
      <c r="CR28" s="63">
        <v>-3.1829651715381303E-2</v>
      </c>
      <c r="CS28" s="63">
        <v>-5.7951751589269497E-2</v>
      </c>
      <c r="CT28" s="63">
        <v>0.18496423755987099</v>
      </c>
      <c r="CU28" s="163">
        <v>-2.4109527703497301E-2</v>
      </c>
      <c r="CV28" s="163">
        <v>-6.2866994881628405E-2</v>
      </c>
      <c r="CW28" s="163">
        <v>-5.50896175991148E-2</v>
      </c>
      <c r="CX28" s="158"/>
    </row>
    <row r="29" spans="1:102" hidden="1" x14ac:dyDescent="0.2">
      <c r="A29" s="59" t="s">
        <v>110</v>
      </c>
      <c r="B29" s="59" t="s">
        <v>35</v>
      </c>
      <c r="C29" s="60">
        <v>0.62229999999999996</v>
      </c>
      <c r="D29" s="61">
        <v>93200</v>
      </c>
      <c r="E29" s="60">
        <v>0.638305887180182</v>
      </c>
      <c r="F29" s="60">
        <v>0.60605280066517897</v>
      </c>
      <c r="G29" s="60">
        <v>0.71513732282425302</v>
      </c>
      <c r="H29" s="60">
        <v>0.65998048575962298</v>
      </c>
      <c r="I29" s="60">
        <v>0.55218585564908196</v>
      </c>
      <c r="J29" s="60">
        <v>0.42769991584790701</v>
      </c>
      <c r="K29" s="60"/>
      <c r="L29" s="60"/>
      <c r="M29" s="60">
        <v>0.46994630753239802</v>
      </c>
      <c r="N29" s="60">
        <v>0.66158898407800804</v>
      </c>
      <c r="O29" s="60">
        <v>0.62405837745479598</v>
      </c>
      <c r="P29" s="60"/>
      <c r="Q29" s="60"/>
      <c r="R29" s="60"/>
      <c r="S29" s="60"/>
      <c r="T29" s="60"/>
      <c r="U29" s="60"/>
      <c r="V29" s="60">
        <v>0.69095510753546796</v>
      </c>
      <c r="W29" s="60">
        <v>0.55813040915030998</v>
      </c>
      <c r="X29" s="60">
        <v>0.59489467511959704</v>
      </c>
      <c r="Y29" s="60"/>
      <c r="Z29" s="60"/>
      <c r="AA29" s="60"/>
      <c r="AB29" s="60"/>
      <c r="AC29" s="60"/>
      <c r="AD29" s="60"/>
      <c r="AE29" s="60"/>
      <c r="AF29" s="60"/>
      <c r="AG29" s="60">
        <v>0.1142</v>
      </c>
      <c r="AH29" s="61">
        <v>17100</v>
      </c>
      <c r="AI29" s="60">
        <v>8.2713576064772698E-2</v>
      </c>
      <c r="AJ29" s="60">
        <v>0.146078818960204</v>
      </c>
      <c r="AK29" s="60"/>
      <c r="AL29" s="60">
        <v>8.4583012207153793E-2</v>
      </c>
      <c r="AM29" s="60">
        <v>0.16226693555414101</v>
      </c>
      <c r="AN29" s="60"/>
      <c r="AO29" s="60"/>
      <c r="AP29" s="60"/>
      <c r="AQ29" s="60">
        <v>0.122700346695217</v>
      </c>
      <c r="AR29" s="60">
        <v>0.112606476439309</v>
      </c>
      <c r="AS29" s="60">
        <v>0.106968681020069</v>
      </c>
      <c r="AT29" s="60"/>
      <c r="AU29" s="60"/>
      <c r="AV29" s="60"/>
      <c r="AW29" s="60"/>
      <c r="AX29" s="60"/>
      <c r="AY29" s="60"/>
      <c r="AZ29" s="60">
        <v>0.102312261261156</v>
      </c>
      <c r="BA29" s="60">
        <v>0.134284095682494</v>
      </c>
      <c r="BB29" s="60"/>
      <c r="BC29" s="60"/>
      <c r="BD29" s="60"/>
      <c r="BE29" s="60"/>
      <c r="BF29" s="60"/>
      <c r="BG29" s="60"/>
      <c r="BH29" s="60"/>
      <c r="BI29" s="60"/>
      <c r="BJ29" s="60"/>
      <c r="BK29" s="60">
        <v>0.26350000000000001</v>
      </c>
      <c r="BL29" s="61">
        <v>39500</v>
      </c>
      <c r="BM29" s="60">
        <v>0.27898053675504603</v>
      </c>
      <c r="BN29" s="60">
        <v>0.247868380374617</v>
      </c>
      <c r="BO29" s="60">
        <v>0.179923997560686</v>
      </c>
      <c r="BP29" s="60">
        <v>0.25543650203322299</v>
      </c>
      <c r="BQ29" s="60">
        <v>0.28554720879677598</v>
      </c>
      <c r="BR29" s="60">
        <v>0.45771857027864299</v>
      </c>
      <c r="BS29" s="60"/>
      <c r="BT29" s="60"/>
      <c r="BU29" s="60">
        <v>0.40735334577238602</v>
      </c>
      <c r="BV29" s="60">
        <v>0.225804539482683</v>
      </c>
      <c r="BW29" s="60">
        <v>0.26897294152513501</v>
      </c>
      <c r="BX29" s="60"/>
      <c r="BY29" s="60"/>
      <c r="BZ29" s="60"/>
      <c r="CA29" s="60"/>
      <c r="CB29" s="60"/>
      <c r="CC29" s="60"/>
      <c r="CD29" s="60">
        <v>0.20673263120337601</v>
      </c>
      <c r="CE29" s="60">
        <v>0.30758549516719502</v>
      </c>
      <c r="CF29" s="60">
        <v>0.258427977646426</v>
      </c>
      <c r="CG29" s="60"/>
      <c r="CH29" s="60"/>
      <c r="CI29" s="60"/>
      <c r="CJ29" s="60"/>
      <c r="CK29" s="60"/>
      <c r="CL29" s="60"/>
      <c r="CM29" s="60"/>
      <c r="CN29" s="60"/>
      <c r="CO29" s="60">
        <v>0.73650000000000004</v>
      </c>
      <c r="CP29" s="62">
        <v>110300</v>
      </c>
      <c r="CQ29" s="63">
        <v>3.1112156380428801E-2</v>
      </c>
      <c r="CR29" s="63">
        <v>-5.1695346443050599E-2</v>
      </c>
      <c r="CS29" s="63">
        <v>-0.18154880628970299</v>
      </c>
      <c r="CT29" s="63">
        <v>-0.27779457271795699</v>
      </c>
      <c r="CU29" s="163"/>
      <c r="CV29" s="163"/>
      <c r="CW29" s="163"/>
      <c r="CX29" s="158"/>
    </row>
    <row r="30" spans="1:102" hidden="1" x14ac:dyDescent="0.2">
      <c r="A30" s="59" t="s">
        <v>110</v>
      </c>
      <c r="B30" s="59" t="s">
        <v>36</v>
      </c>
      <c r="C30" s="60">
        <v>0.57579999999999998</v>
      </c>
      <c r="D30" s="61">
        <v>86500</v>
      </c>
      <c r="E30" s="60">
        <v>0.604465660820663</v>
      </c>
      <c r="F30" s="60">
        <v>0.51743362528792303</v>
      </c>
      <c r="G30" s="60">
        <v>0.64349841889359705</v>
      </c>
      <c r="H30" s="60">
        <v>0.61208759657287504</v>
      </c>
      <c r="I30" s="60">
        <v>0.53724363717808898</v>
      </c>
      <c r="J30" s="60">
        <v>0.27667277381128402</v>
      </c>
      <c r="K30" s="60"/>
      <c r="L30" s="60"/>
      <c r="M30" s="60">
        <v>0.35413421904027498</v>
      </c>
      <c r="N30" s="60">
        <v>0.62330254303705901</v>
      </c>
      <c r="O30" s="60">
        <v>0.57265088606394998</v>
      </c>
      <c r="P30" s="60"/>
      <c r="Q30" s="60"/>
      <c r="R30" s="60"/>
      <c r="S30" s="60"/>
      <c r="T30" s="60"/>
      <c r="U30" s="60"/>
      <c r="V30" s="60">
        <v>0.658888232200742</v>
      </c>
      <c r="W30" s="60">
        <v>0.57465536880489199</v>
      </c>
      <c r="X30" s="60">
        <v>0.51785571365187999</v>
      </c>
      <c r="Y30" s="60"/>
      <c r="Z30" s="60"/>
      <c r="AA30" s="60"/>
      <c r="AB30" s="60"/>
      <c r="AC30" s="60"/>
      <c r="AD30" s="60"/>
      <c r="AE30" s="60"/>
      <c r="AF30" s="60"/>
      <c r="AG30" s="60">
        <v>0.13819999999999999</v>
      </c>
      <c r="AH30" s="61">
        <v>20800</v>
      </c>
      <c r="AI30" s="60">
        <v>0.112806894758493</v>
      </c>
      <c r="AJ30" s="60">
        <v>0.19331190242379401</v>
      </c>
      <c r="AK30" s="60"/>
      <c r="AL30" s="60">
        <v>0.15206505420269101</v>
      </c>
      <c r="AM30" s="60">
        <v>0.169517635629366</v>
      </c>
      <c r="AN30" s="60"/>
      <c r="AO30" s="60"/>
      <c r="AP30" s="60"/>
      <c r="AQ30" s="60">
        <v>0.181672176019399</v>
      </c>
      <c r="AR30" s="60">
        <v>0.13802227905759801</v>
      </c>
      <c r="AS30" s="60">
        <v>0.13280102859632101</v>
      </c>
      <c r="AT30" s="60"/>
      <c r="AU30" s="60"/>
      <c r="AV30" s="60"/>
      <c r="AW30" s="60"/>
      <c r="AX30" s="60"/>
      <c r="AY30" s="60"/>
      <c r="AZ30" s="60">
        <v>0.15183979048917801</v>
      </c>
      <c r="BA30" s="60">
        <v>0.16964756175997001</v>
      </c>
      <c r="BB30" s="60"/>
      <c r="BC30" s="60"/>
      <c r="BD30" s="60"/>
      <c r="BE30" s="60"/>
      <c r="BF30" s="60"/>
      <c r="BG30" s="60"/>
      <c r="BH30" s="60"/>
      <c r="BI30" s="60"/>
      <c r="BJ30" s="60"/>
      <c r="BK30" s="60">
        <v>0.28596195771865801</v>
      </c>
      <c r="BL30" s="61">
        <v>42900</v>
      </c>
      <c r="BM30" s="60">
        <v>0.28272744442084302</v>
      </c>
      <c r="BN30" s="60">
        <v>0.28925447228828399</v>
      </c>
      <c r="BO30" s="60">
        <v>0.222394541963403</v>
      </c>
      <c r="BP30" s="60">
        <v>0.23584734922443401</v>
      </c>
      <c r="BQ30" s="60">
        <v>0.29323872719254501</v>
      </c>
      <c r="BR30" s="60">
        <v>0.57544453507029103</v>
      </c>
      <c r="BS30" s="60"/>
      <c r="BT30" s="60"/>
      <c r="BU30" s="60">
        <v>0.46419360494032602</v>
      </c>
      <c r="BV30" s="60">
        <v>0.23867517790534201</v>
      </c>
      <c r="BW30" s="60">
        <v>0.29454808533972998</v>
      </c>
      <c r="BX30" s="60"/>
      <c r="BY30" s="60"/>
      <c r="BZ30" s="60"/>
      <c r="CA30" s="60"/>
      <c r="CB30" s="60"/>
      <c r="CC30" s="60"/>
      <c r="CD30" s="60">
        <v>0.189271977310079</v>
      </c>
      <c r="CE30" s="60">
        <v>0.25569706943513798</v>
      </c>
      <c r="CF30" s="60">
        <v>0.348175101813679</v>
      </c>
      <c r="CG30" s="60"/>
      <c r="CH30" s="60"/>
      <c r="CI30" s="60"/>
      <c r="CJ30" s="60"/>
      <c r="CK30" s="60"/>
      <c r="CL30" s="60"/>
      <c r="CM30" s="60"/>
      <c r="CN30" s="60"/>
      <c r="CO30" s="60">
        <v>0.71399999999999997</v>
      </c>
      <c r="CP30" s="62">
        <v>107300</v>
      </c>
      <c r="CQ30" s="63">
        <v>-6.5270278674414697E-3</v>
      </c>
      <c r="CR30" s="63">
        <v>-0.1589031245036</v>
      </c>
      <c r="CS30" s="63">
        <v>-0.22551842703498401</v>
      </c>
      <c r="CT30" s="63">
        <v>-0.353049993106888</v>
      </c>
      <c r="CU30" s="163"/>
      <c r="CV30" s="163"/>
      <c r="CW30" s="163"/>
      <c r="CX30" s="158">
        <v>0.12889999999999999</v>
      </c>
    </row>
    <row r="31" spans="1:102" hidden="1" x14ac:dyDescent="0.2">
      <c r="A31" s="59" t="s">
        <v>110</v>
      </c>
      <c r="B31" s="59" t="s">
        <v>37</v>
      </c>
      <c r="C31" s="60">
        <v>0.61219999999999997</v>
      </c>
      <c r="D31" s="61">
        <v>92000</v>
      </c>
      <c r="E31" s="60">
        <v>0.64066299647662495</v>
      </c>
      <c r="F31" s="60">
        <v>0.58270177488434205</v>
      </c>
      <c r="G31" s="60">
        <v>0.77179303213500206</v>
      </c>
      <c r="H31" s="60">
        <v>0.58628647029843595</v>
      </c>
      <c r="I31" s="60">
        <v>0.59427090842008601</v>
      </c>
      <c r="J31" s="60">
        <v>0.35021858054328803</v>
      </c>
      <c r="K31" s="60"/>
      <c r="L31" s="60"/>
      <c r="M31" s="60">
        <v>0.39417850277023703</v>
      </c>
      <c r="N31" s="60">
        <v>0.66344556392277398</v>
      </c>
      <c r="O31" s="60">
        <v>0.62100782246637798</v>
      </c>
      <c r="P31" s="60"/>
      <c r="Q31" s="60"/>
      <c r="R31" s="60"/>
      <c r="S31" s="60"/>
      <c r="T31" s="60"/>
      <c r="U31" s="60"/>
      <c r="V31" s="60">
        <v>0.70644407909537699</v>
      </c>
      <c r="W31" s="60">
        <v>0.60635143955083104</v>
      </c>
      <c r="X31" s="60">
        <v>0.49284078364526801</v>
      </c>
      <c r="Y31" s="60"/>
      <c r="Z31" s="60"/>
      <c r="AA31" s="60"/>
      <c r="AB31" s="60"/>
      <c r="AC31" s="60"/>
      <c r="AD31" s="60"/>
      <c r="AE31" s="60"/>
      <c r="AF31" s="60"/>
      <c r="AG31" s="60">
        <v>0.1176</v>
      </c>
      <c r="AH31" s="61">
        <v>17700</v>
      </c>
      <c r="AI31" s="60">
        <v>9.0164212420053402E-2</v>
      </c>
      <c r="AJ31" s="60">
        <v>0.14606936676163501</v>
      </c>
      <c r="AK31" s="60"/>
      <c r="AL31" s="60">
        <v>0.15812242845545099</v>
      </c>
      <c r="AM31" s="60">
        <v>0.126521731146543</v>
      </c>
      <c r="AN31" s="60"/>
      <c r="AO31" s="60"/>
      <c r="AP31" s="60"/>
      <c r="AQ31" s="60"/>
      <c r="AR31" s="60">
        <v>9.8802349424329805E-2</v>
      </c>
      <c r="AS31" s="60">
        <v>0.112396057498271</v>
      </c>
      <c r="AT31" s="60"/>
      <c r="AU31" s="60"/>
      <c r="AV31" s="60"/>
      <c r="AW31" s="60"/>
      <c r="AX31" s="60"/>
      <c r="AY31" s="60"/>
      <c r="AZ31" s="60">
        <v>0.111450340133934</v>
      </c>
      <c r="BA31" s="60"/>
      <c r="BB31" s="60"/>
      <c r="BC31" s="60"/>
      <c r="BD31" s="60"/>
      <c r="BE31" s="60"/>
      <c r="BF31" s="60"/>
      <c r="BG31" s="60"/>
      <c r="BH31" s="60"/>
      <c r="BI31" s="60"/>
      <c r="BJ31" s="60"/>
      <c r="BK31" s="60">
        <v>0.2702</v>
      </c>
      <c r="BL31" s="61">
        <v>40600</v>
      </c>
      <c r="BM31" s="60">
        <v>0.26917279110332298</v>
      </c>
      <c r="BN31" s="60">
        <v>0.27122885835402399</v>
      </c>
      <c r="BO31" s="60">
        <v>0.172558287134078</v>
      </c>
      <c r="BP31" s="60">
        <v>0.25559110124611401</v>
      </c>
      <c r="BQ31" s="60">
        <v>0.27920736043337102</v>
      </c>
      <c r="BR31" s="60">
        <v>0.52165604525325304</v>
      </c>
      <c r="BS31" s="60"/>
      <c r="BT31" s="60"/>
      <c r="BU31" s="60">
        <v>0.41713150055206799</v>
      </c>
      <c r="BV31" s="60">
        <v>0.23775208665289699</v>
      </c>
      <c r="BW31" s="60">
        <v>0.26659612003535099</v>
      </c>
      <c r="BX31" s="60"/>
      <c r="BY31" s="60"/>
      <c r="BZ31" s="60"/>
      <c r="CA31" s="60"/>
      <c r="CB31" s="60"/>
      <c r="CC31" s="60"/>
      <c r="CD31" s="60">
        <v>0.182105580770689</v>
      </c>
      <c r="CE31" s="60">
        <v>0.25541349561082899</v>
      </c>
      <c r="CF31" s="60">
        <v>0.37899847175789197</v>
      </c>
      <c r="CG31" s="60"/>
      <c r="CH31" s="60"/>
      <c r="CI31" s="60"/>
      <c r="CJ31" s="60"/>
      <c r="CK31" s="60"/>
      <c r="CL31" s="60"/>
      <c r="CM31" s="60"/>
      <c r="CN31" s="60"/>
      <c r="CO31" s="60">
        <v>0.7298</v>
      </c>
      <c r="CP31" s="62">
        <v>109700</v>
      </c>
      <c r="CQ31" s="63">
        <v>-2.0560672507009001E-3</v>
      </c>
      <c r="CR31" s="63">
        <v>-0.196892890987203</v>
      </c>
      <c r="CS31" s="63">
        <v>-0.179379413899171</v>
      </c>
      <c r="CT31" s="63">
        <v>-0.34909775811917598</v>
      </c>
      <c r="CU31" s="163"/>
      <c r="CV31" s="163"/>
      <c r="CW31" s="163"/>
      <c r="CX31" s="158">
        <v>0.11749999999999999</v>
      </c>
    </row>
    <row r="32" spans="1:102" hidden="1" x14ac:dyDescent="0.2">
      <c r="A32" s="59" t="s">
        <v>110</v>
      </c>
      <c r="B32" s="59" t="s">
        <v>38</v>
      </c>
      <c r="C32" s="60">
        <v>0.61593262563030704</v>
      </c>
      <c r="D32" s="61">
        <v>92900</v>
      </c>
      <c r="E32" s="60">
        <v>0.60788451180293301</v>
      </c>
      <c r="F32" s="60">
        <v>0.627335074695476</v>
      </c>
      <c r="G32" s="60">
        <v>0.68637266065965297</v>
      </c>
      <c r="H32" s="60">
        <v>0.62983453151889401</v>
      </c>
      <c r="I32" s="60">
        <v>0.60774465088596996</v>
      </c>
      <c r="J32" s="60">
        <v>0.40855797215273298</v>
      </c>
      <c r="K32" s="60"/>
      <c r="L32" s="60"/>
      <c r="M32" s="60">
        <v>0.450640480650425</v>
      </c>
      <c r="N32" s="60">
        <v>0.65169549422383999</v>
      </c>
      <c r="O32" s="60">
        <v>0.61926994956735004</v>
      </c>
      <c r="P32" s="60"/>
      <c r="Q32" s="60"/>
      <c r="R32" s="60"/>
      <c r="S32" s="60"/>
      <c r="T32" s="60"/>
      <c r="U32" s="60"/>
      <c r="V32" s="60">
        <v>0.71322689427295405</v>
      </c>
      <c r="W32" s="60">
        <v>0.60783310611520602</v>
      </c>
      <c r="X32" s="60">
        <v>0.47932017316333098</v>
      </c>
      <c r="Y32" s="60"/>
      <c r="Z32" s="60"/>
      <c r="AA32" s="60"/>
      <c r="AB32" s="60"/>
      <c r="AC32" s="60"/>
      <c r="AD32" s="60"/>
      <c r="AE32" s="60"/>
      <c r="AF32" s="60"/>
      <c r="AG32" s="60">
        <v>0.12720000000000001</v>
      </c>
      <c r="AH32" s="61">
        <v>19200</v>
      </c>
      <c r="AI32" s="60">
        <v>0.128403205245956</v>
      </c>
      <c r="AJ32" s="60">
        <v>0.124145244794113</v>
      </c>
      <c r="AK32" s="60"/>
      <c r="AL32" s="60">
        <v>0.16275276644394801</v>
      </c>
      <c r="AM32" s="60">
        <v>0.13727840774505301</v>
      </c>
      <c r="AN32" s="60"/>
      <c r="AO32" s="60"/>
      <c r="AP32" s="60"/>
      <c r="AQ32" s="60"/>
      <c r="AR32" s="60">
        <v>0.114183705788363</v>
      </c>
      <c r="AS32" s="60">
        <v>0.12922176571154501</v>
      </c>
      <c r="AT32" s="60"/>
      <c r="AU32" s="60"/>
      <c r="AV32" s="60"/>
      <c r="AW32" s="60"/>
      <c r="AX32" s="60"/>
      <c r="AY32" s="60"/>
      <c r="AZ32" s="60">
        <v>0.10994940475819499</v>
      </c>
      <c r="BA32" s="60">
        <v>0.141897985900169</v>
      </c>
      <c r="BB32" s="60">
        <v>0.19841520365208201</v>
      </c>
      <c r="BC32" s="60"/>
      <c r="BD32" s="60"/>
      <c r="BE32" s="60"/>
      <c r="BF32" s="60"/>
      <c r="BG32" s="60"/>
      <c r="BH32" s="60"/>
      <c r="BI32" s="60"/>
      <c r="BJ32" s="60"/>
      <c r="BK32" s="60">
        <v>0.25688560989741899</v>
      </c>
      <c r="BL32" s="61">
        <v>38800</v>
      </c>
      <c r="BM32" s="60">
        <v>0.26371228295111099</v>
      </c>
      <c r="BN32" s="60">
        <v>0.24851968051041301</v>
      </c>
      <c r="BO32" s="60">
        <v>0.23712417369014199</v>
      </c>
      <c r="BP32" s="60">
        <v>0.207412702037158</v>
      </c>
      <c r="BQ32" s="60">
        <v>0.25497694136897697</v>
      </c>
      <c r="BR32" s="60">
        <v>0.44569665538219599</v>
      </c>
      <c r="BS32" s="60"/>
      <c r="BT32" s="60"/>
      <c r="BU32" s="60">
        <v>0.36538991001037402</v>
      </c>
      <c r="BV32" s="60">
        <v>0.234120799987797</v>
      </c>
      <c r="BW32" s="60">
        <v>0.25150828472110298</v>
      </c>
      <c r="BX32" s="60"/>
      <c r="BY32" s="60"/>
      <c r="BZ32" s="60"/>
      <c r="CA32" s="60"/>
      <c r="CB32" s="60"/>
      <c r="CC32" s="60"/>
      <c r="CD32" s="60">
        <v>0.176823700968852</v>
      </c>
      <c r="CE32" s="60">
        <v>0.25026890798462498</v>
      </c>
      <c r="CF32" s="60">
        <v>0.32226462318458798</v>
      </c>
      <c r="CG32" s="60"/>
      <c r="CH32" s="60"/>
      <c r="CI32" s="60"/>
      <c r="CJ32" s="60"/>
      <c r="CK32" s="60"/>
      <c r="CL32" s="60"/>
      <c r="CM32" s="60"/>
      <c r="CN32" s="60"/>
      <c r="CO32" s="60">
        <v>0.74313262563030702</v>
      </c>
      <c r="CP32" s="62">
        <v>112100</v>
      </c>
      <c r="CQ32" s="63">
        <v>1.51926024406979E-2</v>
      </c>
      <c r="CR32" s="63">
        <v>-0.14544092221573601</v>
      </c>
      <c r="CS32" s="63">
        <v>-0.13126911002257699</v>
      </c>
      <c r="CT32" s="63">
        <v>-0.208572481692054</v>
      </c>
      <c r="CU32" s="163"/>
      <c r="CV32" s="163"/>
      <c r="CW32" s="163"/>
      <c r="CX32" s="158">
        <v>0.11459999999999999</v>
      </c>
    </row>
    <row r="33" spans="1:102" hidden="1" x14ac:dyDescent="0.2">
      <c r="A33" s="59" t="s">
        <v>110</v>
      </c>
      <c r="B33" s="59" t="s">
        <v>39</v>
      </c>
      <c r="C33" s="60">
        <v>0.574751074382577</v>
      </c>
      <c r="D33" s="61">
        <v>86700</v>
      </c>
      <c r="E33" s="60">
        <v>0.57018886840195904</v>
      </c>
      <c r="F33" s="60">
        <v>0.58265555910316502</v>
      </c>
      <c r="G33" s="60">
        <v>0.60186243569413</v>
      </c>
      <c r="H33" s="60">
        <v>0.64336005190184298</v>
      </c>
      <c r="I33" s="60">
        <v>0.57993642171012705</v>
      </c>
      <c r="J33" s="60"/>
      <c r="K33" s="60">
        <v>0.624935042917656</v>
      </c>
      <c r="L33" s="60">
        <v>0.50007518716536603</v>
      </c>
      <c r="M33" s="60">
        <v>0.42244434250469198</v>
      </c>
      <c r="N33" s="60">
        <v>0.60974519112452796</v>
      </c>
      <c r="O33" s="60">
        <v>0.57622934608568399</v>
      </c>
      <c r="P33" s="60">
        <v>0.63081656639850203</v>
      </c>
      <c r="Q33" s="60"/>
      <c r="R33" s="60"/>
      <c r="S33" s="60"/>
      <c r="T33" s="60"/>
      <c r="U33" s="60"/>
      <c r="V33" s="60">
        <v>0.68894908615783801</v>
      </c>
      <c r="W33" s="60">
        <v>0.58558585208361702</v>
      </c>
      <c r="X33" s="60">
        <v>0.48264017744214899</v>
      </c>
      <c r="Y33" s="60">
        <v>0.61128455337334997</v>
      </c>
      <c r="Z33" s="60"/>
      <c r="AA33" s="60"/>
      <c r="AB33" s="60"/>
      <c r="AC33" s="60"/>
      <c r="AD33" s="60"/>
      <c r="AE33" s="60"/>
      <c r="AF33" s="60"/>
      <c r="AG33" s="60">
        <v>0.14899465205637999</v>
      </c>
      <c r="AH33" s="61">
        <v>22500</v>
      </c>
      <c r="AI33" s="60">
        <v>0.148753109949747</v>
      </c>
      <c r="AJ33" s="60">
        <v>0.147767682289557</v>
      </c>
      <c r="AK33" s="60"/>
      <c r="AL33" s="60">
        <v>0.16181400079144201</v>
      </c>
      <c r="AM33" s="60">
        <v>0.14448493586192099</v>
      </c>
      <c r="AN33" s="60"/>
      <c r="AO33" s="60">
        <v>0.14655485029568399</v>
      </c>
      <c r="AP33" s="60">
        <v>0.156095153702099</v>
      </c>
      <c r="AQ33" s="60">
        <v>0.181273773481304</v>
      </c>
      <c r="AR33" s="60">
        <v>0.14437312120561799</v>
      </c>
      <c r="AS33" s="60">
        <v>0.15338146850718601</v>
      </c>
      <c r="AT33" s="60"/>
      <c r="AU33" s="60"/>
      <c r="AV33" s="60"/>
      <c r="AW33" s="60"/>
      <c r="AX33" s="60"/>
      <c r="AY33" s="60"/>
      <c r="AZ33" s="60">
        <v>0.142919242972777</v>
      </c>
      <c r="BA33" s="60"/>
      <c r="BB33" s="60"/>
      <c r="BC33" s="60"/>
      <c r="BD33" s="60"/>
      <c r="BE33" s="60"/>
      <c r="BF33" s="60"/>
      <c r="BG33" s="60"/>
      <c r="BH33" s="60"/>
      <c r="BI33" s="60"/>
      <c r="BJ33" s="60"/>
      <c r="BK33" s="60">
        <v>0.27625427356104199</v>
      </c>
      <c r="BL33" s="61">
        <v>41700</v>
      </c>
      <c r="BM33" s="60">
        <v>0.28105802164829502</v>
      </c>
      <c r="BN33" s="60">
        <v>0.26957675860727798</v>
      </c>
      <c r="BO33" s="60">
        <v>0.270690893889799</v>
      </c>
      <c r="BP33" s="60">
        <v>0.19482594730671399</v>
      </c>
      <c r="BQ33" s="60">
        <v>0.27557864242795199</v>
      </c>
      <c r="BR33" s="60">
        <v>0.54339582355266203</v>
      </c>
      <c r="BS33" s="60">
        <v>0.22851010678666001</v>
      </c>
      <c r="BT33" s="60">
        <v>0.34382965913253399</v>
      </c>
      <c r="BU33" s="60">
        <v>0.39628188401400499</v>
      </c>
      <c r="BV33" s="60">
        <v>0.24588168766985399</v>
      </c>
      <c r="BW33" s="60">
        <v>0.27038918540712897</v>
      </c>
      <c r="BX33" s="60"/>
      <c r="BY33" s="60"/>
      <c r="BZ33" s="60"/>
      <c r="CA33" s="60"/>
      <c r="CB33" s="60"/>
      <c r="CC33" s="60"/>
      <c r="CD33" s="60">
        <v>0.16813167086938499</v>
      </c>
      <c r="CE33" s="60">
        <v>0.27791957504699499</v>
      </c>
      <c r="CF33" s="60">
        <v>0.358315000567966</v>
      </c>
      <c r="CG33" s="60"/>
      <c r="CH33" s="60"/>
      <c r="CI33" s="60"/>
      <c r="CJ33" s="60"/>
      <c r="CK33" s="60"/>
      <c r="CL33" s="60"/>
      <c r="CM33" s="60"/>
      <c r="CN33" s="60"/>
      <c r="CO33" s="60">
        <v>0.72374572643895796</v>
      </c>
      <c r="CP33" s="62">
        <v>109200</v>
      </c>
      <c r="CQ33" s="63">
        <v>1.14812630410171E-2</v>
      </c>
      <c r="CR33" s="63">
        <v>-0.19018332969858101</v>
      </c>
      <c r="CS33" s="63">
        <v>-0.150400196344151</v>
      </c>
      <c r="CT33" s="63">
        <v>-0.27270492966286303</v>
      </c>
      <c r="CU33" s="163">
        <v>0.41790005281180298</v>
      </c>
      <c r="CV33" s="163">
        <v>0.32392036142658298</v>
      </c>
      <c r="CW33" s="163">
        <v>0.60729149503235902</v>
      </c>
      <c r="CX33" s="158">
        <v>9.9299999999999999E-2</v>
      </c>
    </row>
    <row r="34" spans="1:102" hidden="1" x14ac:dyDescent="0.2">
      <c r="A34" s="59" t="s">
        <v>110</v>
      </c>
      <c r="B34" s="59" t="s">
        <v>40</v>
      </c>
      <c r="C34" s="60">
        <v>0.6028</v>
      </c>
      <c r="D34" s="61">
        <v>91200</v>
      </c>
      <c r="E34" s="60">
        <v>0.64300000000000002</v>
      </c>
      <c r="F34" s="60">
        <v>0.56440000000000001</v>
      </c>
      <c r="G34" s="60">
        <v>0.67420000000000002</v>
      </c>
      <c r="H34" s="60">
        <v>0.62629999999999997</v>
      </c>
      <c r="I34" s="60">
        <v>0.59440000000000004</v>
      </c>
      <c r="J34" s="60">
        <v>0.36959999999999998</v>
      </c>
      <c r="K34" s="60">
        <v>0.64880000000000004</v>
      </c>
      <c r="L34" s="60">
        <v>0.53949999999999998</v>
      </c>
      <c r="M34" s="60">
        <v>0.41610000000000003</v>
      </c>
      <c r="N34" s="60">
        <v>0.64959999999999996</v>
      </c>
      <c r="O34" s="60">
        <v>0.61309999999999998</v>
      </c>
      <c r="P34" s="60">
        <v>0.62209999999999999</v>
      </c>
      <c r="Q34" s="60"/>
      <c r="R34" s="60"/>
      <c r="S34" s="60"/>
      <c r="T34" s="60"/>
      <c r="U34" s="60"/>
      <c r="V34" s="60">
        <v>0.6865</v>
      </c>
      <c r="W34" s="60">
        <v>0.57520000000000004</v>
      </c>
      <c r="X34" s="60">
        <v>0.54069999999999996</v>
      </c>
      <c r="Y34" s="60">
        <v>0.67879999999999996</v>
      </c>
      <c r="Z34" s="60">
        <v>0.628</v>
      </c>
      <c r="AA34" s="60"/>
      <c r="AB34" s="60">
        <v>0.53669999999999995</v>
      </c>
      <c r="AC34" s="60"/>
      <c r="AD34" s="60"/>
      <c r="AE34" s="60"/>
      <c r="AF34" s="60"/>
      <c r="AG34" s="60">
        <v>0.1447</v>
      </c>
      <c r="AH34" s="61">
        <v>21900</v>
      </c>
      <c r="AI34" s="60">
        <v>0.1331</v>
      </c>
      <c r="AJ34" s="60">
        <v>0.15720000000000001</v>
      </c>
      <c r="AK34" s="60"/>
      <c r="AL34" s="60">
        <v>0.18820000000000001</v>
      </c>
      <c r="AM34" s="60">
        <v>0.1249</v>
      </c>
      <c r="AN34" s="60"/>
      <c r="AO34" s="60">
        <v>0.15959999999999999</v>
      </c>
      <c r="AP34" s="60">
        <v>0.1244</v>
      </c>
      <c r="AQ34" s="60"/>
      <c r="AR34" s="60">
        <v>0.1386</v>
      </c>
      <c r="AS34" s="60">
        <v>0.14990000000000001</v>
      </c>
      <c r="AT34" s="60"/>
      <c r="AU34" s="60"/>
      <c r="AV34" s="60"/>
      <c r="AW34" s="60"/>
      <c r="AX34" s="60"/>
      <c r="AY34" s="60"/>
      <c r="AZ34" s="60">
        <v>0.14349999999999999</v>
      </c>
      <c r="BA34" s="60"/>
      <c r="BB34" s="60"/>
      <c r="BC34" s="60"/>
      <c r="BD34" s="60">
        <v>0.1472</v>
      </c>
      <c r="BE34" s="60"/>
      <c r="BF34" s="60">
        <v>0.12039999999999999</v>
      </c>
      <c r="BG34" s="60"/>
      <c r="BH34" s="60"/>
      <c r="BI34" s="60"/>
      <c r="BJ34" s="60"/>
      <c r="BK34" s="60">
        <v>0.2525</v>
      </c>
      <c r="BL34" s="61">
        <v>38200</v>
      </c>
      <c r="BM34" s="60">
        <v>0.2238</v>
      </c>
      <c r="BN34" s="60">
        <v>0.27829999999999999</v>
      </c>
      <c r="BO34" s="60">
        <v>0.1986</v>
      </c>
      <c r="BP34" s="60">
        <v>0.1855</v>
      </c>
      <c r="BQ34" s="60">
        <v>0.28079999999999999</v>
      </c>
      <c r="BR34" s="60">
        <v>0.50729999999999997</v>
      </c>
      <c r="BS34" s="60">
        <v>0.19170000000000001</v>
      </c>
      <c r="BT34" s="60">
        <v>0.33600000000000002</v>
      </c>
      <c r="BU34" s="60">
        <v>0.4138</v>
      </c>
      <c r="BV34" s="60">
        <v>0.21179999999999999</v>
      </c>
      <c r="BW34" s="60">
        <v>0.23699999999999999</v>
      </c>
      <c r="BX34" s="60"/>
      <c r="BY34" s="60"/>
      <c r="BZ34" s="60"/>
      <c r="CA34" s="60"/>
      <c r="CB34" s="60"/>
      <c r="CC34" s="60"/>
      <c r="CD34" s="60">
        <v>0.1699</v>
      </c>
      <c r="CE34" s="60">
        <v>0.29199999999999998</v>
      </c>
      <c r="CF34" s="60">
        <v>0.30990000000000001</v>
      </c>
      <c r="CG34" s="60"/>
      <c r="CH34" s="60">
        <v>0.2248</v>
      </c>
      <c r="CI34" s="60"/>
      <c r="CJ34" s="60">
        <v>0.34289999999999998</v>
      </c>
      <c r="CK34" s="60"/>
      <c r="CL34" s="60"/>
      <c r="CM34" s="60"/>
      <c r="CN34" s="60"/>
      <c r="CO34" s="60">
        <v>0.74750000000000005</v>
      </c>
      <c r="CP34" s="62">
        <v>113100</v>
      </c>
      <c r="CQ34" s="63">
        <v>-5.45E-2</v>
      </c>
      <c r="CR34" s="63">
        <v>-0.14000000000000001</v>
      </c>
      <c r="CS34" s="63">
        <v>-0.20200000000000001</v>
      </c>
      <c r="CT34" s="63">
        <v>-0.30869999999999997</v>
      </c>
      <c r="CU34" s="163">
        <v>0.4274</v>
      </c>
      <c r="CV34" s="163">
        <v>0.33129999999999998</v>
      </c>
      <c r="CW34" s="163">
        <v>0.61160000000000003</v>
      </c>
      <c r="CX34" s="158">
        <v>0.12180000000000001</v>
      </c>
    </row>
    <row r="35" spans="1:102" hidden="1" x14ac:dyDescent="0.2">
      <c r="A35" s="59" t="s">
        <v>110</v>
      </c>
      <c r="B35" s="59" t="s">
        <v>41</v>
      </c>
      <c r="C35" s="60">
        <v>0.63984694977738599</v>
      </c>
      <c r="D35" s="61">
        <v>96800</v>
      </c>
      <c r="E35" s="60">
        <v>0.65328324312040098</v>
      </c>
      <c r="F35" s="60">
        <v>0.63087304232437003</v>
      </c>
      <c r="G35" s="60">
        <v>0.76894931485364404</v>
      </c>
      <c r="H35" s="60">
        <v>0.636632130284152</v>
      </c>
      <c r="I35" s="60">
        <v>0.58429092881065203</v>
      </c>
      <c r="J35" s="60">
        <v>0.483593346006089</v>
      </c>
      <c r="K35" s="60">
        <v>0.69016596637264405</v>
      </c>
      <c r="L35" s="60">
        <v>0.55812426710033802</v>
      </c>
      <c r="M35" s="60">
        <v>0.43638690499884503</v>
      </c>
      <c r="N35" s="60">
        <v>0.69546578815872995</v>
      </c>
      <c r="O35" s="60">
        <v>0.65298845914120895</v>
      </c>
      <c r="P35" s="60"/>
      <c r="Q35" s="60"/>
      <c r="R35" s="60"/>
      <c r="S35" s="60"/>
      <c r="T35" s="60"/>
      <c r="U35" s="60"/>
      <c r="V35" s="60">
        <v>0.69376536341343897</v>
      </c>
      <c r="W35" s="60">
        <v>0.61283969221479795</v>
      </c>
      <c r="X35" s="60">
        <v>0.55799927331475396</v>
      </c>
      <c r="Y35" s="60">
        <v>0.775426863455565</v>
      </c>
      <c r="Z35" s="60">
        <v>0.66323564798911105</v>
      </c>
      <c r="AA35" s="60"/>
      <c r="AB35" s="60">
        <v>0.53484073475525196</v>
      </c>
      <c r="AC35" s="60"/>
      <c r="AD35" s="60"/>
      <c r="AE35" s="60"/>
      <c r="AF35" s="60"/>
      <c r="AG35" s="60">
        <v>0.13254142405837799</v>
      </c>
      <c r="AH35" s="61">
        <v>20100</v>
      </c>
      <c r="AI35" s="60">
        <v>0.13511443551218399</v>
      </c>
      <c r="AJ35" s="60">
        <v>0.13129340895928099</v>
      </c>
      <c r="AK35" s="60">
        <v>8.6991249827038805E-2</v>
      </c>
      <c r="AL35" s="60">
        <v>0.160986069134326</v>
      </c>
      <c r="AM35" s="60">
        <v>0.156190859046488</v>
      </c>
      <c r="AN35" s="60">
        <v>8.1821890131888397E-2</v>
      </c>
      <c r="AO35" s="60">
        <v>0.13104871412573599</v>
      </c>
      <c r="AP35" s="60">
        <v>0.13686579088561701</v>
      </c>
      <c r="AQ35" s="60">
        <v>0.18088784102816599</v>
      </c>
      <c r="AR35" s="60">
        <v>0.11819417134537299</v>
      </c>
      <c r="AS35" s="60">
        <v>0.132704302927628</v>
      </c>
      <c r="AT35" s="60"/>
      <c r="AU35" s="60"/>
      <c r="AV35" s="60"/>
      <c r="AW35" s="60"/>
      <c r="AX35" s="60"/>
      <c r="AY35" s="60"/>
      <c r="AZ35" s="60">
        <v>0.13544486329483801</v>
      </c>
      <c r="BA35" s="60"/>
      <c r="BB35" s="60"/>
      <c r="BC35" s="60"/>
      <c r="BD35" s="60">
        <v>0.15477014235770101</v>
      </c>
      <c r="BE35" s="60"/>
      <c r="BF35" s="60">
        <v>0.122764994080179</v>
      </c>
      <c r="BG35" s="60"/>
      <c r="BH35" s="60"/>
      <c r="BI35" s="60"/>
      <c r="BJ35" s="60"/>
      <c r="BK35" s="60">
        <v>0.227611626164236</v>
      </c>
      <c r="BL35" s="61">
        <v>34400</v>
      </c>
      <c r="BM35" s="60">
        <v>0.211602321367415</v>
      </c>
      <c r="BN35" s="60">
        <v>0.23783354871634699</v>
      </c>
      <c r="BO35" s="60">
        <v>0.144059435319318</v>
      </c>
      <c r="BP35" s="60">
        <v>0.202381800581522</v>
      </c>
      <c r="BQ35" s="60">
        <v>0.25951821214286103</v>
      </c>
      <c r="BR35" s="60">
        <v>0.43458476386202299</v>
      </c>
      <c r="BS35" s="60">
        <v>0.17878531950161899</v>
      </c>
      <c r="BT35" s="60">
        <v>0.30500994201404602</v>
      </c>
      <c r="BU35" s="60">
        <v>0.38272525397299001</v>
      </c>
      <c r="BV35" s="60">
        <v>0.186340040495897</v>
      </c>
      <c r="BW35" s="60">
        <v>0.21430723793116399</v>
      </c>
      <c r="BX35" s="60"/>
      <c r="BY35" s="60"/>
      <c r="BZ35" s="60"/>
      <c r="CA35" s="60"/>
      <c r="CB35" s="60"/>
      <c r="CC35" s="60"/>
      <c r="CD35" s="60">
        <v>0.17078977329172401</v>
      </c>
      <c r="CE35" s="60">
        <v>0.225675324624209</v>
      </c>
      <c r="CF35" s="60">
        <v>0.32270356735607902</v>
      </c>
      <c r="CG35" s="60"/>
      <c r="CH35" s="60">
        <v>0.181994209653186</v>
      </c>
      <c r="CI35" s="60"/>
      <c r="CJ35" s="60">
        <v>0.34239427116457</v>
      </c>
      <c r="CK35" s="60"/>
      <c r="CL35" s="60"/>
      <c r="CM35" s="60"/>
      <c r="CN35" s="60"/>
      <c r="CO35" s="60">
        <v>0.77238837383576397</v>
      </c>
      <c r="CP35" s="62">
        <v>116900</v>
      </c>
      <c r="CQ35" s="63">
        <v>-2.62312273489324E-2</v>
      </c>
      <c r="CR35" s="63">
        <v>-0.15191379406435501</v>
      </c>
      <c r="CS35" s="63">
        <v>-0.19638521347709301</v>
      </c>
      <c r="CT35" s="63">
        <v>-0.29052532854270502</v>
      </c>
      <c r="CU35" s="163">
        <v>0.459286326452852</v>
      </c>
      <c r="CV35" s="163">
        <v>0.35401313694655001</v>
      </c>
      <c r="CW35" s="163">
        <v>0.64091827681792901</v>
      </c>
      <c r="CX35" s="158">
        <v>0.12230000000000001</v>
      </c>
    </row>
    <row r="36" spans="1:102" hidden="1" x14ac:dyDescent="0.2">
      <c r="A36" s="59" t="s">
        <v>110</v>
      </c>
      <c r="B36" s="59" t="s">
        <v>155</v>
      </c>
      <c r="C36" s="60">
        <v>0.6048</v>
      </c>
      <c r="D36" s="61">
        <v>92000</v>
      </c>
      <c r="E36" s="60">
        <v>0.61075726900309402</v>
      </c>
      <c r="F36" s="60">
        <v>0.60841208798674196</v>
      </c>
      <c r="G36" s="60">
        <v>0.686970692448864</v>
      </c>
      <c r="H36" s="60">
        <v>0.60604612630657995</v>
      </c>
      <c r="I36" s="60">
        <v>0.59355279559025897</v>
      </c>
      <c r="J36" s="60">
        <v>0.43076257656334199</v>
      </c>
      <c r="K36" s="60">
        <v>0.63732317210272904</v>
      </c>
      <c r="L36" s="60">
        <v>0.54768145891770603</v>
      </c>
      <c r="M36" s="60">
        <v>0.47003636832275297</v>
      </c>
      <c r="N36" s="60">
        <v>0.63450895519401296</v>
      </c>
      <c r="O36" s="60">
        <v>0.62048665682154702</v>
      </c>
      <c r="P36" s="60"/>
      <c r="Q36" s="60"/>
      <c r="R36" s="60"/>
      <c r="S36" s="60"/>
      <c r="T36" s="60"/>
      <c r="U36" s="60"/>
      <c r="V36" s="60">
        <v>0.68693307594768205</v>
      </c>
      <c r="W36" s="60">
        <v>0.61371020198105797</v>
      </c>
      <c r="X36" s="60">
        <v>0.49166450013402702</v>
      </c>
      <c r="Y36" s="60">
        <v>0.65806836097049703</v>
      </c>
      <c r="Z36" s="60">
        <v>0.668512145487001</v>
      </c>
      <c r="AA36" s="60"/>
      <c r="AB36" s="60">
        <v>0.53036646210989702</v>
      </c>
      <c r="AC36" s="60"/>
      <c r="AD36" s="60"/>
      <c r="AE36" s="60"/>
      <c r="AF36" s="60"/>
      <c r="AG36" s="60">
        <v>0.1012</v>
      </c>
      <c r="AH36" s="61">
        <v>15400</v>
      </c>
      <c r="AI36" s="60">
        <v>9.7461279216198696E-2</v>
      </c>
      <c r="AJ36" s="60">
        <v>0.106045733302052</v>
      </c>
      <c r="AK36" s="60"/>
      <c r="AL36" s="60">
        <v>0.12260644964176901</v>
      </c>
      <c r="AM36" s="60">
        <v>0.128159152867895</v>
      </c>
      <c r="AN36" s="60"/>
      <c r="AO36" s="60">
        <v>9.2788678905274105E-2</v>
      </c>
      <c r="AP36" s="60">
        <v>0.11765648880898701</v>
      </c>
      <c r="AQ36" s="60"/>
      <c r="AR36" s="60">
        <v>9.5003389321329207E-2</v>
      </c>
      <c r="AS36" s="60">
        <v>9.8050063428069906E-2</v>
      </c>
      <c r="AT36" s="60"/>
      <c r="AU36" s="60"/>
      <c r="AV36" s="60"/>
      <c r="AW36" s="60"/>
      <c r="AX36" s="60"/>
      <c r="AY36" s="60"/>
      <c r="AZ36" s="60">
        <v>0.118949589224705</v>
      </c>
      <c r="BA36" s="60"/>
      <c r="BB36" s="60"/>
      <c r="BC36" s="60"/>
      <c r="BD36" s="60">
        <v>0.106513111127091</v>
      </c>
      <c r="BE36" s="60"/>
      <c r="BF36" s="60">
        <v>0.12159169675755099</v>
      </c>
      <c r="BG36" s="60"/>
      <c r="BH36" s="60"/>
      <c r="BI36" s="60"/>
      <c r="BJ36" s="60"/>
      <c r="BK36" s="60">
        <v>0.29399999999999998</v>
      </c>
      <c r="BL36" s="61">
        <v>44700</v>
      </c>
      <c r="BM36" s="60">
        <v>0.29178145178070802</v>
      </c>
      <c r="BN36" s="60">
        <v>0.28554217871120402</v>
      </c>
      <c r="BO36" s="60">
        <v>0.26757177331230497</v>
      </c>
      <c r="BP36" s="60">
        <v>0.27134742405165202</v>
      </c>
      <c r="BQ36" s="60">
        <v>0.27828805154184499</v>
      </c>
      <c r="BR36" s="60">
        <v>0.47835058715112999</v>
      </c>
      <c r="BS36" s="60">
        <v>0.26988814899199698</v>
      </c>
      <c r="BT36" s="60">
        <v>0.33466205227330698</v>
      </c>
      <c r="BU36" s="60">
        <v>0.41415885858090401</v>
      </c>
      <c r="BV36" s="60">
        <v>0.27048765548465797</v>
      </c>
      <c r="BW36" s="60">
        <v>0.28146327975038299</v>
      </c>
      <c r="BX36" s="60"/>
      <c r="BY36" s="60"/>
      <c r="BZ36" s="60"/>
      <c r="CA36" s="60"/>
      <c r="CB36" s="60"/>
      <c r="CC36" s="60"/>
      <c r="CD36" s="60">
        <v>0.19411733482761301</v>
      </c>
      <c r="CE36" s="60">
        <v>0.29115678480316798</v>
      </c>
      <c r="CF36" s="60">
        <v>0.44490051890128601</v>
      </c>
      <c r="CG36" s="60"/>
      <c r="CH36" s="60">
        <v>0.22497474338590701</v>
      </c>
      <c r="CI36" s="60"/>
      <c r="CJ36" s="60">
        <v>0.34804184113255299</v>
      </c>
      <c r="CK36" s="60"/>
      <c r="CL36" s="60"/>
      <c r="CM36" s="60"/>
      <c r="CN36" s="60"/>
      <c r="CO36" s="60">
        <v>0.70599999999999996</v>
      </c>
      <c r="CP36" s="62">
        <v>107400</v>
      </c>
      <c r="CQ36" s="63">
        <v>6.2392730695038402E-3</v>
      </c>
      <c r="CR36" s="63">
        <v>-0.250783184073673</v>
      </c>
      <c r="CS36" s="63">
        <v>-0.14367120309624701</v>
      </c>
      <c r="CT36" s="63">
        <v>-0.21077881383882499</v>
      </c>
      <c r="CU36" s="163">
        <v>0.46091876648201402</v>
      </c>
      <c r="CV36" s="163">
        <v>0.28928706873154603</v>
      </c>
      <c r="CW36" s="163">
        <v>0.58071101389383695</v>
      </c>
      <c r="CX36" s="158"/>
    </row>
    <row r="37" spans="1:102" hidden="1" x14ac:dyDescent="0.2">
      <c r="A37" s="59" t="s">
        <v>110</v>
      </c>
      <c r="B37" s="59" t="s">
        <v>42</v>
      </c>
      <c r="C37" s="60">
        <v>-1.7500000000000002E-2</v>
      </c>
      <c r="D37" s="61"/>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v>-1.2999999999999999E-2</v>
      </c>
      <c r="AH37" s="61"/>
      <c r="AI37" s="60">
        <v>1.4747703151425999E-2</v>
      </c>
      <c r="AJ37" s="60">
        <v>-4.0033085658152598E-2</v>
      </c>
      <c r="AK37" s="60">
        <v>0</v>
      </c>
      <c r="AL37" s="60">
        <v>3.8023437434615302E-2</v>
      </c>
      <c r="AM37" s="60">
        <v>-3.4107782686246403E-2</v>
      </c>
      <c r="AN37" s="60">
        <v>0</v>
      </c>
      <c r="AO37" s="60">
        <v>9.2788678905274105E-2</v>
      </c>
      <c r="AP37" s="60">
        <v>0.11765648880898701</v>
      </c>
      <c r="AQ37" s="60">
        <v>-0.122700346695217</v>
      </c>
      <c r="AR37" s="60">
        <v>-1.7603087117979799E-2</v>
      </c>
      <c r="AS37" s="60">
        <v>-8.9186175919995208E-3</v>
      </c>
      <c r="AT37" s="60">
        <v>0</v>
      </c>
      <c r="AU37" s="60">
        <v>0</v>
      </c>
      <c r="AV37" s="60">
        <v>0</v>
      </c>
      <c r="AW37" s="60">
        <v>0</v>
      </c>
      <c r="AX37" s="60">
        <v>0</v>
      </c>
      <c r="AY37" s="60">
        <v>0</v>
      </c>
      <c r="AZ37" s="60">
        <v>1.6637327963549501E-2</v>
      </c>
      <c r="BA37" s="60">
        <v>-0.134284095682494</v>
      </c>
      <c r="BB37" s="60">
        <v>0</v>
      </c>
      <c r="BC37" s="60">
        <v>0</v>
      </c>
      <c r="BD37" s="60">
        <v>0.106513111127091</v>
      </c>
      <c r="BE37" s="60">
        <v>0</v>
      </c>
      <c r="BF37" s="60">
        <v>0.12159169675755099</v>
      </c>
      <c r="BG37" s="60">
        <v>0</v>
      </c>
      <c r="BH37" s="60">
        <v>0</v>
      </c>
      <c r="BI37" s="60">
        <v>0</v>
      </c>
      <c r="BJ37" s="60">
        <v>0</v>
      </c>
      <c r="BK37" s="60">
        <v>3.0499999999999999E-2</v>
      </c>
      <c r="BL37" s="61"/>
      <c r="BM37" s="60">
        <v>1.28009150256626E-2</v>
      </c>
      <c r="BN37" s="60">
        <v>3.7673798336587599E-2</v>
      </c>
      <c r="BO37" s="60">
        <v>8.7647775751619195E-2</v>
      </c>
      <c r="BP37" s="60">
        <v>1.5910922018428801E-2</v>
      </c>
      <c r="BQ37" s="60">
        <v>-7.25915725493048E-3</v>
      </c>
      <c r="BR37" s="60">
        <v>2.06320168724866E-2</v>
      </c>
      <c r="BS37" s="60">
        <v>0.26988814899199698</v>
      </c>
      <c r="BT37" s="60">
        <v>0.33466205227330698</v>
      </c>
      <c r="BU37" s="60">
        <v>6.8055128085177099E-3</v>
      </c>
      <c r="BV37" s="60">
        <v>4.4683116001974402E-2</v>
      </c>
      <c r="BW37" s="60">
        <v>1.24903382252473E-2</v>
      </c>
      <c r="BX37" s="60">
        <v>0</v>
      </c>
      <c r="BY37" s="60">
        <v>0</v>
      </c>
      <c r="BZ37" s="60">
        <v>0</v>
      </c>
      <c r="CA37" s="60">
        <v>0</v>
      </c>
      <c r="CB37" s="60">
        <v>0</v>
      </c>
      <c r="CC37" s="60">
        <v>0</v>
      </c>
      <c r="CD37" s="60">
        <v>-1.2615296375763E-2</v>
      </c>
      <c r="CE37" s="60">
        <v>-1.6428710364027401E-2</v>
      </c>
      <c r="CF37" s="60">
        <v>0.18647254125485899</v>
      </c>
      <c r="CG37" s="60">
        <v>0</v>
      </c>
      <c r="CH37" s="60">
        <v>0.22497474338590701</v>
      </c>
      <c r="CI37" s="60">
        <v>0</v>
      </c>
      <c r="CJ37" s="60">
        <v>0.34804184113255299</v>
      </c>
      <c r="CK37" s="60">
        <v>0</v>
      </c>
      <c r="CL37" s="60">
        <v>0</v>
      </c>
      <c r="CM37" s="60">
        <v>0</v>
      </c>
      <c r="CN37" s="60">
        <v>0</v>
      </c>
      <c r="CO37" s="60">
        <v>-3.0499999999999999E-2</v>
      </c>
      <c r="CP37" s="62">
        <v>-2900</v>
      </c>
      <c r="CQ37" s="63">
        <v>-2.4872883310924999E-2</v>
      </c>
      <c r="CR37" s="63">
        <v>-0.19908783763062199</v>
      </c>
      <c r="CS37" s="63">
        <v>3.7877603193456698E-2</v>
      </c>
      <c r="CT37" s="63">
        <v>6.7015758879132595E-2</v>
      </c>
      <c r="CU37" s="163">
        <v>4.3018713670210998E-2</v>
      </c>
      <c r="CV37" s="163">
        <v>-3.4633292695036497E-2</v>
      </c>
      <c r="CW37" s="163">
        <v>-2.6580481138521801E-2</v>
      </c>
      <c r="CX37" s="158"/>
    </row>
    <row r="38" spans="1:102" hidden="1" x14ac:dyDescent="0.2">
      <c r="A38" s="59" t="s">
        <v>111</v>
      </c>
      <c r="B38" s="59" t="s">
        <v>35</v>
      </c>
      <c r="C38" s="60">
        <v>0.60560000000000003</v>
      </c>
      <c r="D38" s="61">
        <v>256500</v>
      </c>
      <c r="E38" s="60">
        <v>0.61765397084170803</v>
      </c>
      <c r="F38" s="60">
        <v>0.59396339579636404</v>
      </c>
      <c r="G38" s="60">
        <v>0.69773414210828599</v>
      </c>
      <c r="H38" s="60">
        <v>0.56688726764092001</v>
      </c>
      <c r="I38" s="60">
        <v>0.49486120604425499</v>
      </c>
      <c r="J38" s="60"/>
      <c r="K38" s="60"/>
      <c r="L38" s="60"/>
      <c r="M38" s="60">
        <v>0.469540995865522</v>
      </c>
      <c r="N38" s="60">
        <v>0.65701581324583103</v>
      </c>
      <c r="O38" s="60">
        <v>0.63731787725529798</v>
      </c>
      <c r="P38" s="60">
        <v>0.62669260727331999</v>
      </c>
      <c r="Q38" s="60">
        <v>0.58103278745632903</v>
      </c>
      <c r="R38" s="60">
        <v>0.49706926784865002</v>
      </c>
      <c r="S38" s="60"/>
      <c r="T38" s="60"/>
      <c r="U38" s="60"/>
      <c r="V38" s="60">
        <v>0.70481735838911097</v>
      </c>
      <c r="W38" s="60">
        <v>0.55602318728489897</v>
      </c>
      <c r="X38" s="60">
        <v>0.500331408752824</v>
      </c>
      <c r="Y38" s="60"/>
      <c r="Z38" s="60"/>
      <c r="AA38" s="60"/>
      <c r="AB38" s="60"/>
      <c r="AC38" s="60"/>
      <c r="AD38" s="60"/>
      <c r="AE38" s="60"/>
      <c r="AF38" s="60"/>
      <c r="AG38" s="60">
        <v>0.13109999999999999</v>
      </c>
      <c r="AH38" s="61">
        <v>55600</v>
      </c>
      <c r="AI38" s="60">
        <v>0.12398070322195399</v>
      </c>
      <c r="AJ38" s="60">
        <v>0.138689545153132</v>
      </c>
      <c r="AK38" s="60">
        <v>0.117740558133358</v>
      </c>
      <c r="AL38" s="60">
        <v>0.14149922312433</v>
      </c>
      <c r="AM38" s="60">
        <v>0.153164442748041</v>
      </c>
      <c r="AN38" s="60"/>
      <c r="AO38" s="60"/>
      <c r="AP38" s="60"/>
      <c r="AQ38" s="60">
        <v>9.0427272009908202E-2</v>
      </c>
      <c r="AR38" s="60">
        <v>0.139173599639238</v>
      </c>
      <c r="AS38" s="60">
        <v>0.12331928705314001</v>
      </c>
      <c r="AT38" s="60"/>
      <c r="AU38" s="60"/>
      <c r="AV38" s="60"/>
      <c r="AW38" s="60"/>
      <c r="AX38" s="60"/>
      <c r="AY38" s="60"/>
      <c r="AZ38" s="60">
        <v>0.13033772081440101</v>
      </c>
      <c r="BA38" s="60">
        <v>0.15137468976149401</v>
      </c>
      <c r="BB38" s="60">
        <v>0.110350043265718</v>
      </c>
      <c r="BC38" s="60"/>
      <c r="BD38" s="60"/>
      <c r="BE38" s="60"/>
      <c r="BF38" s="60"/>
      <c r="BG38" s="60"/>
      <c r="BH38" s="60"/>
      <c r="BI38" s="60"/>
      <c r="BJ38" s="60"/>
      <c r="BK38" s="60">
        <v>0.26329999999999998</v>
      </c>
      <c r="BL38" s="61">
        <v>111500</v>
      </c>
      <c r="BM38" s="60">
        <v>0.25836532593633799</v>
      </c>
      <c r="BN38" s="60">
        <v>0.26734705905050599</v>
      </c>
      <c r="BO38" s="60">
        <v>0.18452529975835799</v>
      </c>
      <c r="BP38" s="60">
        <v>0.29161350923475099</v>
      </c>
      <c r="BQ38" s="60">
        <v>0.35197435120770498</v>
      </c>
      <c r="BR38" s="60">
        <v>0.70688926908331695</v>
      </c>
      <c r="BS38" s="60"/>
      <c r="BT38" s="60"/>
      <c r="BU38" s="60">
        <v>0.44003173212456997</v>
      </c>
      <c r="BV38" s="60">
        <v>0.20381058711493</v>
      </c>
      <c r="BW38" s="60">
        <v>0.239362835691562</v>
      </c>
      <c r="BX38" s="60">
        <v>0.19614656396602201</v>
      </c>
      <c r="BY38" s="60">
        <v>0.26110592556131501</v>
      </c>
      <c r="BZ38" s="60">
        <v>0.357329957510577</v>
      </c>
      <c r="CA38" s="60"/>
      <c r="CB38" s="60"/>
      <c r="CC38" s="60"/>
      <c r="CD38" s="60">
        <v>0.16484492079648999</v>
      </c>
      <c r="CE38" s="60">
        <v>0.29260212295360599</v>
      </c>
      <c r="CF38" s="60">
        <v>0.38931854798145699</v>
      </c>
      <c r="CG38" s="60"/>
      <c r="CH38" s="60"/>
      <c r="CI38" s="60"/>
      <c r="CJ38" s="60"/>
      <c r="CK38" s="60"/>
      <c r="CL38" s="60"/>
      <c r="CM38" s="60"/>
      <c r="CN38" s="60"/>
      <c r="CO38" s="60">
        <v>0.73670000000000002</v>
      </c>
      <c r="CP38" s="62">
        <v>312100</v>
      </c>
      <c r="CQ38" s="63">
        <v>-8.9817331141680001E-3</v>
      </c>
      <c r="CR38" s="63">
        <v>-0.224473627184967</v>
      </c>
      <c r="CS38" s="63">
        <v>-0.23622114500964</v>
      </c>
      <c r="CT38" s="63">
        <v>-0.52236396932495899</v>
      </c>
      <c r="CU38" s="163"/>
      <c r="CV38" s="163"/>
      <c r="CW38" s="163"/>
      <c r="CX38" s="158"/>
    </row>
    <row r="39" spans="1:102" hidden="1" x14ac:dyDescent="0.2">
      <c r="A39" s="59" t="s">
        <v>111</v>
      </c>
      <c r="B39" s="59" t="s">
        <v>36</v>
      </c>
      <c r="C39" s="60">
        <v>0.61750000000000005</v>
      </c>
      <c r="D39" s="61">
        <v>267100</v>
      </c>
      <c r="E39" s="60">
        <v>0.59347883909773502</v>
      </c>
      <c r="F39" s="60">
        <v>0.61804589792458198</v>
      </c>
      <c r="G39" s="60">
        <v>0.69546221478691295</v>
      </c>
      <c r="H39" s="60">
        <v>0.57891846974129701</v>
      </c>
      <c r="I39" s="60">
        <v>0.45642083205462702</v>
      </c>
      <c r="J39" s="60"/>
      <c r="K39" s="60"/>
      <c r="L39" s="60"/>
      <c r="M39" s="60">
        <v>0.47986278372343799</v>
      </c>
      <c r="N39" s="60">
        <v>0.64290386066528205</v>
      </c>
      <c r="O39" s="60">
        <v>0.66785697693764701</v>
      </c>
      <c r="P39" s="60">
        <v>0.575875752015239</v>
      </c>
      <c r="Q39" s="60">
        <v>0.49544131817907899</v>
      </c>
      <c r="R39" s="60">
        <v>0.56849327589757603</v>
      </c>
      <c r="S39" s="60"/>
      <c r="T39" s="60">
        <v>0.775340094824434</v>
      </c>
      <c r="U39" s="60"/>
      <c r="V39" s="60">
        <v>0.70952337624931106</v>
      </c>
      <c r="W39" s="60">
        <v>0.55304505299239004</v>
      </c>
      <c r="X39" s="60">
        <v>0.47361610048292302</v>
      </c>
      <c r="Y39" s="60"/>
      <c r="Z39" s="60"/>
      <c r="AA39" s="60"/>
      <c r="AB39" s="60"/>
      <c r="AC39" s="60"/>
      <c r="AD39" s="60"/>
      <c r="AE39" s="60"/>
      <c r="AF39" s="60"/>
      <c r="AG39" s="60">
        <v>0.1094</v>
      </c>
      <c r="AH39" s="61">
        <v>47300</v>
      </c>
      <c r="AI39" s="60">
        <v>0.113355196759232</v>
      </c>
      <c r="AJ39" s="60">
        <v>0.131511111145274</v>
      </c>
      <c r="AK39" s="60">
        <v>0.115518711483829</v>
      </c>
      <c r="AL39" s="60">
        <v>0.12264518769152701</v>
      </c>
      <c r="AM39" s="60">
        <v>0.148348550043952</v>
      </c>
      <c r="AN39" s="60"/>
      <c r="AO39" s="60"/>
      <c r="AP39" s="60"/>
      <c r="AQ39" s="60">
        <v>0.110631404821251</v>
      </c>
      <c r="AR39" s="60">
        <v>0.123939750919908</v>
      </c>
      <c r="AS39" s="60">
        <v>9.7786900694609005E-2</v>
      </c>
      <c r="AT39" s="60">
        <v>0.203423375515734</v>
      </c>
      <c r="AU39" s="60">
        <v>0.17966636736969799</v>
      </c>
      <c r="AV39" s="60"/>
      <c r="AW39" s="60"/>
      <c r="AX39" s="60"/>
      <c r="AY39" s="60"/>
      <c r="AZ39" s="60">
        <v>0.12790182073874101</v>
      </c>
      <c r="BA39" s="60">
        <v>0.11762806677444999</v>
      </c>
      <c r="BB39" s="60">
        <v>0.11470198561365499</v>
      </c>
      <c r="BC39" s="60"/>
      <c r="BD39" s="60"/>
      <c r="BE39" s="60"/>
      <c r="BF39" s="60"/>
      <c r="BG39" s="60"/>
      <c r="BH39" s="60"/>
      <c r="BI39" s="60"/>
      <c r="BJ39" s="60"/>
      <c r="BK39" s="60">
        <v>0.27306368813979398</v>
      </c>
      <c r="BL39" s="61">
        <v>118200</v>
      </c>
      <c r="BM39" s="60">
        <v>0.29316596414303298</v>
      </c>
      <c r="BN39" s="60">
        <v>0.25044299093014499</v>
      </c>
      <c r="BO39" s="60">
        <v>0.189019073729258</v>
      </c>
      <c r="BP39" s="60">
        <v>0.29843634256717499</v>
      </c>
      <c r="BQ39" s="60">
        <v>0.395230617901421</v>
      </c>
      <c r="BR39" s="60">
        <v>0.699077978598176</v>
      </c>
      <c r="BS39" s="60"/>
      <c r="BT39" s="60"/>
      <c r="BU39" s="60">
        <v>0.40950581145531001</v>
      </c>
      <c r="BV39" s="60">
        <v>0.23315638841481001</v>
      </c>
      <c r="BW39" s="60">
        <v>0.234356122367743</v>
      </c>
      <c r="BX39" s="60">
        <v>0.220700872469027</v>
      </c>
      <c r="BY39" s="60">
        <v>0.32489231445122402</v>
      </c>
      <c r="BZ39" s="60">
        <v>0.33495797362872598</v>
      </c>
      <c r="CA39" s="60"/>
      <c r="CB39" s="60"/>
      <c r="CC39" s="60"/>
      <c r="CD39" s="60">
        <v>0.16257480301194799</v>
      </c>
      <c r="CE39" s="60">
        <v>0.32932688023315998</v>
      </c>
      <c r="CF39" s="60">
        <v>0.41168191390342201</v>
      </c>
      <c r="CG39" s="60"/>
      <c r="CH39" s="60"/>
      <c r="CI39" s="60"/>
      <c r="CJ39" s="60"/>
      <c r="CK39" s="60"/>
      <c r="CL39" s="60"/>
      <c r="CM39" s="60"/>
      <c r="CN39" s="60"/>
      <c r="CO39" s="60">
        <v>0.72689999999999999</v>
      </c>
      <c r="CP39" s="62">
        <v>314400</v>
      </c>
      <c r="CQ39" s="63">
        <v>4.2722973212888198E-2</v>
      </c>
      <c r="CR39" s="63">
        <v>-0.249107110891474</v>
      </c>
      <c r="CS39" s="63">
        <v>-0.1763494230405</v>
      </c>
      <c r="CT39" s="63">
        <v>-0.51005890486891703</v>
      </c>
      <c r="CU39" s="163"/>
      <c r="CV39" s="163"/>
      <c r="CW39" s="163"/>
      <c r="CX39" s="158">
        <v>0.12620000000000001</v>
      </c>
    </row>
    <row r="40" spans="1:102" hidden="1" x14ac:dyDescent="0.2">
      <c r="A40" s="59" t="s">
        <v>111</v>
      </c>
      <c r="B40" s="59" t="s">
        <v>37</v>
      </c>
      <c r="C40" s="60">
        <v>0.62180000000000002</v>
      </c>
      <c r="D40" s="61">
        <v>269000</v>
      </c>
      <c r="E40" s="60">
        <v>0.63577809674800301</v>
      </c>
      <c r="F40" s="60">
        <v>0.60618946290282205</v>
      </c>
      <c r="G40" s="60">
        <v>0.723775795282384</v>
      </c>
      <c r="H40" s="60">
        <v>0.58074701543475404</v>
      </c>
      <c r="I40" s="60">
        <v>0.47136256429328399</v>
      </c>
      <c r="J40" s="60">
        <v>0.21403140088123401</v>
      </c>
      <c r="K40" s="60"/>
      <c r="L40" s="60"/>
      <c r="M40" s="60">
        <v>0.47006267826133202</v>
      </c>
      <c r="N40" s="60">
        <v>0.66527371004301605</v>
      </c>
      <c r="O40" s="60">
        <v>0.67010065776558303</v>
      </c>
      <c r="P40" s="60">
        <v>0.65366209861691604</v>
      </c>
      <c r="Q40" s="60">
        <v>0.53795132035148496</v>
      </c>
      <c r="R40" s="60">
        <v>0.53713667844857504</v>
      </c>
      <c r="S40" s="60"/>
      <c r="T40" s="60">
        <v>0.73294441573253299</v>
      </c>
      <c r="U40" s="60"/>
      <c r="V40" s="60">
        <v>0.70766428521915403</v>
      </c>
      <c r="W40" s="60">
        <v>0.55153951761277997</v>
      </c>
      <c r="X40" s="60">
        <v>0.50738344727700002</v>
      </c>
      <c r="Y40" s="60"/>
      <c r="Z40" s="60"/>
      <c r="AA40" s="60"/>
      <c r="AB40" s="60"/>
      <c r="AC40" s="60"/>
      <c r="AD40" s="60"/>
      <c r="AE40" s="60"/>
      <c r="AF40" s="60"/>
      <c r="AG40" s="60">
        <v>0.10100000000000001</v>
      </c>
      <c r="AH40" s="61">
        <v>43700</v>
      </c>
      <c r="AI40" s="60">
        <v>8.6053527511476394E-2</v>
      </c>
      <c r="AJ40" s="60">
        <v>0.11727429799162099</v>
      </c>
      <c r="AK40" s="60">
        <v>8.3106756964414399E-2</v>
      </c>
      <c r="AL40" s="60">
        <v>0.114031871977396</v>
      </c>
      <c r="AM40" s="60">
        <v>0.109109018832678</v>
      </c>
      <c r="AN40" s="60"/>
      <c r="AO40" s="60"/>
      <c r="AP40" s="60"/>
      <c r="AQ40" s="60">
        <v>0.11534897118663499</v>
      </c>
      <c r="AR40" s="60">
        <v>9.6728883662614895E-2</v>
      </c>
      <c r="AS40" s="60">
        <v>8.9599595660670106E-2</v>
      </c>
      <c r="AT40" s="60"/>
      <c r="AU40" s="60"/>
      <c r="AV40" s="60"/>
      <c r="AW40" s="60"/>
      <c r="AX40" s="60"/>
      <c r="AY40" s="60"/>
      <c r="AZ40" s="60">
        <v>0.108961778171003</v>
      </c>
      <c r="BA40" s="60">
        <v>9.5039371077117199E-2</v>
      </c>
      <c r="BB40" s="60">
        <v>8.9996292352451199E-2</v>
      </c>
      <c r="BC40" s="60"/>
      <c r="BD40" s="60"/>
      <c r="BE40" s="60"/>
      <c r="BF40" s="60"/>
      <c r="BG40" s="60"/>
      <c r="BH40" s="60"/>
      <c r="BI40" s="60"/>
      <c r="BJ40" s="60"/>
      <c r="BK40" s="60">
        <v>0.27729999999999999</v>
      </c>
      <c r="BL40" s="61">
        <v>120000</v>
      </c>
      <c r="BM40" s="60">
        <v>0.278168375740522</v>
      </c>
      <c r="BN40" s="60">
        <v>0.27653623910555902</v>
      </c>
      <c r="BO40" s="60">
        <v>0.193117447753202</v>
      </c>
      <c r="BP40" s="60">
        <v>0.30522111258785001</v>
      </c>
      <c r="BQ40" s="60">
        <v>0.41952841687403902</v>
      </c>
      <c r="BR40" s="60">
        <v>0.56829114335068098</v>
      </c>
      <c r="BS40" s="60"/>
      <c r="BT40" s="60"/>
      <c r="BU40" s="60">
        <v>0.41458835055203302</v>
      </c>
      <c r="BV40" s="60">
        <v>0.23799740629437</v>
      </c>
      <c r="BW40" s="60">
        <v>0.240299746573748</v>
      </c>
      <c r="BX40" s="60">
        <v>0.23899212035591599</v>
      </c>
      <c r="BY40" s="60">
        <v>0.347608954762054</v>
      </c>
      <c r="BZ40" s="60">
        <v>0.38858663348605799</v>
      </c>
      <c r="CA40" s="60"/>
      <c r="CB40" s="60"/>
      <c r="CC40" s="60"/>
      <c r="CD40" s="60">
        <v>0.183373936609843</v>
      </c>
      <c r="CE40" s="60">
        <v>0.35342111131010301</v>
      </c>
      <c r="CF40" s="60">
        <v>0.40262026037054899</v>
      </c>
      <c r="CG40" s="60"/>
      <c r="CH40" s="60"/>
      <c r="CI40" s="60"/>
      <c r="CJ40" s="60"/>
      <c r="CK40" s="60"/>
      <c r="CL40" s="60"/>
      <c r="CM40" s="60"/>
      <c r="CN40" s="60"/>
      <c r="CO40" s="60">
        <v>0.7228</v>
      </c>
      <c r="CP40" s="62">
        <v>312700</v>
      </c>
      <c r="CQ40" s="63">
        <v>1.6321366349634199E-3</v>
      </c>
      <c r="CR40" s="63">
        <v>-0.21924632376070599</v>
      </c>
      <c r="CS40" s="63">
        <v>-0.176590944257663</v>
      </c>
      <c r="CT40" s="63">
        <v>-0.37517369559747998</v>
      </c>
      <c r="CU40" s="163"/>
      <c r="CV40" s="163"/>
      <c r="CW40" s="163"/>
      <c r="CX40" s="158">
        <v>0.1119</v>
      </c>
    </row>
    <row r="41" spans="1:102" hidden="1" x14ac:dyDescent="0.2">
      <c r="A41" s="59" t="s">
        <v>111</v>
      </c>
      <c r="B41" s="59" t="s">
        <v>38</v>
      </c>
      <c r="C41" s="60">
        <v>0.65550473297955303</v>
      </c>
      <c r="D41" s="61">
        <v>285400</v>
      </c>
      <c r="E41" s="60">
        <v>0.69704366134999796</v>
      </c>
      <c r="F41" s="60">
        <v>0.61574757439351702</v>
      </c>
      <c r="G41" s="60">
        <v>0.75252849264726995</v>
      </c>
      <c r="H41" s="60">
        <v>0.59480524340688801</v>
      </c>
      <c r="I41" s="60">
        <v>0.51599314712741196</v>
      </c>
      <c r="J41" s="60"/>
      <c r="K41" s="60"/>
      <c r="L41" s="60"/>
      <c r="M41" s="60">
        <v>0.459430061767374</v>
      </c>
      <c r="N41" s="60">
        <v>0.69872179938164303</v>
      </c>
      <c r="O41" s="60">
        <v>0.68569546665430903</v>
      </c>
      <c r="P41" s="60">
        <v>0.67431743790743903</v>
      </c>
      <c r="Q41" s="60">
        <v>0.60060091201865695</v>
      </c>
      <c r="R41" s="60">
        <v>0.55127300474516705</v>
      </c>
      <c r="S41" s="60"/>
      <c r="T41" s="60"/>
      <c r="U41" s="60"/>
      <c r="V41" s="60">
        <v>0.69739110045831598</v>
      </c>
      <c r="W41" s="60">
        <v>0.59489715109069596</v>
      </c>
      <c r="X41" s="60">
        <v>0.53017035036558602</v>
      </c>
      <c r="Y41" s="60"/>
      <c r="Z41" s="60"/>
      <c r="AA41" s="60"/>
      <c r="AB41" s="60"/>
      <c r="AC41" s="60"/>
      <c r="AD41" s="60"/>
      <c r="AE41" s="60"/>
      <c r="AF41" s="60"/>
      <c r="AG41" s="60">
        <v>0.10600174929954601</v>
      </c>
      <c r="AH41" s="61">
        <v>46100</v>
      </c>
      <c r="AI41" s="60">
        <v>9.4199456315101099E-2</v>
      </c>
      <c r="AJ41" s="60">
        <v>0.117303412858318</v>
      </c>
      <c r="AK41" s="60">
        <v>9.4385894761126299E-2</v>
      </c>
      <c r="AL41" s="60">
        <v>0.116191181904185</v>
      </c>
      <c r="AM41" s="60">
        <v>0.118003117448053</v>
      </c>
      <c r="AN41" s="60"/>
      <c r="AO41" s="60"/>
      <c r="AP41" s="60"/>
      <c r="AQ41" s="60">
        <v>0.13900845336717699</v>
      </c>
      <c r="AR41" s="60">
        <v>9.9213889456464505E-2</v>
      </c>
      <c r="AS41" s="60">
        <v>0.106187687923506</v>
      </c>
      <c r="AT41" s="60"/>
      <c r="AU41" s="60"/>
      <c r="AV41" s="60"/>
      <c r="AW41" s="60"/>
      <c r="AX41" s="60"/>
      <c r="AY41" s="60"/>
      <c r="AZ41" s="60">
        <v>0.134765030095465</v>
      </c>
      <c r="BA41" s="60">
        <v>0.10221185539285101</v>
      </c>
      <c r="BB41" s="60">
        <v>9.5814985181199394E-2</v>
      </c>
      <c r="BC41" s="60"/>
      <c r="BD41" s="60"/>
      <c r="BE41" s="60"/>
      <c r="BF41" s="60"/>
      <c r="BG41" s="60"/>
      <c r="BH41" s="60"/>
      <c r="BI41" s="60"/>
      <c r="BJ41" s="60"/>
      <c r="BK41" s="60">
        <v>0.23849351772090299</v>
      </c>
      <c r="BL41" s="61">
        <v>103800</v>
      </c>
      <c r="BM41" s="60">
        <v>0.2087568823349</v>
      </c>
      <c r="BN41" s="60">
        <v>0.26694901274816202</v>
      </c>
      <c r="BO41" s="60">
        <v>0.153085612591603</v>
      </c>
      <c r="BP41" s="60">
        <v>0.28900357468892801</v>
      </c>
      <c r="BQ41" s="60">
        <v>0.36600373542453402</v>
      </c>
      <c r="BR41" s="60">
        <v>0.56266382071105503</v>
      </c>
      <c r="BS41" s="60"/>
      <c r="BT41" s="60"/>
      <c r="BU41" s="60">
        <v>0.40156148486544802</v>
      </c>
      <c r="BV41" s="60">
        <v>0.202064311161893</v>
      </c>
      <c r="BW41" s="60">
        <v>0.20811684542218201</v>
      </c>
      <c r="BX41" s="60">
        <v>0.20363335217201001</v>
      </c>
      <c r="BY41" s="60">
        <v>0.31370328315255402</v>
      </c>
      <c r="BZ41" s="60">
        <v>0.30871541363585803</v>
      </c>
      <c r="CA41" s="60"/>
      <c r="CB41" s="60"/>
      <c r="CC41" s="60"/>
      <c r="CD41" s="60">
        <v>0.16784386944621901</v>
      </c>
      <c r="CE41" s="60">
        <v>0.30289099351645299</v>
      </c>
      <c r="CF41" s="60">
        <v>0.37401466445321502</v>
      </c>
      <c r="CG41" s="60"/>
      <c r="CH41" s="60"/>
      <c r="CI41" s="60"/>
      <c r="CJ41" s="60"/>
      <c r="CK41" s="60"/>
      <c r="CL41" s="60"/>
      <c r="CM41" s="60"/>
      <c r="CN41" s="60"/>
      <c r="CO41" s="60">
        <v>0.76150648227909801</v>
      </c>
      <c r="CP41" s="62">
        <v>331500</v>
      </c>
      <c r="CQ41" s="63">
        <v>-5.8192130413262398E-2</v>
      </c>
      <c r="CR41" s="63">
        <v>-0.206170795006997</v>
      </c>
      <c r="CS41" s="63">
        <v>-0.19949717370355499</v>
      </c>
      <c r="CT41" s="63">
        <v>-0.409578208119453</v>
      </c>
      <c r="CU41" s="163"/>
      <c r="CV41" s="163"/>
      <c r="CW41" s="163"/>
      <c r="CX41" s="158">
        <v>0.1208</v>
      </c>
    </row>
    <row r="42" spans="1:102" hidden="1" x14ac:dyDescent="0.2">
      <c r="A42" s="59" t="s">
        <v>111</v>
      </c>
      <c r="B42" s="59" t="s">
        <v>39</v>
      </c>
      <c r="C42" s="60">
        <v>0.66220000000000001</v>
      </c>
      <c r="D42" s="61">
        <v>288300</v>
      </c>
      <c r="E42" s="60">
        <v>0.69854528278676598</v>
      </c>
      <c r="F42" s="60">
        <v>0.62039459394111995</v>
      </c>
      <c r="G42" s="60">
        <v>0.74906919307887798</v>
      </c>
      <c r="H42" s="60">
        <v>0.621954010099106</v>
      </c>
      <c r="I42" s="60">
        <v>0.49846837490256002</v>
      </c>
      <c r="J42" s="60">
        <v>0.37775857532209101</v>
      </c>
      <c r="K42" s="60">
        <v>0.70214815403265995</v>
      </c>
      <c r="L42" s="60">
        <v>0.47512350267130399</v>
      </c>
      <c r="M42" s="60">
        <v>0.49858655350061398</v>
      </c>
      <c r="N42" s="60">
        <v>0.70016055740161898</v>
      </c>
      <c r="O42" s="60">
        <v>0.71753888758123996</v>
      </c>
      <c r="P42" s="60">
        <v>0.67062323180693695</v>
      </c>
      <c r="Q42" s="60">
        <v>0.53576333888565997</v>
      </c>
      <c r="R42" s="60">
        <v>0.55489584275389703</v>
      </c>
      <c r="S42" s="60"/>
      <c r="T42" s="60">
        <v>0.66805155071333</v>
      </c>
      <c r="U42" s="60"/>
      <c r="V42" s="60">
        <v>0.71768341971621297</v>
      </c>
      <c r="W42" s="60">
        <v>0.61453575881274802</v>
      </c>
      <c r="X42" s="60">
        <v>0.48154805765257402</v>
      </c>
      <c r="Y42" s="60">
        <v>0.80122860690404596</v>
      </c>
      <c r="Z42" s="60"/>
      <c r="AA42" s="60"/>
      <c r="AB42" s="60"/>
      <c r="AC42" s="60"/>
      <c r="AD42" s="60"/>
      <c r="AE42" s="60"/>
      <c r="AF42" s="60"/>
      <c r="AG42" s="60">
        <v>0.10271952625771701</v>
      </c>
      <c r="AH42" s="61">
        <v>44700</v>
      </c>
      <c r="AI42" s="60">
        <v>9.6368264014019406E-2</v>
      </c>
      <c r="AJ42" s="60">
        <v>0.109215401795716</v>
      </c>
      <c r="AK42" s="60">
        <v>9.9751861237502001E-2</v>
      </c>
      <c r="AL42" s="60">
        <v>0.107285626366713</v>
      </c>
      <c r="AM42" s="60">
        <v>0.11398133372381</v>
      </c>
      <c r="AN42" s="60"/>
      <c r="AO42" s="60">
        <v>0.102532741377124</v>
      </c>
      <c r="AP42" s="60">
        <v>0.105042014847816</v>
      </c>
      <c r="AQ42" s="60">
        <v>0.10973144943379499</v>
      </c>
      <c r="AR42" s="60">
        <v>9.9745065649813003E-2</v>
      </c>
      <c r="AS42" s="60">
        <v>9.3272326228512906E-2</v>
      </c>
      <c r="AT42" s="60"/>
      <c r="AU42" s="60"/>
      <c r="AV42" s="60"/>
      <c r="AW42" s="60"/>
      <c r="AX42" s="60"/>
      <c r="AY42" s="60"/>
      <c r="AZ42" s="60">
        <v>0.13493207770971</v>
      </c>
      <c r="BA42" s="60">
        <v>0.102628692278374</v>
      </c>
      <c r="BB42" s="60">
        <v>9.8091683317664602E-2</v>
      </c>
      <c r="BC42" s="60"/>
      <c r="BD42" s="60"/>
      <c r="BE42" s="60"/>
      <c r="BF42" s="60"/>
      <c r="BG42" s="60"/>
      <c r="BH42" s="60"/>
      <c r="BI42" s="60"/>
      <c r="BJ42" s="60"/>
      <c r="BK42" s="60">
        <v>0.2351</v>
      </c>
      <c r="BL42" s="61">
        <v>102400</v>
      </c>
      <c r="BM42" s="60">
        <v>0.20508645319921401</v>
      </c>
      <c r="BN42" s="60">
        <v>0.27039000426316401</v>
      </c>
      <c r="BO42" s="60">
        <v>0.151178945683619</v>
      </c>
      <c r="BP42" s="60">
        <v>0.27076036353418098</v>
      </c>
      <c r="BQ42" s="60">
        <v>0.38755029137362901</v>
      </c>
      <c r="BR42" s="60">
        <v>0.55448280655596205</v>
      </c>
      <c r="BS42" s="60">
        <v>0.19531910459021801</v>
      </c>
      <c r="BT42" s="60">
        <v>0.41983448248088001</v>
      </c>
      <c r="BU42" s="60">
        <v>0.39168199706559098</v>
      </c>
      <c r="BV42" s="60">
        <v>0.20009437694856899</v>
      </c>
      <c r="BW42" s="60">
        <v>0.18918878619024701</v>
      </c>
      <c r="BX42" s="60">
        <v>0.234849152306739</v>
      </c>
      <c r="BY42" s="60">
        <v>0.339874585750299</v>
      </c>
      <c r="BZ42" s="60">
        <v>0.30559070796281401</v>
      </c>
      <c r="CA42" s="60"/>
      <c r="CB42" s="60"/>
      <c r="CC42" s="60"/>
      <c r="CD42" s="60">
        <v>0.14738450257407701</v>
      </c>
      <c r="CE42" s="60">
        <v>0.28283554890887802</v>
      </c>
      <c r="CF42" s="60">
        <v>0.42036025902976099</v>
      </c>
      <c r="CG42" s="60">
        <v>0.12653698108747999</v>
      </c>
      <c r="CH42" s="60"/>
      <c r="CI42" s="60"/>
      <c r="CJ42" s="60"/>
      <c r="CK42" s="60"/>
      <c r="CL42" s="60"/>
      <c r="CM42" s="60"/>
      <c r="CN42" s="60"/>
      <c r="CO42" s="60">
        <v>0.76491952625771698</v>
      </c>
      <c r="CP42" s="62">
        <v>333000</v>
      </c>
      <c r="CQ42" s="63">
        <v>-6.53035510639495E-2</v>
      </c>
      <c r="CR42" s="63">
        <v>-0.272975756455684</v>
      </c>
      <c r="CS42" s="63">
        <v>-0.19158762011702199</v>
      </c>
      <c r="CT42" s="63">
        <v>-0.40330386087234299</v>
      </c>
      <c r="CU42" s="163">
        <v>0.31744591520552501</v>
      </c>
      <c r="CV42" s="163">
        <v>0.386791147623049</v>
      </c>
      <c r="CW42" s="163">
        <v>0.58140399021083999</v>
      </c>
      <c r="CX42" s="158">
        <v>0.1065</v>
      </c>
    </row>
    <row r="43" spans="1:102" hidden="1" x14ac:dyDescent="0.2">
      <c r="A43" s="59" t="s">
        <v>111</v>
      </c>
      <c r="B43" s="59" t="s">
        <v>40</v>
      </c>
      <c r="C43" s="60">
        <v>0.63500000000000001</v>
      </c>
      <c r="D43" s="61">
        <v>277200</v>
      </c>
      <c r="E43" s="60">
        <v>0.66849999999999998</v>
      </c>
      <c r="F43" s="60">
        <v>0.60350000000000004</v>
      </c>
      <c r="G43" s="60">
        <v>0.70799999999999996</v>
      </c>
      <c r="H43" s="60">
        <v>0.63690000000000002</v>
      </c>
      <c r="I43" s="60">
        <v>0.46300000000000002</v>
      </c>
      <c r="J43" s="60">
        <v>0.38129999999999997</v>
      </c>
      <c r="K43" s="60">
        <v>0.68069999999999997</v>
      </c>
      <c r="L43" s="60">
        <v>0.44800000000000001</v>
      </c>
      <c r="M43" s="60">
        <v>0.4607</v>
      </c>
      <c r="N43" s="60">
        <v>0.67949999999999999</v>
      </c>
      <c r="O43" s="60">
        <v>0.70660000000000001</v>
      </c>
      <c r="P43" s="60">
        <v>0.68520000000000003</v>
      </c>
      <c r="Q43" s="60">
        <v>0.46060000000000001</v>
      </c>
      <c r="R43" s="60">
        <v>0.50109999999999999</v>
      </c>
      <c r="S43" s="60"/>
      <c r="T43" s="60">
        <v>0.66420000000000001</v>
      </c>
      <c r="U43" s="60"/>
      <c r="V43" s="60">
        <v>0.72570000000000001</v>
      </c>
      <c r="W43" s="60">
        <v>0.59709999999999996</v>
      </c>
      <c r="X43" s="60">
        <v>0.5</v>
      </c>
      <c r="Y43" s="60">
        <v>0.69410000000000005</v>
      </c>
      <c r="Z43" s="60">
        <v>0.67369999999999997</v>
      </c>
      <c r="AA43" s="60">
        <v>0.59840000000000004</v>
      </c>
      <c r="AB43" s="60">
        <v>0.49719999999999998</v>
      </c>
      <c r="AC43" s="60">
        <v>0.47460000000000002</v>
      </c>
      <c r="AD43" s="60"/>
      <c r="AE43" s="60">
        <v>0.72250000000000003</v>
      </c>
      <c r="AF43" s="60">
        <v>0.47820000000000001</v>
      </c>
      <c r="AG43" s="60">
        <v>0.111</v>
      </c>
      <c r="AH43" s="61">
        <v>48500</v>
      </c>
      <c r="AI43" s="60">
        <v>9.4100000000000003E-2</v>
      </c>
      <c r="AJ43" s="60">
        <v>0.127</v>
      </c>
      <c r="AK43" s="60">
        <v>0.10299999999999999</v>
      </c>
      <c r="AL43" s="60">
        <v>0.1084</v>
      </c>
      <c r="AM43" s="60">
        <v>0.14000000000000001</v>
      </c>
      <c r="AN43" s="60"/>
      <c r="AO43" s="60">
        <v>0.105</v>
      </c>
      <c r="AP43" s="60">
        <v>0.1399</v>
      </c>
      <c r="AQ43" s="60">
        <v>0.1159</v>
      </c>
      <c r="AR43" s="60">
        <v>0.11</v>
      </c>
      <c r="AS43" s="60">
        <v>9.7900000000000001E-2</v>
      </c>
      <c r="AT43" s="60"/>
      <c r="AU43" s="60"/>
      <c r="AV43" s="60"/>
      <c r="AW43" s="60"/>
      <c r="AX43" s="60"/>
      <c r="AY43" s="60"/>
      <c r="AZ43" s="60">
        <v>0.1152</v>
      </c>
      <c r="BA43" s="60">
        <v>0.10150000000000001</v>
      </c>
      <c r="BB43" s="60">
        <v>0.1182</v>
      </c>
      <c r="BC43" s="60"/>
      <c r="BD43" s="60">
        <v>0.1087</v>
      </c>
      <c r="BE43" s="60"/>
      <c r="BF43" s="60">
        <v>0.1326</v>
      </c>
      <c r="BG43" s="60"/>
      <c r="BH43" s="60"/>
      <c r="BI43" s="60"/>
      <c r="BJ43" s="60"/>
      <c r="BK43" s="60">
        <v>0.254</v>
      </c>
      <c r="BL43" s="61">
        <v>110800</v>
      </c>
      <c r="BM43" s="60">
        <v>0.2374</v>
      </c>
      <c r="BN43" s="60">
        <v>0.26950000000000002</v>
      </c>
      <c r="BO43" s="60">
        <v>0.189</v>
      </c>
      <c r="BP43" s="60">
        <v>0.25480000000000003</v>
      </c>
      <c r="BQ43" s="60">
        <v>0.39700000000000002</v>
      </c>
      <c r="BR43" s="60">
        <v>0.47920000000000001</v>
      </c>
      <c r="BS43" s="60">
        <v>0.21429999999999999</v>
      </c>
      <c r="BT43" s="60">
        <v>0.41210000000000002</v>
      </c>
      <c r="BU43" s="60">
        <v>0.4234</v>
      </c>
      <c r="BV43" s="60">
        <v>0.21049999999999999</v>
      </c>
      <c r="BW43" s="60">
        <v>0.19550000000000001</v>
      </c>
      <c r="BX43" s="60">
        <v>0.24</v>
      </c>
      <c r="BY43" s="60">
        <v>0.39389999999999997</v>
      </c>
      <c r="BZ43" s="60">
        <v>0.36120000000000002</v>
      </c>
      <c r="CA43" s="60"/>
      <c r="CB43" s="60"/>
      <c r="CC43" s="60"/>
      <c r="CD43" s="60">
        <v>0.15909999999999999</v>
      </c>
      <c r="CE43" s="60">
        <v>0.3014</v>
      </c>
      <c r="CF43" s="60">
        <v>0.38179999999999997</v>
      </c>
      <c r="CG43" s="60">
        <v>0.20100000000000001</v>
      </c>
      <c r="CH43" s="60">
        <v>0.21759999999999999</v>
      </c>
      <c r="CI43" s="60"/>
      <c r="CJ43" s="60">
        <v>0.37030000000000002</v>
      </c>
      <c r="CK43" s="60"/>
      <c r="CL43" s="60">
        <v>0.56940000000000002</v>
      </c>
      <c r="CM43" s="60">
        <v>0.1726</v>
      </c>
      <c r="CN43" s="60"/>
      <c r="CO43" s="60">
        <v>0.746</v>
      </c>
      <c r="CP43" s="62">
        <v>325700</v>
      </c>
      <c r="CQ43" s="63">
        <v>-3.2099999999999997E-2</v>
      </c>
      <c r="CR43" s="63">
        <v>-0.22270000000000001</v>
      </c>
      <c r="CS43" s="63">
        <v>-0.21290000000000001</v>
      </c>
      <c r="CT43" s="63">
        <v>-0.29020000000000001</v>
      </c>
      <c r="CU43" s="163">
        <v>0.32869999999999999</v>
      </c>
      <c r="CV43" s="163">
        <v>0.3846</v>
      </c>
      <c r="CW43" s="163">
        <v>0.57169999999999999</v>
      </c>
      <c r="CX43" s="158">
        <v>0.10150000000000001</v>
      </c>
    </row>
    <row r="44" spans="1:102" hidden="1" x14ac:dyDescent="0.2">
      <c r="A44" s="59" t="s">
        <v>111</v>
      </c>
      <c r="B44" s="59" t="s">
        <v>41</v>
      </c>
      <c r="C44" s="60">
        <v>0.64800000000000002</v>
      </c>
      <c r="D44" s="61">
        <v>282900</v>
      </c>
      <c r="E44" s="60">
        <v>0.67384100351190901</v>
      </c>
      <c r="F44" s="60">
        <v>0.62465599617901302</v>
      </c>
      <c r="G44" s="60">
        <v>0.72286488605523003</v>
      </c>
      <c r="H44" s="60">
        <v>0.58294685637941202</v>
      </c>
      <c r="I44" s="60">
        <v>0.576733770877495</v>
      </c>
      <c r="J44" s="60">
        <v>0.39945892916276499</v>
      </c>
      <c r="K44" s="60">
        <v>0.67381002073738505</v>
      </c>
      <c r="L44" s="60">
        <v>0.54327251700672796</v>
      </c>
      <c r="M44" s="60">
        <v>0.51760727558219799</v>
      </c>
      <c r="N44" s="60">
        <v>0.67963198238899503</v>
      </c>
      <c r="O44" s="60">
        <v>0.710140712141204</v>
      </c>
      <c r="P44" s="60">
        <v>0.73241968258941204</v>
      </c>
      <c r="Q44" s="60">
        <v>0.49796962599643402</v>
      </c>
      <c r="R44" s="60">
        <v>0.471427459218415</v>
      </c>
      <c r="S44" s="60"/>
      <c r="T44" s="60"/>
      <c r="U44" s="60"/>
      <c r="V44" s="60">
        <v>0.72370628349568999</v>
      </c>
      <c r="W44" s="60">
        <v>0.59867351756980003</v>
      </c>
      <c r="X44" s="60">
        <v>0.54461119182913897</v>
      </c>
      <c r="Y44" s="60">
        <v>0.69867643274282998</v>
      </c>
      <c r="Z44" s="60">
        <v>0.67975535166972001</v>
      </c>
      <c r="AA44" s="60">
        <v>0.64323299968785297</v>
      </c>
      <c r="AB44" s="60">
        <v>0.53380437480615195</v>
      </c>
      <c r="AC44" s="60"/>
      <c r="AD44" s="60"/>
      <c r="AE44" s="60">
        <v>0.72413520240632101</v>
      </c>
      <c r="AF44" s="60"/>
      <c r="AG44" s="60">
        <v>0.1</v>
      </c>
      <c r="AH44" s="61">
        <v>43800</v>
      </c>
      <c r="AI44" s="60">
        <v>8.2507078282313295E-2</v>
      </c>
      <c r="AJ44" s="60">
        <v>0.11831330112145499</v>
      </c>
      <c r="AK44" s="60">
        <v>8.1326538065405199E-2</v>
      </c>
      <c r="AL44" s="60">
        <v>0.12624066090899</v>
      </c>
      <c r="AM44" s="60">
        <v>0.12139164656587199</v>
      </c>
      <c r="AN44" s="60">
        <v>9.5546490210222504E-2</v>
      </c>
      <c r="AO44" s="60">
        <v>9.70733024535681E-2</v>
      </c>
      <c r="AP44" s="60">
        <v>0.116513281820029</v>
      </c>
      <c r="AQ44" s="60">
        <v>8.3044398036437997E-2</v>
      </c>
      <c r="AR44" s="60">
        <v>0.103987697038745</v>
      </c>
      <c r="AS44" s="60">
        <v>9.36372959272644E-2</v>
      </c>
      <c r="AT44" s="60"/>
      <c r="AU44" s="60"/>
      <c r="AV44" s="60"/>
      <c r="AW44" s="60"/>
      <c r="AX44" s="60"/>
      <c r="AY44" s="60"/>
      <c r="AZ44" s="60">
        <v>9.4443719315575603E-2</v>
      </c>
      <c r="BA44" s="60">
        <v>0.10386202325114301</v>
      </c>
      <c r="BB44" s="60"/>
      <c r="BC44" s="60">
        <v>9.1063969527284003E-2</v>
      </c>
      <c r="BD44" s="60">
        <v>9.5809085335015795E-2</v>
      </c>
      <c r="BE44" s="60">
        <v>9.9080732489451595E-2</v>
      </c>
      <c r="BF44" s="60"/>
      <c r="BG44" s="60"/>
      <c r="BH44" s="60"/>
      <c r="BI44" s="60"/>
      <c r="BJ44" s="60"/>
      <c r="BK44" s="60">
        <v>0.252</v>
      </c>
      <c r="BL44" s="61">
        <v>109800</v>
      </c>
      <c r="BM44" s="60">
        <v>0.243651918205777</v>
      </c>
      <c r="BN44" s="60">
        <v>0.25703070269953199</v>
      </c>
      <c r="BO44" s="60">
        <v>0.19580857587936501</v>
      </c>
      <c r="BP44" s="60">
        <v>0.29081248271159998</v>
      </c>
      <c r="BQ44" s="60">
        <v>0.30187458255663202</v>
      </c>
      <c r="BR44" s="60">
        <v>0.50499458062701197</v>
      </c>
      <c r="BS44" s="60">
        <v>0.22911667680904599</v>
      </c>
      <c r="BT44" s="60">
        <v>0.34021420117324402</v>
      </c>
      <c r="BU44" s="60">
        <v>0.39934832638136297</v>
      </c>
      <c r="BV44" s="60">
        <v>0.21638032057225701</v>
      </c>
      <c r="BW44" s="60">
        <v>0.196221991931532</v>
      </c>
      <c r="BX44" s="60">
        <v>0.189799844741775</v>
      </c>
      <c r="BY44" s="60">
        <v>0.370596145759436</v>
      </c>
      <c r="BZ44" s="60">
        <v>0.42692863171978002</v>
      </c>
      <c r="CA44" s="60"/>
      <c r="CB44" s="60"/>
      <c r="CC44" s="60"/>
      <c r="CD44" s="60">
        <v>0.18184999718873501</v>
      </c>
      <c r="CE44" s="60">
        <v>0.29746445917905601</v>
      </c>
      <c r="CF44" s="60">
        <v>0.33179596788949001</v>
      </c>
      <c r="CG44" s="60">
        <v>0.21025959772988601</v>
      </c>
      <c r="CH44" s="60">
        <v>0.22443556299526399</v>
      </c>
      <c r="CI44" s="60">
        <v>0.25768626782269499</v>
      </c>
      <c r="CJ44" s="60">
        <v>0.36234636192273501</v>
      </c>
      <c r="CK44" s="60">
        <v>0.44752155940098198</v>
      </c>
      <c r="CL44" s="60">
        <v>0.53466420434065198</v>
      </c>
      <c r="CM44" s="60">
        <v>0.18534648900967801</v>
      </c>
      <c r="CN44" s="60"/>
      <c r="CO44" s="60">
        <v>0.748</v>
      </c>
      <c r="CP44" s="62">
        <v>326700</v>
      </c>
      <c r="CQ44" s="63">
        <v>-1.33787844937553E-2</v>
      </c>
      <c r="CR44" s="63">
        <v>-0.14994597070075499</v>
      </c>
      <c r="CS44" s="63">
        <v>-0.18296800580910499</v>
      </c>
      <c r="CT44" s="63">
        <v>-0.30918600474764701</v>
      </c>
      <c r="CU44" s="163">
        <v>0.31816452406635898</v>
      </c>
      <c r="CV44" s="163">
        <v>0.37266899680383497</v>
      </c>
      <c r="CW44" s="163">
        <v>0.54982335766012802</v>
      </c>
      <c r="CX44" s="158">
        <v>0.1133</v>
      </c>
    </row>
    <row r="45" spans="1:102" hidden="1" x14ac:dyDescent="0.2">
      <c r="A45" s="59" t="s">
        <v>111</v>
      </c>
      <c r="B45" s="59" t="s">
        <v>155</v>
      </c>
      <c r="C45" s="60">
        <v>0.63400000000000001</v>
      </c>
      <c r="D45" s="61">
        <v>279700</v>
      </c>
      <c r="E45" s="60">
        <v>0.66167102217690899</v>
      </c>
      <c r="F45" s="60">
        <v>0.60406612858299602</v>
      </c>
      <c r="G45" s="60">
        <v>0.70035916722995595</v>
      </c>
      <c r="H45" s="60">
        <v>0.564878884251514</v>
      </c>
      <c r="I45" s="60">
        <v>0.60536441857073198</v>
      </c>
      <c r="J45" s="60">
        <v>0.39208762274070103</v>
      </c>
      <c r="K45" s="60">
        <v>0.65104517680856799</v>
      </c>
      <c r="L45" s="60">
        <v>0.56237684561644496</v>
      </c>
      <c r="M45" s="60">
        <v>0.52211293415676596</v>
      </c>
      <c r="N45" s="60">
        <v>0.66346859060027596</v>
      </c>
      <c r="O45" s="60">
        <v>0.69538789352289199</v>
      </c>
      <c r="P45" s="60">
        <v>0.70804359559616004</v>
      </c>
      <c r="Q45" s="60">
        <v>0.54949259442555298</v>
      </c>
      <c r="R45" s="60">
        <v>0.40520215198963599</v>
      </c>
      <c r="S45" s="60"/>
      <c r="T45" s="60">
        <v>0.66152718785903997</v>
      </c>
      <c r="U45" s="60"/>
      <c r="V45" s="60">
        <v>0.73317120415716397</v>
      </c>
      <c r="W45" s="60">
        <v>0.57366674530690998</v>
      </c>
      <c r="X45" s="60">
        <v>0.51060223010529804</v>
      </c>
      <c r="Y45" s="60">
        <v>0.67735696919948396</v>
      </c>
      <c r="Z45" s="60">
        <v>0.66377945270347105</v>
      </c>
      <c r="AA45" s="60">
        <v>0.55263934083035704</v>
      </c>
      <c r="AB45" s="60">
        <v>0.55602121937596405</v>
      </c>
      <c r="AC45" s="60"/>
      <c r="AD45" s="60"/>
      <c r="AE45" s="60">
        <v>0.72048487702174402</v>
      </c>
      <c r="AF45" s="60"/>
      <c r="AG45" s="60">
        <v>9.1800000000000007E-2</v>
      </c>
      <c r="AH45" s="61">
        <v>40500</v>
      </c>
      <c r="AI45" s="60">
        <v>7.4923335500889504E-2</v>
      </c>
      <c r="AJ45" s="60">
        <v>0.112428250635739</v>
      </c>
      <c r="AK45" s="60">
        <v>7.8498741998259305E-2</v>
      </c>
      <c r="AL45" s="60">
        <v>0.122193440790391</v>
      </c>
      <c r="AM45" s="60">
        <v>8.7179112818794702E-2</v>
      </c>
      <c r="AN45" s="60"/>
      <c r="AO45" s="60">
        <v>9.4403343836471601E-2</v>
      </c>
      <c r="AP45" s="60">
        <v>8.1786878357413897E-2</v>
      </c>
      <c r="AQ45" s="60"/>
      <c r="AR45" s="60">
        <v>9.6804356365425503E-2</v>
      </c>
      <c r="AS45" s="60">
        <v>8.4666449412285696E-2</v>
      </c>
      <c r="AT45" s="60"/>
      <c r="AU45" s="60">
        <v>0.12602816353153801</v>
      </c>
      <c r="AV45" s="60"/>
      <c r="AW45" s="60"/>
      <c r="AX45" s="60"/>
      <c r="AY45" s="60"/>
      <c r="AZ45" s="60">
        <v>9.2706643396731306E-2</v>
      </c>
      <c r="BA45" s="60">
        <v>0.13148923780303101</v>
      </c>
      <c r="BB45" s="60"/>
      <c r="BC45" s="60"/>
      <c r="BD45" s="60">
        <v>0.10510915428102199</v>
      </c>
      <c r="BE45" s="60"/>
      <c r="BF45" s="60"/>
      <c r="BG45" s="60"/>
      <c r="BH45" s="60"/>
      <c r="BI45" s="60"/>
      <c r="BJ45" s="60"/>
      <c r="BK45" s="60">
        <v>0.2742</v>
      </c>
      <c r="BL45" s="61">
        <v>121000</v>
      </c>
      <c r="BM45" s="60">
        <v>0.26340564232220198</v>
      </c>
      <c r="BN45" s="60">
        <v>0.28350562078126501</v>
      </c>
      <c r="BO45" s="60">
        <v>0.22114209077178501</v>
      </c>
      <c r="BP45" s="60">
        <v>0.31292767495809498</v>
      </c>
      <c r="BQ45" s="60">
        <v>0.30745646861047299</v>
      </c>
      <c r="BR45" s="60">
        <v>0.54748607715478703</v>
      </c>
      <c r="BS45" s="60">
        <v>0.25455147935495598</v>
      </c>
      <c r="BT45" s="60">
        <v>0.35583627602614298</v>
      </c>
      <c r="BU45" s="60">
        <v>0.40996004657537699</v>
      </c>
      <c r="BV45" s="60">
        <v>0.23972705303429301</v>
      </c>
      <c r="BW45" s="60">
        <v>0.219945657064822</v>
      </c>
      <c r="BX45" s="60">
        <v>0.21318744955173399</v>
      </c>
      <c r="BY45" s="60">
        <v>0.32447924204291001</v>
      </c>
      <c r="BZ45" s="60">
        <v>0.507410014638905</v>
      </c>
      <c r="CA45" s="60"/>
      <c r="CB45" s="60"/>
      <c r="CC45" s="60"/>
      <c r="CD45" s="60">
        <v>0.17412215244610599</v>
      </c>
      <c r="CE45" s="60">
        <v>0.29484401689006001</v>
      </c>
      <c r="CF45" s="60">
        <v>0.38697253420776201</v>
      </c>
      <c r="CG45" s="60">
        <v>0.26429215761011199</v>
      </c>
      <c r="CH45" s="60">
        <v>0.23111139301550801</v>
      </c>
      <c r="CI45" s="60">
        <v>0.360401591586959</v>
      </c>
      <c r="CJ45" s="60">
        <v>0.36586070778005397</v>
      </c>
      <c r="CK45" s="60"/>
      <c r="CL45" s="60">
        <v>0.57983270340549298</v>
      </c>
      <c r="CM45" s="60">
        <v>0.22627176563727</v>
      </c>
      <c r="CN45" s="60"/>
      <c r="CO45" s="60">
        <v>0.7258</v>
      </c>
      <c r="CP45" s="62">
        <v>320200</v>
      </c>
      <c r="CQ45" s="63">
        <v>-2.00999784590629E-2</v>
      </c>
      <c r="CR45" s="63">
        <v>-0.21285038176165599</v>
      </c>
      <c r="CS45" s="63">
        <v>-0.17023299354108401</v>
      </c>
      <c r="CT45" s="63">
        <v>-0.32634398638300199</v>
      </c>
      <c r="CU45" s="163">
        <v>0.32285231995484098</v>
      </c>
      <c r="CV45" s="163">
        <v>0.33228827852750198</v>
      </c>
      <c r="CW45" s="163">
        <v>0.52050303212903404</v>
      </c>
      <c r="CX45" s="158"/>
    </row>
    <row r="46" spans="1:102" hidden="1" x14ac:dyDescent="0.2">
      <c r="A46" s="59" t="s">
        <v>111</v>
      </c>
      <c r="B46" s="59" t="s">
        <v>42</v>
      </c>
      <c r="C46" s="60">
        <v>2.8400000000000002E-2</v>
      </c>
      <c r="D46" s="61"/>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v>-3.9300000000000002E-2</v>
      </c>
      <c r="AH46" s="61"/>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v>1.09E-2</v>
      </c>
      <c r="BL46" s="61"/>
      <c r="BM46" s="60">
        <v>5.0403163858641596E-3</v>
      </c>
      <c r="BN46" s="60">
        <v>1.6158561730759101E-2</v>
      </c>
      <c r="BO46" s="60">
        <v>3.6616791013426998E-2</v>
      </c>
      <c r="BP46" s="60">
        <v>2.1314165723344301E-2</v>
      </c>
      <c r="BQ46" s="60">
        <v>-4.45178825972318E-2</v>
      </c>
      <c r="BR46" s="60">
        <v>-0.15940319192853</v>
      </c>
      <c r="BS46" s="60">
        <v>0.25455147935495598</v>
      </c>
      <c r="BT46" s="60">
        <v>0.35583627602614298</v>
      </c>
      <c r="BU46" s="60">
        <v>-3.0071685549192598E-2</v>
      </c>
      <c r="BV46" s="60">
        <v>3.5916465919362997E-2</v>
      </c>
      <c r="BW46" s="60">
        <v>-1.9417178626739799E-2</v>
      </c>
      <c r="BX46" s="60">
        <v>1.7040885585711801E-2</v>
      </c>
      <c r="BY46" s="60">
        <v>6.3373316481594805E-2</v>
      </c>
      <c r="BZ46" s="60">
        <v>0.150080057128328</v>
      </c>
      <c r="CA46" s="60">
        <v>0</v>
      </c>
      <c r="CB46" s="60">
        <v>0</v>
      </c>
      <c r="CC46" s="60">
        <v>0</v>
      </c>
      <c r="CD46" s="60">
        <v>9.2772316496162795E-3</v>
      </c>
      <c r="CE46" s="60">
        <v>2.2418939364541898E-3</v>
      </c>
      <c r="CF46" s="60">
        <v>-2.34601377369487E-3</v>
      </c>
      <c r="CG46" s="60">
        <v>0.26429215761011199</v>
      </c>
      <c r="CH46" s="60">
        <v>0.23111139301550801</v>
      </c>
      <c r="CI46" s="60">
        <v>0.360401591586959</v>
      </c>
      <c r="CJ46" s="60">
        <v>0.36586070778005397</v>
      </c>
      <c r="CK46" s="60">
        <v>0</v>
      </c>
      <c r="CL46" s="60">
        <v>0.57983270340549298</v>
      </c>
      <c r="CM46" s="60">
        <v>0.22627176563727</v>
      </c>
      <c r="CN46" s="60">
        <v>0</v>
      </c>
      <c r="CO46" s="60">
        <v>-1.09E-2</v>
      </c>
      <c r="CP46" s="62">
        <v>8100</v>
      </c>
      <c r="CQ46" s="63">
        <v>-1.11182453448949E-2</v>
      </c>
      <c r="CR46" s="63">
        <v>1.1623245423311101E-2</v>
      </c>
      <c r="CS46" s="63">
        <v>6.5988151468555606E-2</v>
      </c>
      <c r="CT46" s="63">
        <v>0.19601998294195699</v>
      </c>
      <c r="CU46" s="163">
        <v>5.4064047493161396E-3</v>
      </c>
      <c r="CV46" s="163">
        <v>-5.4502869095546497E-2</v>
      </c>
      <c r="CW46" s="163">
        <v>-6.0900958081806303E-2</v>
      </c>
      <c r="CX46" s="158"/>
    </row>
    <row r="47" spans="1:102" hidden="1" x14ac:dyDescent="0.2">
      <c r="A47" s="59" t="s">
        <v>112</v>
      </c>
      <c r="B47" s="59" t="s">
        <v>35</v>
      </c>
      <c r="C47" s="60">
        <v>0.61609999999999998</v>
      </c>
      <c r="D47" s="61">
        <v>109700</v>
      </c>
      <c r="E47" s="60">
        <v>0.62350665417478601</v>
      </c>
      <c r="F47" s="60">
        <v>0.61517546690676606</v>
      </c>
      <c r="G47" s="60">
        <v>0.73248926383304702</v>
      </c>
      <c r="H47" s="60">
        <v>0.61011758811238603</v>
      </c>
      <c r="I47" s="60">
        <v>0.56311449899251498</v>
      </c>
      <c r="J47" s="60">
        <v>0.34218919020665101</v>
      </c>
      <c r="K47" s="60"/>
      <c r="L47" s="60"/>
      <c r="M47" s="60">
        <v>0.46027108060545602</v>
      </c>
      <c r="N47" s="60">
        <v>0.67162668879687404</v>
      </c>
      <c r="O47" s="60">
        <v>0.61860971572290202</v>
      </c>
      <c r="P47" s="60"/>
      <c r="Q47" s="60">
        <v>0.60188725088611605</v>
      </c>
      <c r="R47" s="60"/>
      <c r="S47" s="60"/>
      <c r="T47" s="60"/>
      <c r="U47" s="60"/>
      <c r="V47" s="60">
        <v>0.66836439195004205</v>
      </c>
      <c r="W47" s="60">
        <v>0.67996541219946605</v>
      </c>
      <c r="X47" s="60">
        <v>0.51584144376577601</v>
      </c>
      <c r="Y47" s="60"/>
      <c r="Z47" s="60"/>
      <c r="AA47" s="60"/>
      <c r="AB47" s="60"/>
      <c r="AC47" s="60"/>
      <c r="AD47" s="60"/>
      <c r="AE47" s="60"/>
      <c r="AF47" s="60"/>
      <c r="AG47" s="60">
        <v>0.11849999999999999</v>
      </c>
      <c r="AH47" s="61">
        <v>21100</v>
      </c>
      <c r="AI47" s="60">
        <v>0.10097387904511</v>
      </c>
      <c r="AJ47" s="60">
        <v>0.12997397397366101</v>
      </c>
      <c r="AK47" s="60"/>
      <c r="AL47" s="60">
        <v>0.122480368181568</v>
      </c>
      <c r="AM47" s="60">
        <v>0.122308584095193</v>
      </c>
      <c r="AN47" s="60"/>
      <c r="AO47" s="60"/>
      <c r="AP47" s="60"/>
      <c r="AQ47" s="60"/>
      <c r="AR47" s="60">
        <v>0.116720913081135</v>
      </c>
      <c r="AS47" s="60">
        <v>0.126182252090032</v>
      </c>
      <c r="AT47" s="60"/>
      <c r="AU47" s="60"/>
      <c r="AV47" s="60"/>
      <c r="AW47" s="60"/>
      <c r="AX47" s="60"/>
      <c r="AY47" s="60"/>
      <c r="AZ47" s="60">
        <v>0.166410100130403</v>
      </c>
      <c r="BA47" s="60"/>
      <c r="BB47" s="60"/>
      <c r="BC47" s="60"/>
      <c r="BD47" s="60"/>
      <c r="BE47" s="60"/>
      <c r="BF47" s="60"/>
      <c r="BG47" s="60"/>
      <c r="BH47" s="60"/>
      <c r="BI47" s="60"/>
      <c r="BJ47" s="60"/>
      <c r="BK47" s="60">
        <v>0.26540000000000002</v>
      </c>
      <c r="BL47" s="61">
        <v>47300</v>
      </c>
      <c r="BM47" s="60">
        <v>0.27551946678010297</v>
      </c>
      <c r="BN47" s="60">
        <v>0.25485055911957299</v>
      </c>
      <c r="BO47" s="60"/>
      <c r="BP47" s="60">
        <v>0.26740204370604498</v>
      </c>
      <c r="BQ47" s="60">
        <v>0.314576916912292</v>
      </c>
      <c r="BR47" s="60">
        <v>0.51083468328541004</v>
      </c>
      <c r="BS47" s="60"/>
      <c r="BT47" s="60"/>
      <c r="BU47" s="60">
        <v>0.39244447067659</v>
      </c>
      <c r="BV47" s="60">
        <v>0.21165239812199099</v>
      </c>
      <c r="BW47" s="60">
        <v>0.255208032187066</v>
      </c>
      <c r="BX47" s="60"/>
      <c r="BY47" s="60"/>
      <c r="BZ47" s="60"/>
      <c r="CA47" s="60"/>
      <c r="CB47" s="60"/>
      <c r="CC47" s="60"/>
      <c r="CD47" s="60">
        <v>0.16522550791955401</v>
      </c>
      <c r="CE47" s="60">
        <v>0.237597777015748</v>
      </c>
      <c r="CF47" s="60">
        <v>0.38094249013329801</v>
      </c>
      <c r="CG47" s="60"/>
      <c r="CH47" s="60"/>
      <c r="CI47" s="60"/>
      <c r="CJ47" s="60"/>
      <c r="CK47" s="60"/>
      <c r="CL47" s="60"/>
      <c r="CM47" s="60"/>
      <c r="CN47" s="60"/>
      <c r="CO47" s="60">
        <v>0.73460000000000003</v>
      </c>
      <c r="CP47" s="62">
        <v>130800</v>
      </c>
      <c r="CQ47" s="63">
        <v>2.06689076605302E-2</v>
      </c>
      <c r="CR47" s="63">
        <v>-0.215716982213744</v>
      </c>
      <c r="CS47" s="63">
        <v>-0.180792072554599</v>
      </c>
      <c r="CT47" s="63">
        <v>-0.51083468328541004</v>
      </c>
      <c r="CU47" s="163"/>
      <c r="CV47" s="163"/>
      <c r="CW47" s="163"/>
      <c r="CX47" s="158"/>
    </row>
    <row r="48" spans="1:102" hidden="1" x14ac:dyDescent="0.2">
      <c r="A48" s="59" t="s">
        <v>112</v>
      </c>
      <c r="B48" s="59" t="s">
        <v>36</v>
      </c>
      <c r="C48" s="60">
        <v>0.61029999999999995</v>
      </c>
      <c r="D48" s="61">
        <v>109700</v>
      </c>
      <c r="E48" s="60">
        <v>0.63696752738874096</v>
      </c>
      <c r="F48" s="60">
        <v>0.57298678012182602</v>
      </c>
      <c r="G48" s="60">
        <v>0.71684002349475096</v>
      </c>
      <c r="H48" s="60">
        <v>0.60822160772204403</v>
      </c>
      <c r="I48" s="60">
        <v>0.54725064077689101</v>
      </c>
      <c r="J48" s="60">
        <v>0.40032290696321698</v>
      </c>
      <c r="K48" s="60"/>
      <c r="L48" s="60"/>
      <c r="M48" s="60">
        <v>0.45611671242079999</v>
      </c>
      <c r="N48" s="60">
        <v>0.63734172099743502</v>
      </c>
      <c r="O48" s="60">
        <v>0.61149912001886397</v>
      </c>
      <c r="P48" s="60"/>
      <c r="Q48" s="60">
        <v>0.58603183137054804</v>
      </c>
      <c r="R48" s="60"/>
      <c r="S48" s="60"/>
      <c r="T48" s="60"/>
      <c r="U48" s="60"/>
      <c r="V48" s="60">
        <v>0.66712552434643901</v>
      </c>
      <c r="W48" s="60">
        <v>0.62180533376076996</v>
      </c>
      <c r="X48" s="60">
        <v>0.49988199719380999</v>
      </c>
      <c r="Y48" s="60"/>
      <c r="Z48" s="60"/>
      <c r="AA48" s="60"/>
      <c r="AB48" s="60"/>
      <c r="AC48" s="60"/>
      <c r="AD48" s="60"/>
      <c r="AE48" s="60"/>
      <c r="AF48" s="60"/>
      <c r="AG48" s="60">
        <v>0.1227</v>
      </c>
      <c r="AH48" s="61">
        <v>22100</v>
      </c>
      <c r="AI48" s="60">
        <v>0.109276453814424</v>
      </c>
      <c r="AJ48" s="60">
        <v>0.14963280368791801</v>
      </c>
      <c r="AK48" s="60"/>
      <c r="AL48" s="60">
        <v>0.12453362269073601</v>
      </c>
      <c r="AM48" s="60">
        <v>0.160572163166183</v>
      </c>
      <c r="AN48" s="60"/>
      <c r="AO48" s="60"/>
      <c r="AP48" s="60"/>
      <c r="AQ48" s="60"/>
      <c r="AR48" s="60">
        <v>0.14315022286474</v>
      </c>
      <c r="AS48" s="60">
        <v>0.13677903965949201</v>
      </c>
      <c r="AT48" s="60"/>
      <c r="AU48" s="60"/>
      <c r="AV48" s="60"/>
      <c r="AW48" s="60"/>
      <c r="AX48" s="60"/>
      <c r="AY48" s="60"/>
      <c r="AZ48" s="60">
        <v>0.15820543453015001</v>
      </c>
      <c r="BA48" s="60">
        <v>0.14239022423297301</v>
      </c>
      <c r="BB48" s="60"/>
      <c r="BC48" s="60"/>
      <c r="BD48" s="60"/>
      <c r="BE48" s="60"/>
      <c r="BF48" s="60"/>
      <c r="BG48" s="60"/>
      <c r="BH48" s="60"/>
      <c r="BI48" s="60"/>
      <c r="BJ48" s="60"/>
      <c r="BK48" s="60">
        <v>0.26697339084382099</v>
      </c>
      <c r="BL48" s="61">
        <v>48000</v>
      </c>
      <c r="BM48" s="60">
        <v>0.25375601879683501</v>
      </c>
      <c r="BN48" s="60">
        <v>0.277380416190255</v>
      </c>
      <c r="BO48" s="60">
        <v>0.18978417571676201</v>
      </c>
      <c r="BP48" s="60">
        <v>0.26724476958722099</v>
      </c>
      <c r="BQ48" s="60">
        <v>0.29217719605692799</v>
      </c>
      <c r="BR48" s="60">
        <v>0.445533829818553</v>
      </c>
      <c r="BS48" s="60"/>
      <c r="BT48" s="60"/>
      <c r="BU48" s="60">
        <v>0.44537047964834803</v>
      </c>
      <c r="BV48" s="60">
        <v>0.21950805613782401</v>
      </c>
      <c r="BW48" s="60">
        <v>0.25172184032164302</v>
      </c>
      <c r="BX48" s="60"/>
      <c r="BY48" s="60"/>
      <c r="BZ48" s="60"/>
      <c r="CA48" s="60"/>
      <c r="CB48" s="60"/>
      <c r="CC48" s="60"/>
      <c r="CD48" s="60">
        <v>0.174669041123411</v>
      </c>
      <c r="CE48" s="60">
        <v>0.235804442006258</v>
      </c>
      <c r="CF48" s="60">
        <v>0.41639550057177699</v>
      </c>
      <c r="CG48" s="60"/>
      <c r="CH48" s="60"/>
      <c r="CI48" s="60"/>
      <c r="CJ48" s="60"/>
      <c r="CK48" s="60"/>
      <c r="CL48" s="60"/>
      <c r="CM48" s="60"/>
      <c r="CN48" s="60"/>
      <c r="CO48" s="60">
        <v>0.73299999999999998</v>
      </c>
      <c r="CP48" s="62">
        <v>131800</v>
      </c>
      <c r="CQ48" s="63">
        <v>-2.3624397393420499E-2</v>
      </c>
      <c r="CR48" s="63">
        <v>-0.24172645944836599</v>
      </c>
      <c r="CS48" s="63">
        <v>-0.22586242351052399</v>
      </c>
      <c r="CT48" s="63">
        <v>-0.25574965410179001</v>
      </c>
      <c r="CU48" s="163"/>
      <c r="CV48" s="163"/>
      <c r="CW48" s="163"/>
      <c r="CX48" s="158">
        <v>0.1772</v>
      </c>
    </row>
    <row r="49" spans="1:102" hidden="1" x14ac:dyDescent="0.2">
      <c r="A49" s="59" t="s">
        <v>112</v>
      </c>
      <c r="B49" s="59" t="s">
        <v>37</v>
      </c>
      <c r="C49" s="60">
        <v>0.5756</v>
      </c>
      <c r="D49" s="61">
        <v>103700</v>
      </c>
      <c r="E49" s="60">
        <v>0.59206362944086699</v>
      </c>
      <c r="F49" s="60">
        <v>0.55889954626899696</v>
      </c>
      <c r="G49" s="60">
        <v>0.58739879619864999</v>
      </c>
      <c r="H49" s="60">
        <v>0.61824722167883905</v>
      </c>
      <c r="I49" s="60">
        <v>0.59330974879288201</v>
      </c>
      <c r="J49" s="60">
        <v>0.33129992971125499</v>
      </c>
      <c r="K49" s="60"/>
      <c r="L49" s="60"/>
      <c r="M49" s="60">
        <v>0.39013624932088298</v>
      </c>
      <c r="N49" s="60">
        <v>0.61075551855722399</v>
      </c>
      <c r="O49" s="60">
        <v>0.60192444423478697</v>
      </c>
      <c r="P49" s="60"/>
      <c r="Q49" s="60">
        <v>0.52659195106352197</v>
      </c>
      <c r="R49" s="60"/>
      <c r="S49" s="60"/>
      <c r="T49" s="60"/>
      <c r="U49" s="60"/>
      <c r="V49" s="60">
        <v>0.69101889835105401</v>
      </c>
      <c r="W49" s="60">
        <v>0.61958039358953798</v>
      </c>
      <c r="X49" s="60">
        <v>0.48037590462354401</v>
      </c>
      <c r="Y49" s="60"/>
      <c r="Z49" s="60"/>
      <c r="AA49" s="60"/>
      <c r="AB49" s="60"/>
      <c r="AC49" s="60"/>
      <c r="AD49" s="60"/>
      <c r="AE49" s="60"/>
      <c r="AF49" s="60"/>
      <c r="AG49" s="60">
        <v>0.127</v>
      </c>
      <c r="AH49" s="61">
        <v>22900</v>
      </c>
      <c r="AI49" s="60">
        <v>0.11630933766949</v>
      </c>
      <c r="AJ49" s="60">
        <v>0.137346041128483</v>
      </c>
      <c r="AK49" s="60"/>
      <c r="AL49" s="60">
        <v>0.11917910901801999</v>
      </c>
      <c r="AM49" s="60">
        <v>0.14412649288758</v>
      </c>
      <c r="AN49" s="60"/>
      <c r="AO49" s="60"/>
      <c r="AP49" s="60"/>
      <c r="AQ49" s="60">
        <v>0.12597724048869399</v>
      </c>
      <c r="AR49" s="60">
        <v>0.132123910258862</v>
      </c>
      <c r="AS49" s="60">
        <v>0.13690318068090401</v>
      </c>
      <c r="AT49" s="60"/>
      <c r="AU49" s="60"/>
      <c r="AV49" s="60"/>
      <c r="AW49" s="60"/>
      <c r="AX49" s="60"/>
      <c r="AY49" s="60"/>
      <c r="AZ49" s="60">
        <v>0.13759882914830901</v>
      </c>
      <c r="BA49" s="60">
        <v>0.139123240988825</v>
      </c>
      <c r="BB49" s="60"/>
      <c r="BC49" s="60"/>
      <c r="BD49" s="60"/>
      <c r="BE49" s="60"/>
      <c r="BF49" s="60"/>
      <c r="BG49" s="60"/>
      <c r="BH49" s="60"/>
      <c r="BI49" s="60"/>
      <c r="BJ49" s="60"/>
      <c r="BK49" s="60">
        <v>0.2974</v>
      </c>
      <c r="BL49" s="61">
        <v>53600</v>
      </c>
      <c r="BM49" s="60">
        <v>0.29162703288964198</v>
      </c>
      <c r="BN49" s="60">
        <v>0.30375441260252001</v>
      </c>
      <c r="BO49" s="60">
        <v>0.29564138469388002</v>
      </c>
      <c r="BP49" s="60">
        <v>0.26257366930314102</v>
      </c>
      <c r="BQ49" s="60">
        <v>0.26256375831953799</v>
      </c>
      <c r="BR49" s="60">
        <v>0.52767644194144403</v>
      </c>
      <c r="BS49" s="60"/>
      <c r="BT49" s="60"/>
      <c r="BU49" s="60">
        <v>0.483886510190424</v>
      </c>
      <c r="BV49" s="60">
        <v>0.25712057118391302</v>
      </c>
      <c r="BW49" s="60">
        <v>0.26117237508430702</v>
      </c>
      <c r="BX49" s="60"/>
      <c r="BY49" s="60"/>
      <c r="BZ49" s="60"/>
      <c r="CA49" s="60"/>
      <c r="CB49" s="60"/>
      <c r="CC49" s="60"/>
      <c r="CD49" s="60">
        <v>0.17138227250063801</v>
      </c>
      <c r="CE49" s="60">
        <v>0.24129636542163599</v>
      </c>
      <c r="CF49" s="60">
        <v>0.42829208489866799</v>
      </c>
      <c r="CG49" s="60"/>
      <c r="CH49" s="60"/>
      <c r="CI49" s="60"/>
      <c r="CJ49" s="60"/>
      <c r="CK49" s="60"/>
      <c r="CL49" s="60"/>
      <c r="CM49" s="60"/>
      <c r="CN49" s="60"/>
      <c r="CO49" s="60">
        <v>0.7026</v>
      </c>
      <c r="CP49" s="62">
        <v>126600</v>
      </c>
      <c r="CQ49" s="63">
        <v>-1.2127379712877801E-2</v>
      </c>
      <c r="CR49" s="63">
        <v>-0.25690981239803001</v>
      </c>
      <c r="CS49" s="63">
        <v>-0.22676593900650999</v>
      </c>
      <c r="CT49" s="63">
        <v>-0.23203505724756401</v>
      </c>
      <c r="CU49" s="163"/>
      <c r="CV49" s="163"/>
      <c r="CW49" s="163"/>
      <c r="CX49" s="158">
        <v>0.1258</v>
      </c>
    </row>
    <row r="50" spans="1:102" hidden="1" x14ac:dyDescent="0.2">
      <c r="A50" s="59" t="s">
        <v>112</v>
      </c>
      <c r="B50" s="59" t="s">
        <v>38</v>
      </c>
      <c r="C50" s="60">
        <v>0.56583651637582999</v>
      </c>
      <c r="D50" s="61">
        <v>102300</v>
      </c>
      <c r="E50" s="60">
        <v>0.54321201288927601</v>
      </c>
      <c r="F50" s="60">
        <v>0.58773512086437196</v>
      </c>
      <c r="G50" s="60">
        <v>0.53806749674408805</v>
      </c>
      <c r="H50" s="60">
        <v>0.63092241842053498</v>
      </c>
      <c r="I50" s="60">
        <v>0.59091164132326501</v>
      </c>
      <c r="J50" s="60">
        <v>0.33484856769029497</v>
      </c>
      <c r="K50" s="60"/>
      <c r="L50" s="60"/>
      <c r="M50" s="60">
        <v>0.47110173639180303</v>
      </c>
      <c r="N50" s="60">
        <v>0.58664327707164998</v>
      </c>
      <c r="O50" s="60">
        <v>0.60222600117996705</v>
      </c>
      <c r="P50" s="60"/>
      <c r="Q50" s="60">
        <v>0.49491044423748698</v>
      </c>
      <c r="R50" s="60"/>
      <c r="S50" s="60"/>
      <c r="T50" s="60"/>
      <c r="U50" s="60"/>
      <c r="V50" s="60">
        <v>0.652394138377418</v>
      </c>
      <c r="W50" s="60">
        <v>0.57135869926514304</v>
      </c>
      <c r="X50" s="60">
        <v>0.51199733430630801</v>
      </c>
      <c r="Y50" s="60"/>
      <c r="Z50" s="60"/>
      <c r="AA50" s="60"/>
      <c r="AB50" s="60"/>
      <c r="AC50" s="60"/>
      <c r="AD50" s="60"/>
      <c r="AE50" s="60"/>
      <c r="AF50" s="60"/>
      <c r="AG50" s="60">
        <v>0.13452898612137801</v>
      </c>
      <c r="AH50" s="61">
        <v>24300</v>
      </c>
      <c r="AI50" s="60">
        <v>0.14124092043382899</v>
      </c>
      <c r="AJ50" s="60">
        <v>0.12803613784302201</v>
      </c>
      <c r="AK50" s="60">
        <v>0.14996417087585101</v>
      </c>
      <c r="AL50" s="60">
        <v>0.118989197438556</v>
      </c>
      <c r="AM50" s="60">
        <v>0.123702784887358</v>
      </c>
      <c r="AN50" s="60"/>
      <c r="AO50" s="60"/>
      <c r="AP50" s="60"/>
      <c r="AQ50" s="60">
        <v>0.14719589188549501</v>
      </c>
      <c r="AR50" s="60">
        <v>0.136067008884733</v>
      </c>
      <c r="AS50" s="60">
        <v>0.14258563231435201</v>
      </c>
      <c r="AT50" s="60"/>
      <c r="AU50" s="60"/>
      <c r="AV50" s="60"/>
      <c r="AW50" s="60"/>
      <c r="AX50" s="60"/>
      <c r="AY50" s="60"/>
      <c r="AZ50" s="60">
        <v>0.15717044257309301</v>
      </c>
      <c r="BA50" s="60">
        <v>0.13694709322387</v>
      </c>
      <c r="BB50" s="60">
        <v>9.4307457178569795E-2</v>
      </c>
      <c r="BC50" s="60"/>
      <c r="BD50" s="60"/>
      <c r="BE50" s="60"/>
      <c r="BF50" s="60"/>
      <c r="BG50" s="60"/>
      <c r="BH50" s="60"/>
      <c r="BI50" s="60"/>
      <c r="BJ50" s="60"/>
      <c r="BK50" s="60">
        <v>0.29963449750279098</v>
      </c>
      <c r="BL50" s="61">
        <v>54200</v>
      </c>
      <c r="BM50" s="60">
        <v>0.31554706667689503</v>
      </c>
      <c r="BN50" s="60">
        <v>0.284228741292607</v>
      </c>
      <c r="BO50" s="60">
        <v>0.311968332380061</v>
      </c>
      <c r="BP50" s="60">
        <v>0.250088384140909</v>
      </c>
      <c r="BQ50" s="60">
        <v>0.28538557378937601</v>
      </c>
      <c r="BR50" s="60">
        <v>0.499750514571421</v>
      </c>
      <c r="BS50" s="60"/>
      <c r="BT50" s="60"/>
      <c r="BU50" s="60">
        <v>0.38170237172270399</v>
      </c>
      <c r="BV50" s="60">
        <v>0.27728971404361802</v>
      </c>
      <c r="BW50" s="60">
        <v>0.255188366505681</v>
      </c>
      <c r="BX50" s="60"/>
      <c r="BY50" s="60">
        <v>0.43468744842048501</v>
      </c>
      <c r="BZ50" s="60"/>
      <c r="CA50" s="60"/>
      <c r="CB50" s="60"/>
      <c r="CC50" s="60"/>
      <c r="CD50" s="60">
        <v>0.19043541904948899</v>
      </c>
      <c r="CE50" s="60">
        <v>0.29169420751098601</v>
      </c>
      <c r="CF50" s="60">
        <v>0.39369520851512102</v>
      </c>
      <c r="CG50" s="60"/>
      <c r="CH50" s="60"/>
      <c r="CI50" s="60"/>
      <c r="CJ50" s="60"/>
      <c r="CK50" s="60"/>
      <c r="CL50" s="60"/>
      <c r="CM50" s="60"/>
      <c r="CN50" s="60"/>
      <c r="CO50" s="60">
        <v>0.70036550249720797</v>
      </c>
      <c r="CP50" s="62">
        <v>126600</v>
      </c>
      <c r="CQ50" s="63">
        <v>3.1318325384287499E-2</v>
      </c>
      <c r="CR50" s="63">
        <v>-0.203259789465632</v>
      </c>
      <c r="CS50" s="63">
        <v>-0.104412657679086</v>
      </c>
      <c r="CT50" s="63">
        <v>-0.18778218219136</v>
      </c>
      <c r="CU50" s="163"/>
      <c r="CV50" s="163"/>
      <c r="CW50" s="163"/>
      <c r="CX50" s="158">
        <v>0.12239999999999999</v>
      </c>
    </row>
    <row r="51" spans="1:102" hidden="1" x14ac:dyDescent="0.2">
      <c r="A51" s="59" t="s">
        <v>112</v>
      </c>
      <c r="B51" s="59" t="s">
        <v>39</v>
      </c>
      <c r="C51" s="60">
        <v>0.559144820317378</v>
      </c>
      <c r="D51" s="61">
        <v>101100</v>
      </c>
      <c r="E51" s="60">
        <v>0.54364204908540703</v>
      </c>
      <c r="F51" s="60">
        <v>0.57417060333556902</v>
      </c>
      <c r="G51" s="60">
        <v>0.575273432853045</v>
      </c>
      <c r="H51" s="60">
        <v>0.61965279463475997</v>
      </c>
      <c r="I51" s="60">
        <v>0.54613208034577898</v>
      </c>
      <c r="J51" s="60">
        <v>0.324026647757438</v>
      </c>
      <c r="K51" s="60">
        <v>0.59746864762982999</v>
      </c>
      <c r="L51" s="60">
        <v>0.48916736658142601</v>
      </c>
      <c r="M51" s="60">
        <v>0.44777925455610401</v>
      </c>
      <c r="N51" s="60">
        <v>0.59164573559479905</v>
      </c>
      <c r="O51" s="60">
        <v>0.58154132963079797</v>
      </c>
      <c r="P51" s="60"/>
      <c r="Q51" s="60">
        <v>0.54486098362409496</v>
      </c>
      <c r="R51" s="60"/>
      <c r="S51" s="60"/>
      <c r="T51" s="60"/>
      <c r="U51" s="60"/>
      <c r="V51" s="60">
        <v>0.61604262002965704</v>
      </c>
      <c r="W51" s="60">
        <v>0.53777201092261795</v>
      </c>
      <c r="X51" s="60">
        <v>0.50746848962411095</v>
      </c>
      <c r="Y51" s="60">
        <v>0.69631990126485599</v>
      </c>
      <c r="Z51" s="60"/>
      <c r="AA51" s="60"/>
      <c r="AB51" s="60"/>
      <c r="AC51" s="60"/>
      <c r="AD51" s="60"/>
      <c r="AE51" s="60"/>
      <c r="AF51" s="60"/>
      <c r="AG51" s="60">
        <v>0.12501918307024701</v>
      </c>
      <c r="AH51" s="61">
        <v>22600</v>
      </c>
      <c r="AI51" s="60">
        <v>0.124390669923823</v>
      </c>
      <c r="AJ51" s="60">
        <v>0.125722514330534</v>
      </c>
      <c r="AK51" s="60"/>
      <c r="AL51" s="60">
        <v>0.118179668826859</v>
      </c>
      <c r="AM51" s="60">
        <v>0.11338826730045901</v>
      </c>
      <c r="AN51" s="60"/>
      <c r="AO51" s="60">
        <v>0.12327315005758301</v>
      </c>
      <c r="AP51" s="60">
        <v>0.12538319025227301</v>
      </c>
      <c r="AQ51" s="60"/>
      <c r="AR51" s="60">
        <v>0.12904916470192301</v>
      </c>
      <c r="AS51" s="60">
        <v>0.12787371620122701</v>
      </c>
      <c r="AT51" s="60"/>
      <c r="AU51" s="60"/>
      <c r="AV51" s="60"/>
      <c r="AW51" s="60"/>
      <c r="AX51" s="60"/>
      <c r="AY51" s="60"/>
      <c r="AZ51" s="60">
        <v>0.13722579911934099</v>
      </c>
      <c r="BA51" s="60">
        <v>0.149574549252869</v>
      </c>
      <c r="BB51" s="60"/>
      <c r="BC51" s="60"/>
      <c r="BD51" s="60"/>
      <c r="BE51" s="60"/>
      <c r="BF51" s="60"/>
      <c r="BG51" s="60"/>
      <c r="BH51" s="60"/>
      <c r="BI51" s="60"/>
      <c r="BJ51" s="60"/>
      <c r="BK51" s="60">
        <v>0.31583599661237599</v>
      </c>
      <c r="BL51" s="61">
        <v>57100</v>
      </c>
      <c r="BM51" s="60">
        <v>0.331967280990769</v>
      </c>
      <c r="BN51" s="60">
        <v>0.30010688233389399</v>
      </c>
      <c r="BO51" s="60">
        <v>0.29635739469769101</v>
      </c>
      <c r="BP51" s="60">
        <v>0.26216753653838099</v>
      </c>
      <c r="BQ51" s="60">
        <v>0.34047965235376199</v>
      </c>
      <c r="BR51" s="60">
        <v>0.51581687748481397</v>
      </c>
      <c r="BS51" s="60">
        <v>0.27925820231258702</v>
      </c>
      <c r="BT51" s="60">
        <v>0.38544944316630098</v>
      </c>
      <c r="BU51" s="60">
        <v>0.43419517406013602</v>
      </c>
      <c r="BV51" s="60">
        <v>0.27930509970327799</v>
      </c>
      <c r="BW51" s="60">
        <v>0.29058495416797497</v>
      </c>
      <c r="BX51" s="60"/>
      <c r="BY51" s="60">
        <v>0.41032750730344603</v>
      </c>
      <c r="BZ51" s="60"/>
      <c r="CA51" s="60"/>
      <c r="CB51" s="60"/>
      <c r="CC51" s="60"/>
      <c r="CD51" s="60">
        <v>0.246731580851002</v>
      </c>
      <c r="CE51" s="60">
        <v>0.31265343982451199</v>
      </c>
      <c r="CF51" s="60">
        <v>0.39392991574684999</v>
      </c>
      <c r="CG51" s="60"/>
      <c r="CH51" s="60"/>
      <c r="CI51" s="60"/>
      <c r="CJ51" s="60"/>
      <c r="CK51" s="60"/>
      <c r="CL51" s="60"/>
      <c r="CM51" s="60"/>
      <c r="CN51" s="60"/>
      <c r="CO51" s="60">
        <v>0.68416400338762495</v>
      </c>
      <c r="CP51" s="62">
        <v>123700</v>
      </c>
      <c r="CQ51" s="63">
        <v>3.18603986568749E-2</v>
      </c>
      <c r="CR51" s="63">
        <v>-0.14719833489584799</v>
      </c>
      <c r="CS51" s="63">
        <v>-0.154890074356859</v>
      </c>
      <c r="CT51" s="63">
        <v>-0.21945948278712299</v>
      </c>
      <c r="CU51" s="163">
        <v>0.386108019088724</v>
      </c>
      <c r="CV51" s="163">
        <v>0.30853047571252801</v>
      </c>
      <c r="CW51" s="163">
        <v>0.55524442598823898</v>
      </c>
      <c r="CX51" s="158">
        <v>0.1125</v>
      </c>
    </row>
    <row r="52" spans="1:102" hidden="1" x14ac:dyDescent="0.2">
      <c r="A52" s="59" t="s">
        <v>112</v>
      </c>
      <c r="B52" s="59" t="s">
        <v>40</v>
      </c>
      <c r="C52" s="60">
        <v>0.55979999999999996</v>
      </c>
      <c r="D52" s="61">
        <v>102100</v>
      </c>
      <c r="E52" s="60">
        <v>0.58479999999999999</v>
      </c>
      <c r="F52" s="60">
        <v>0.54200000000000004</v>
      </c>
      <c r="G52" s="60">
        <v>0.60799999999999998</v>
      </c>
      <c r="H52" s="60">
        <v>0.57609999999999995</v>
      </c>
      <c r="I52" s="60">
        <v>0.55400000000000005</v>
      </c>
      <c r="J52" s="60">
        <v>0.35249999999999998</v>
      </c>
      <c r="K52" s="60">
        <v>0.59140000000000004</v>
      </c>
      <c r="L52" s="60">
        <v>0.50290000000000001</v>
      </c>
      <c r="M52" s="60">
        <v>0.39190000000000003</v>
      </c>
      <c r="N52" s="60">
        <v>0.61799999999999999</v>
      </c>
      <c r="O52" s="60">
        <v>0.57430000000000003</v>
      </c>
      <c r="P52" s="60"/>
      <c r="Q52" s="60">
        <v>0.55879999999999996</v>
      </c>
      <c r="R52" s="60"/>
      <c r="S52" s="60"/>
      <c r="T52" s="60"/>
      <c r="U52" s="60"/>
      <c r="V52" s="60">
        <v>0.64549999999999996</v>
      </c>
      <c r="W52" s="60">
        <v>0.53669999999999995</v>
      </c>
      <c r="X52" s="60">
        <v>0.50849999999999995</v>
      </c>
      <c r="Y52" s="60">
        <v>0.6522</v>
      </c>
      <c r="Z52" s="60">
        <v>0.61429999999999996</v>
      </c>
      <c r="AA52" s="60"/>
      <c r="AB52" s="60">
        <v>0.49509999999999998</v>
      </c>
      <c r="AC52" s="60"/>
      <c r="AD52" s="60"/>
      <c r="AE52" s="60"/>
      <c r="AF52" s="60"/>
      <c r="AG52" s="60">
        <v>0.1167</v>
      </c>
      <c r="AH52" s="61">
        <v>21300</v>
      </c>
      <c r="AI52" s="60">
        <v>0.1134</v>
      </c>
      <c r="AJ52" s="60">
        <v>0.1203</v>
      </c>
      <c r="AK52" s="60"/>
      <c r="AL52" s="60">
        <v>0.13689999999999999</v>
      </c>
      <c r="AM52" s="60">
        <v>0.1234</v>
      </c>
      <c r="AN52" s="60"/>
      <c r="AO52" s="60">
        <v>0.1142</v>
      </c>
      <c r="AP52" s="60">
        <v>0.123</v>
      </c>
      <c r="AQ52" s="60"/>
      <c r="AR52" s="60">
        <v>0.1139</v>
      </c>
      <c r="AS52" s="60">
        <v>0.1242</v>
      </c>
      <c r="AT52" s="60"/>
      <c r="AU52" s="60"/>
      <c r="AV52" s="60"/>
      <c r="AW52" s="60"/>
      <c r="AX52" s="60"/>
      <c r="AY52" s="60"/>
      <c r="AZ52" s="60">
        <v>0.1305</v>
      </c>
      <c r="BA52" s="60">
        <v>0.14849999999999999</v>
      </c>
      <c r="BB52" s="60"/>
      <c r="BC52" s="60"/>
      <c r="BD52" s="60">
        <v>0.10970000000000001</v>
      </c>
      <c r="BE52" s="60"/>
      <c r="BF52" s="60">
        <v>0.1386</v>
      </c>
      <c r="BG52" s="60"/>
      <c r="BH52" s="60"/>
      <c r="BI52" s="60"/>
      <c r="BJ52" s="60"/>
      <c r="BK52" s="60">
        <v>0.32350000000000001</v>
      </c>
      <c r="BL52" s="61">
        <v>59000</v>
      </c>
      <c r="BM52" s="60">
        <v>0.30180000000000001</v>
      </c>
      <c r="BN52" s="60">
        <v>0.3377</v>
      </c>
      <c r="BO52" s="60">
        <v>0.30230000000000001</v>
      </c>
      <c r="BP52" s="60">
        <v>0.28699999999999998</v>
      </c>
      <c r="BQ52" s="60">
        <v>0.3226</v>
      </c>
      <c r="BR52" s="60">
        <v>0.52590000000000003</v>
      </c>
      <c r="BS52" s="60">
        <v>0.2944</v>
      </c>
      <c r="BT52" s="60">
        <v>0.37409999999999999</v>
      </c>
      <c r="BU52" s="60">
        <v>0.49730000000000002</v>
      </c>
      <c r="BV52" s="60">
        <v>0.2681</v>
      </c>
      <c r="BW52" s="60">
        <v>0.30149999999999999</v>
      </c>
      <c r="BX52" s="60"/>
      <c r="BY52" s="60">
        <v>0.34839999999999999</v>
      </c>
      <c r="BZ52" s="60"/>
      <c r="CA52" s="60"/>
      <c r="CB52" s="60"/>
      <c r="CC52" s="60"/>
      <c r="CD52" s="60">
        <v>0.224</v>
      </c>
      <c r="CE52" s="60">
        <v>0.31469999999999998</v>
      </c>
      <c r="CF52" s="60">
        <v>0.38350000000000001</v>
      </c>
      <c r="CG52" s="60"/>
      <c r="CH52" s="60">
        <v>0.27610000000000001</v>
      </c>
      <c r="CI52" s="60"/>
      <c r="CJ52" s="60">
        <v>0.3664</v>
      </c>
      <c r="CK52" s="60"/>
      <c r="CL52" s="60"/>
      <c r="CM52" s="60"/>
      <c r="CN52" s="60"/>
      <c r="CO52" s="60">
        <v>0.67649999999999999</v>
      </c>
      <c r="CP52" s="62">
        <v>123400</v>
      </c>
      <c r="CQ52" s="63">
        <v>-3.5900000000000001E-2</v>
      </c>
      <c r="CR52" s="63">
        <v>-0.1595</v>
      </c>
      <c r="CS52" s="63">
        <v>-0.22919999999999999</v>
      </c>
      <c r="CT52" s="63">
        <v>-0.22359999999999999</v>
      </c>
      <c r="CU52" s="163">
        <v>0.3725</v>
      </c>
      <c r="CV52" s="163">
        <v>0.29909999999999998</v>
      </c>
      <c r="CW52" s="163">
        <v>0.5363</v>
      </c>
      <c r="CX52" s="158">
        <v>7.7200000000000005E-2</v>
      </c>
    </row>
    <row r="53" spans="1:102" hidden="1" x14ac:dyDescent="0.2">
      <c r="A53" s="59" t="s">
        <v>112</v>
      </c>
      <c r="B53" s="59" t="s">
        <v>41</v>
      </c>
      <c r="C53" s="60">
        <v>0.55757342867665105</v>
      </c>
      <c r="D53" s="61">
        <v>101700</v>
      </c>
      <c r="E53" s="60">
        <v>0.56938690141036297</v>
      </c>
      <c r="F53" s="60">
        <v>0.55193259094610203</v>
      </c>
      <c r="G53" s="60">
        <v>0.53844954093471797</v>
      </c>
      <c r="H53" s="60">
        <v>0.56874370984646805</v>
      </c>
      <c r="I53" s="60">
        <v>0.57405445659042198</v>
      </c>
      <c r="J53" s="60">
        <v>0.50917015130912002</v>
      </c>
      <c r="K53" s="60">
        <v>0.55469580689295095</v>
      </c>
      <c r="L53" s="60">
        <v>0.56122429487202696</v>
      </c>
      <c r="M53" s="60">
        <v>0.396221942092079</v>
      </c>
      <c r="N53" s="60">
        <v>0.61421037488938302</v>
      </c>
      <c r="O53" s="60">
        <v>0.61031446328450001</v>
      </c>
      <c r="P53" s="60"/>
      <c r="Q53" s="60">
        <v>0.43053970887836301</v>
      </c>
      <c r="R53" s="60"/>
      <c r="S53" s="60"/>
      <c r="T53" s="60"/>
      <c r="U53" s="60"/>
      <c r="V53" s="60">
        <v>0.64792543618995102</v>
      </c>
      <c r="W53" s="60">
        <v>0.541039042813937</v>
      </c>
      <c r="X53" s="60">
        <v>0.51305866055335503</v>
      </c>
      <c r="Y53" s="60"/>
      <c r="Z53" s="60">
        <v>0.62177058504707206</v>
      </c>
      <c r="AA53" s="60"/>
      <c r="AB53" s="60">
        <v>0.54160280507979097</v>
      </c>
      <c r="AC53" s="60"/>
      <c r="AD53" s="60"/>
      <c r="AE53" s="60"/>
      <c r="AF53" s="60"/>
      <c r="AG53" s="60">
        <v>0.117169850500455</v>
      </c>
      <c r="AH53" s="61">
        <v>21400</v>
      </c>
      <c r="AI53" s="60">
        <v>0.117004779043631</v>
      </c>
      <c r="AJ53" s="60">
        <v>0.118966969526473</v>
      </c>
      <c r="AK53" s="60">
        <v>9.9963850441549207E-2</v>
      </c>
      <c r="AL53" s="60">
        <v>0.12581913556089999</v>
      </c>
      <c r="AM53" s="60">
        <v>0.127787868148524</v>
      </c>
      <c r="AN53" s="60">
        <v>0.114875690378345</v>
      </c>
      <c r="AO53" s="60">
        <v>0.11382961582031199</v>
      </c>
      <c r="AP53" s="60">
        <v>0.12523462621721501</v>
      </c>
      <c r="AQ53" s="60">
        <v>0.108728983294076</v>
      </c>
      <c r="AR53" s="60">
        <v>0.108717432814458</v>
      </c>
      <c r="AS53" s="60">
        <v>0.120006958714252</v>
      </c>
      <c r="AT53" s="60"/>
      <c r="AU53" s="60"/>
      <c r="AV53" s="60"/>
      <c r="AW53" s="60"/>
      <c r="AX53" s="60"/>
      <c r="AY53" s="60"/>
      <c r="AZ53" s="60">
        <v>0.135452382194031</v>
      </c>
      <c r="BA53" s="60"/>
      <c r="BB53" s="60"/>
      <c r="BC53" s="60"/>
      <c r="BD53" s="60">
        <v>0.112107803238422</v>
      </c>
      <c r="BE53" s="60"/>
      <c r="BF53" s="60">
        <v>0.13532974143708301</v>
      </c>
      <c r="BG53" s="60"/>
      <c r="BH53" s="60"/>
      <c r="BI53" s="60"/>
      <c r="BJ53" s="60"/>
      <c r="BK53" s="60">
        <v>0.32525672082289298</v>
      </c>
      <c r="BL53" s="61">
        <v>59300</v>
      </c>
      <c r="BM53" s="60">
        <v>0.31360831954600499</v>
      </c>
      <c r="BN53" s="60">
        <v>0.32910043952742501</v>
      </c>
      <c r="BO53" s="60">
        <v>0.36158660862373299</v>
      </c>
      <c r="BP53" s="60">
        <v>0.30543715459263199</v>
      </c>
      <c r="BQ53" s="60">
        <v>0.29815767526105502</v>
      </c>
      <c r="BR53" s="60">
        <v>0.37595415831253498</v>
      </c>
      <c r="BS53" s="60">
        <v>0.33147457728673602</v>
      </c>
      <c r="BT53" s="60">
        <v>0.313541078910759</v>
      </c>
      <c r="BU53" s="60">
        <v>0.49504907461384501</v>
      </c>
      <c r="BV53" s="60">
        <v>0.27707219229615898</v>
      </c>
      <c r="BW53" s="60">
        <v>0.26967857800124601</v>
      </c>
      <c r="BX53" s="60"/>
      <c r="BY53" s="60">
        <v>0.45108570090886602</v>
      </c>
      <c r="BZ53" s="60"/>
      <c r="CA53" s="60"/>
      <c r="CB53" s="60"/>
      <c r="CC53" s="60"/>
      <c r="CD53" s="60">
        <v>0.21662218161601801</v>
      </c>
      <c r="CE53" s="60">
        <v>0.33843564596972098</v>
      </c>
      <c r="CF53" s="60">
        <v>0.35470569473271202</v>
      </c>
      <c r="CG53" s="60"/>
      <c r="CH53" s="60">
        <v>0.26612161171450499</v>
      </c>
      <c r="CI53" s="60"/>
      <c r="CJ53" s="60">
        <v>0.32306745348312599</v>
      </c>
      <c r="CK53" s="60"/>
      <c r="CL53" s="60"/>
      <c r="CM53" s="60"/>
      <c r="CN53" s="60"/>
      <c r="CO53" s="60">
        <v>0.67474327917710597</v>
      </c>
      <c r="CP53" s="62">
        <v>123100</v>
      </c>
      <c r="CQ53" s="63">
        <v>-1.54921199814201E-2</v>
      </c>
      <c r="CR53" s="63">
        <v>-0.13808351311669501</v>
      </c>
      <c r="CS53" s="63">
        <v>-0.217976882317686</v>
      </c>
      <c r="CT53" s="63">
        <v>-1.4367549688801299E-2</v>
      </c>
      <c r="CU53" s="163">
        <v>0.37295093017666803</v>
      </c>
      <c r="CV53" s="163">
        <v>0.326501811650384</v>
      </c>
      <c r="CW53" s="163">
        <v>0.57340701123806803</v>
      </c>
      <c r="CX53" s="158">
        <v>0.10879999999999999</v>
      </c>
    </row>
    <row r="54" spans="1:102" hidden="1" x14ac:dyDescent="0.2">
      <c r="A54" s="59" t="s">
        <v>112</v>
      </c>
      <c r="B54" s="59" t="s">
        <v>155</v>
      </c>
      <c r="C54" s="60">
        <v>0.57509999999999994</v>
      </c>
      <c r="D54" s="61">
        <v>105700</v>
      </c>
      <c r="E54" s="60">
        <v>0.58342136607974704</v>
      </c>
      <c r="F54" s="60">
        <v>0.56801506821701597</v>
      </c>
      <c r="G54" s="60">
        <v>0.56856474371814902</v>
      </c>
      <c r="H54" s="60">
        <v>0.595348606256215</v>
      </c>
      <c r="I54" s="60">
        <v>0.58963895790552501</v>
      </c>
      <c r="J54" s="60">
        <v>0.46042745326657197</v>
      </c>
      <c r="K54" s="60">
        <v>0.582058157454867</v>
      </c>
      <c r="L54" s="60">
        <v>0.56448354202229201</v>
      </c>
      <c r="M54" s="60">
        <v>0.41395398700062902</v>
      </c>
      <c r="N54" s="60">
        <v>0.61127723301640402</v>
      </c>
      <c r="O54" s="60">
        <v>0.63084076410755396</v>
      </c>
      <c r="P54" s="60"/>
      <c r="Q54" s="60">
        <v>0.414766252689376</v>
      </c>
      <c r="R54" s="60"/>
      <c r="S54" s="60"/>
      <c r="T54" s="60"/>
      <c r="U54" s="60"/>
      <c r="V54" s="60">
        <v>0.65265733258737402</v>
      </c>
      <c r="W54" s="60">
        <v>0.57504899308038804</v>
      </c>
      <c r="X54" s="60">
        <v>0.522139837544915</v>
      </c>
      <c r="Y54" s="60">
        <v>0.54904995635537002</v>
      </c>
      <c r="Z54" s="60">
        <v>0.62647678855917899</v>
      </c>
      <c r="AA54" s="60"/>
      <c r="AB54" s="60">
        <v>0.552082165167328</v>
      </c>
      <c r="AC54" s="60"/>
      <c r="AD54" s="60"/>
      <c r="AE54" s="60"/>
      <c r="AF54" s="60"/>
      <c r="AG54" s="60">
        <v>0.12659999999999999</v>
      </c>
      <c r="AH54" s="61">
        <v>23300</v>
      </c>
      <c r="AI54" s="60">
        <v>0.120247937397454</v>
      </c>
      <c r="AJ54" s="60">
        <v>0.13413744550592199</v>
      </c>
      <c r="AK54" s="60"/>
      <c r="AL54" s="60">
        <v>0.114912667576513</v>
      </c>
      <c r="AM54" s="60">
        <v>0.112925892513373</v>
      </c>
      <c r="AN54" s="60"/>
      <c r="AO54" s="60">
        <v>0.134607175803723</v>
      </c>
      <c r="AP54" s="60">
        <v>0.112832633044485</v>
      </c>
      <c r="AQ54" s="60"/>
      <c r="AR54" s="60">
        <v>0.128753442646074</v>
      </c>
      <c r="AS54" s="60">
        <v>0.116187631533297</v>
      </c>
      <c r="AT54" s="60"/>
      <c r="AU54" s="60">
        <v>0.165523673749744</v>
      </c>
      <c r="AV54" s="60"/>
      <c r="AW54" s="60"/>
      <c r="AX54" s="60"/>
      <c r="AY54" s="60"/>
      <c r="AZ54" s="60">
        <v>0.11971957099354801</v>
      </c>
      <c r="BA54" s="60">
        <v>0.14483035788293599</v>
      </c>
      <c r="BB54" s="60"/>
      <c r="BC54" s="60"/>
      <c r="BD54" s="60">
        <v>0.12660248488565101</v>
      </c>
      <c r="BE54" s="60"/>
      <c r="BF54" s="60">
        <v>0.107989868196754</v>
      </c>
      <c r="BG54" s="60"/>
      <c r="BH54" s="60"/>
      <c r="BI54" s="60"/>
      <c r="BJ54" s="60"/>
      <c r="BK54" s="60">
        <v>0.29830000000000001</v>
      </c>
      <c r="BL54" s="61">
        <v>54800</v>
      </c>
      <c r="BM54" s="60">
        <v>0.29633069652279997</v>
      </c>
      <c r="BN54" s="60">
        <v>0.29784748627706098</v>
      </c>
      <c r="BO54" s="60">
        <v>0.27683280779599201</v>
      </c>
      <c r="BP54" s="60">
        <v>0.28973872616727198</v>
      </c>
      <c r="BQ54" s="60">
        <v>0.29743514958110201</v>
      </c>
      <c r="BR54" s="60">
        <v>0.42712568411774399</v>
      </c>
      <c r="BS54" s="60">
        <v>0.283334666741411</v>
      </c>
      <c r="BT54" s="60">
        <v>0.32268382493322301</v>
      </c>
      <c r="BU54" s="60">
        <v>0.46780340596456299</v>
      </c>
      <c r="BV54" s="60">
        <v>0.25996932433752401</v>
      </c>
      <c r="BW54" s="60">
        <v>0.252971604359149</v>
      </c>
      <c r="BX54" s="60"/>
      <c r="BY54" s="60">
        <v>0.41971007356088003</v>
      </c>
      <c r="BZ54" s="60"/>
      <c r="CA54" s="60"/>
      <c r="CB54" s="60"/>
      <c r="CC54" s="60"/>
      <c r="CD54" s="60">
        <v>0.22762309641907899</v>
      </c>
      <c r="CE54" s="60">
        <v>0.28012064903667599</v>
      </c>
      <c r="CF54" s="60">
        <v>0.346725093426338</v>
      </c>
      <c r="CG54" s="60">
        <v>0.33682941182445603</v>
      </c>
      <c r="CH54" s="60">
        <v>0.246920726555171</v>
      </c>
      <c r="CI54" s="60"/>
      <c r="CJ54" s="60">
        <v>0.33992796663591801</v>
      </c>
      <c r="CK54" s="60"/>
      <c r="CL54" s="60"/>
      <c r="CM54" s="60"/>
      <c r="CN54" s="60"/>
      <c r="CO54" s="60">
        <v>0.70169999999999999</v>
      </c>
      <c r="CP54" s="62">
        <v>129000</v>
      </c>
      <c r="CQ54" s="63">
        <v>-1.5167897542617799E-3</v>
      </c>
      <c r="CR54" s="63">
        <v>-0.119101997007259</v>
      </c>
      <c r="CS54" s="63">
        <v>-0.20783408162703901</v>
      </c>
      <c r="CT54" s="63">
        <v>-0.15029287632175301</v>
      </c>
      <c r="CU54" s="163">
        <v>0.383355965007875</v>
      </c>
      <c r="CV54" s="163">
        <v>0.30837917890855998</v>
      </c>
      <c r="CW54" s="163">
        <v>0.573338280801864</v>
      </c>
      <c r="CX54" s="158"/>
    </row>
    <row r="55" spans="1:102" hidden="1" x14ac:dyDescent="0.2">
      <c r="A55" s="59" t="s">
        <v>112</v>
      </c>
      <c r="B55" s="59" t="s">
        <v>42</v>
      </c>
      <c r="C55" s="60">
        <v>-4.1000000000000002E-2</v>
      </c>
      <c r="D55" s="61"/>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v>8.0999999999999996E-3</v>
      </c>
      <c r="AH55" s="61"/>
      <c r="AI55" s="60">
        <v>1.9274058352344099E-2</v>
      </c>
      <c r="AJ55" s="60">
        <v>4.16347153226074E-3</v>
      </c>
      <c r="AK55" s="60">
        <v>0</v>
      </c>
      <c r="AL55" s="60">
        <v>-7.5677006050550001E-3</v>
      </c>
      <c r="AM55" s="60">
        <v>-9.3826915818195199E-3</v>
      </c>
      <c r="AN55" s="60">
        <v>0</v>
      </c>
      <c r="AO55" s="60">
        <v>0.134607175803723</v>
      </c>
      <c r="AP55" s="60">
        <v>0.112832633044485</v>
      </c>
      <c r="AQ55" s="60">
        <v>0</v>
      </c>
      <c r="AR55" s="60">
        <v>1.20325295649389E-2</v>
      </c>
      <c r="AS55" s="60">
        <v>-9.9946205567352005E-3</v>
      </c>
      <c r="AT55" s="60">
        <v>0</v>
      </c>
      <c r="AU55" s="60">
        <v>0.165523673749744</v>
      </c>
      <c r="AV55" s="60">
        <v>0</v>
      </c>
      <c r="AW55" s="60">
        <v>0</v>
      </c>
      <c r="AX55" s="60">
        <v>0</v>
      </c>
      <c r="AY55" s="60">
        <v>0</v>
      </c>
      <c r="AZ55" s="60">
        <v>-4.6690529136855202E-2</v>
      </c>
      <c r="BA55" s="60">
        <v>0.14483035788293599</v>
      </c>
      <c r="BB55" s="60">
        <v>0</v>
      </c>
      <c r="BC55" s="60">
        <v>0</v>
      </c>
      <c r="BD55" s="60">
        <v>0.12660248488565101</v>
      </c>
      <c r="BE55" s="60">
        <v>0</v>
      </c>
      <c r="BF55" s="60">
        <v>0.107989868196754</v>
      </c>
      <c r="BG55" s="60">
        <v>0</v>
      </c>
      <c r="BH55" s="60">
        <v>0</v>
      </c>
      <c r="BI55" s="60">
        <v>0</v>
      </c>
      <c r="BJ55" s="60">
        <v>0</v>
      </c>
      <c r="BK55" s="60">
        <v>3.2899999999999999E-2</v>
      </c>
      <c r="BL55" s="61"/>
      <c r="BM55" s="60">
        <v>2.0811229742696401E-2</v>
      </c>
      <c r="BN55" s="60">
        <v>4.2996927157488402E-2</v>
      </c>
      <c r="BO55" s="60">
        <v>0.27683280779599201</v>
      </c>
      <c r="BP55" s="60">
        <v>2.2336682461227299E-2</v>
      </c>
      <c r="BQ55" s="60">
        <v>-1.71417673311903E-2</v>
      </c>
      <c r="BR55" s="60">
        <v>-8.3708999167665804E-2</v>
      </c>
      <c r="BS55" s="60">
        <v>0.283334666741411</v>
      </c>
      <c r="BT55" s="60">
        <v>0.32268382493322301</v>
      </c>
      <c r="BU55" s="60">
        <v>7.5358935287972897E-2</v>
      </c>
      <c r="BV55" s="60">
        <v>4.8316926215533199E-2</v>
      </c>
      <c r="BW55" s="60">
        <v>-2.2364278279162798E-3</v>
      </c>
      <c r="BX55" s="60">
        <v>0</v>
      </c>
      <c r="BY55" s="60">
        <v>0.41971007356088003</v>
      </c>
      <c r="BZ55" s="60">
        <v>0</v>
      </c>
      <c r="CA55" s="60">
        <v>0</v>
      </c>
      <c r="CB55" s="60">
        <v>0</v>
      </c>
      <c r="CC55" s="60">
        <v>0</v>
      </c>
      <c r="CD55" s="60">
        <v>6.2397588499525203E-2</v>
      </c>
      <c r="CE55" s="60">
        <v>4.2522872020928901E-2</v>
      </c>
      <c r="CF55" s="60">
        <v>-3.4217396706959301E-2</v>
      </c>
      <c r="CG55" s="60">
        <v>0.33682941182445603</v>
      </c>
      <c r="CH55" s="60">
        <v>0.246920726555171</v>
      </c>
      <c r="CI55" s="60">
        <v>0</v>
      </c>
      <c r="CJ55" s="60">
        <v>0.33992796663591801</v>
      </c>
      <c r="CK55" s="60">
        <v>0</v>
      </c>
      <c r="CL55" s="60">
        <v>0</v>
      </c>
      <c r="CM55" s="60">
        <v>0</v>
      </c>
      <c r="CN55" s="60">
        <v>0</v>
      </c>
      <c r="CO55" s="60">
        <v>-3.2899999999999902E-2</v>
      </c>
      <c r="CP55" s="62">
        <v>-1800</v>
      </c>
      <c r="CQ55" s="63">
        <v>-2.2185697414792E-2</v>
      </c>
      <c r="CR55" s="63">
        <v>9.6614985206484497E-2</v>
      </c>
      <c r="CS55" s="63">
        <v>-2.7042009072439699E-2</v>
      </c>
      <c r="CT55" s="63">
        <v>0.36054180696365701</v>
      </c>
      <c r="CU55" s="163">
        <v>-2.7520540808494399E-3</v>
      </c>
      <c r="CV55" s="163">
        <v>-1.5129680396741601E-4</v>
      </c>
      <c r="CW55" s="163">
        <v>1.8093854813625201E-2</v>
      </c>
      <c r="CX55" s="158"/>
    </row>
    <row r="56" spans="1:102" hidden="1" x14ac:dyDescent="0.2">
      <c r="A56" s="59" t="s">
        <v>113</v>
      </c>
      <c r="B56" s="59" t="s">
        <v>35</v>
      </c>
      <c r="C56" s="60">
        <v>0.53859999999999997</v>
      </c>
      <c r="D56" s="61">
        <v>91100</v>
      </c>
      <c r="E56" s="60">
        <v>0.57544752107367902</v>
      </c>
      <c r="F56" s="60">
        <v>0.49991369794221102</v>
      </c>
      <c r="G56" s="60">
        <v>0.58816639929403003</v>
      </c>
      <c r="H56" s="60">
        <v>0.56737249134330703</v>
      </c>
      <c r="I56" s="60">
        <v>0.53194211521273205</v>
      </c>
      <c r="J56" s="60"/>
      <c r="K56" s="60"/>
      <c r="L56" s="60"/>
      <c r="M56" s="60">
        <v>0.34820755873474202</v>
      </c>
      <c r="N56" s="60">
        <v>0.59703600047794003</v>
      </c>
      <c r="O56" s="60">
        <v>0.56100604373362195</v>
      </c>
      <c r="P56" s="60"/>
      <c r="Q56" s="60">
        <v>0.47023211344095001</v>
      </c>
      <c r="R56" s="60"/>
      <c r="S56" s="60"/>
      <c r="T56" s="60"/>
      <c r="U56" s="60"/>
      <c r="V56" s="60">
        <v>0.65421273848633199</v>
      </c>
      <c r="W56" s="60">
        <v>0.55628197857726702</v>
      </c>
      <c r="X56" s="60">
        <v>0.46255012702776099</v>
      </c>
      <c r="Y56" s="60"/>
      <c r="Z56" s="60"/>
      <c r="AA56" s="60"/>
      <c r="AB56" s="60"/>
      <c r="AC56" s="60"/>
      <c r="AD56" s="60"/>
      <c r="AE56" s="60"/>
      <c r="AF56" s="60"/>
      <c r="AG56" s="60">
        <v>0.11650000000000001</v>
      </c>
      <c r="AH56" s="61">
        <v>19700</v>
      </c>
      <c r="AI56" s="60">
        <v>0.10198648015511801</v>
      </c>
      <c r="AJ56" s="60">
        <v>0.13401634573538401</v>
      </c>
      <c r="AK56" s="60">
        <v>0.114298870654992</v>
      </c>
      <c r="AL56" s="60">
        <v>0.12289965014202101</v>
      </c>
      <c r="AM56" s="60">
        <v>0.10304780017034799</v>
      </c>
      <c r="AN56" s="60"/>
      <c r="AO56" s="60"/>
      <c r="AP56" s="60"/>
      <c r="AQ56" s="60"/>
      <c r="AR56" s="60">
        <v>0.11510288927015799</v>
      </c>
      <c r="AS56" s="60">
        <v>0.12902373598300601</v>
      </c>
      <c r="AT56" s="60"/>
      <c r="AU56" s="60"/>
      <c r="AV56" s="60"/>
      <c r="AW56" s="60"/>
      <c r="AX56" s="60"/>
      <c r="AY56" s="60"/>
      <c r="AZ56" s="60">
        <v>0.105595686748582</v>
      </c>
      <c r="BA56" s="60"/>
      <c r="BB56" s="60"/>
      <c r="BC56" s="60"/>
      <c r="BD56" s="60"/>
      <c r="BE56" s="60"/>
      <c r="BF56" s="60"/>
      <c r="BG56" s="60"/>
      <c r="BH56" s="60"/>
      <c r="BI56" s="60"/>
      <c r="BJ56" s="60"/>
      <c r="BK56" s="60">
        <v>0.34489999999999998</v>
      </c>
      <c r="BL56" s="61">
        <v>58300</v>
      </c>
      <c r="BM56" s="60">
        <v>0.32256599877120401</v>
      </c>
      <c r="BN56" s="60">
        <v>0.36606995632240502</v>
      </c>
      <c r="BO56" s="60">
        <v>0.29753473005097802</v>
      </c>
      <c r="BP56" s="60">
        <v>0.30972785851467199</v>
      </c>
      <c r="BQ56" s="60">
        <v>0.36501008461692103</v>
      </c>
      <c r="BR56" s="60">
        <v>0.60757561078825995</v>
      </c>
      <c r="BS56" s="60"/>
      <c r="BT56" s="60"/>
      <c r="BU56" s="60">
        <v>0.51640931498656495</v>
      </c>
      <c r="BV56" s="60">
        <v>0.28786111025190098</v>
      </c>
      <c r="BW56" s="60">
        <v>0.30997022028337201</v>
      </c>
      <c r="BX56" s="60"/>
      <c r="BY56" s="60">
        <v>0.43200881094343102</v>
      </c>
      <c r="BZ56" s="60"/>
      <c r="CA56" s="60"/>
      <c r="CB56" s="60"/>
      <c r="CC56" s="60"/>
      <c r="CD56" s="60">
        <v>0.24019157476508701</v>
      </c>
      <c r="CE56" s="60">
        <v>0.32084585028168799</v>
      </c>
      <c r="CF56" s="60">
        <v>0.417588488929587</v>
      </c>
      <c r="CG56" s="60"/>
      <c r="CH56" s="60"/>
      <c r="CI56" s="60"/>
      <c r="CJ56" s="60"/>
      <c r="CK56" s="60"/>
      <c r="CL56" s="60"/>
      <c r="CM56" s="60"/>
      <c r="CN56" s="60"/>
      <c r="CO56" s="60">
        <v>0.65510000000000002</v>
      </c>
      <c r="CP56" s="62">
        <v>110800</v>
      </c>
      <c r="CQ56" s="63">
        <v>-4.3503957551200297E-2</v>
      </c>
      <c r="CR56" s="63">
        <v>-0.17739691416450001</v>
      </c>
      <c r="CS56" s="63">
        <v>-0.228548204734664</v>
      </c>
      <c r="CT56" s="63">
        <v>-0.31004088073728198</v>
      </c>
      <c r="CU56" s="163"/>
      <c r="CV56" s="163"/>
      <c r="CW56" s="163"/>
      <c r="CX56" s="158"/>
    </row>
    <row r="57" spans="1:102" hidden="1" x14ac:dyDescent="0.2">
      <c r="A57" s="59" t="s">
        <v>113</v>
      </c>
      <c r="B57" s="59" t="s">
        <v>36</v>
      </c>
      <c r="C57" s="60">
        <v>0.61699999999999999</v>
      </c>
      <c r="D57" s="61">
        <v>105100</v>
      </c>
      <c r="E57" s="60">
        <v>0.66037723220025202</v>
      </c>
      <c r="F57" s="60">
        <v>0.54290272249826899</v>
      </c>
      <c r="G57" s="60">
        <v>0.67705528615283195</v>
      </c>
      <c r="H57" s="60">
        <v>0.64689667708972998</v>
      </c>
      <c r="I57" s="60">
        <v>0.54763747236310401</v>
      </c>
      <c r="J57" s="60"/>
      <c r="K57" s="60"/>
      <c r="L57" s="60"/>
      <c r="M57" s="60">
        <v>0.445995199080645</v>
      </c>
      <c r="N57" s="60">
        <v>0.659917071781844</v>
      </c>
      <c r="O57" s="60">
        <v>0.60990708608688105</v>
      </c>
      <c r="P57" s="60"/>
      <c r="Q57" s="60">
        <v>0.555869641553286</v>
      </c>
      <c r="R57" s="60"/>
      <c r="S57" s="60"/>
      <c r="T57" s="60"/>
      <c r="U57" s="60"/>
      <c r="V57" s="60">
        <v>0.64046089635551595</v>
      </c>
      <c r="W57" s="60">
        <v>0.63115721906480804</v>
      </c>
      <c r="X57" s="60">
        <v>0.53417353037460502</v>
      </c>
      <c r="Y57" s="60"/>
      <c r="Z57" s="60"/>
      <c r="AA57" s="60"/>
      <c r="AB57" s="60"/>
      <c r="AC57" s="60"/>
      <c r="AD57" s="60"/>
      <c r="AE57" s="60"/>
      <c r="AF57" s="60"/>
      <c r="AG57" s="60">
        <v>8.2100000000000006E-2</v>
      </c>
      <c r="AH57" s="61">
        <v>14000</v>
      </c>
      <c r="AI57" s="60">
        <v>6.7189463227406598E-2</v>
      </c>
      <c r="AJ57" s="60">
        <v>0.13168415963635299</v>
      </c>
      <c r="AK57" s="60"/>
      <c r="AL57" s="60">
        <v>9.4082519485978497E-2</v>
      </c>
      <c r="AM57" s="60">
        <v>0.113639639600935</v>
      </c>
      <c r="AN57" s="60"/>
      <c r="AO57" s="60"/>
      <c r="AP57" s="60"/>
      <c r="AQ57" s="60"/>
      <c r="AR57" s="60">
        <v>9.9083224274005996E-2</v>
      </c>
      <c r="AS57" s="60">
        <v>0.11371771950395899</v>
      </c>
      <c r="AT57" s="60"/>
      <c r="AU57" s="60"/>
      <c r="AV57" s="60"/>
      <c r="AW57" s="60"/>
      <c r="AX57" s="60"/>
      <c r="AY57" s="60"/>
      <c r="AZ57" s="60">
        <v>0.108608480315787</v>
      </c>
      <c r="BA57" s="60">
        <v>0.105988776763268</v>
      </c>
      <c r="BB57" s="60"/>
      <c r="BC57" s="60"/>
      <c r="BD57" s="60"/>
      <c r="BE57" s="60"/>
      <c r="BF57" s="60"/>
      <c r="BG57" s="60"/>
      <c r="BH57" s="60"/>
      <c r="BI57" s="60"/>
      <c r="BJ57" s="60"/>
      <c r="BK57" s="60">
        <v>0.30093514962307599</v>
      </c>
      <c r="BL57" s="61">
        <v>51300</v>
      </c>
      <c r="BM57" s="60">
        <v>0.272433304572341</v>
      </c>
      <c r="BN57" s="60">
        <v>0.32541311786537702</v>
      </c>
      <c r="BO57" s="60">
        <v>0.23635719784190401</v>
      </c>
      <c r="BP57" s="60">
        <v>0.25902080342429101</v>
      </c>
      <c r="BQ57" s="60">
        <v>0.33872288803596201</v>
      </c>
      <c r="BR57" s="60">
        <v>0.57587483260649797</v>
      </c>
      <c r="BS57" s="60"/>
      <c r="BT57" s="60"/>
      <c r="BU57" s="60">
        <v>0.45581866199733201</v>
      </c>
      <c r="BV57" s="60">
        <v>0.24099970394414999</v>
      </c>
      <c r="BW57" s="60">
        <v>0.27637519440915997</v>
      </c>
      <c r="BX57" s="60"/>
      <c r="BY57" s="60">
        <v>0.388044641031142</v>
      </c>
      <c r="BZ57" s="60"/>
      <c r="CA57" s="60"/>
      <c r="CB57" s="60"/>
      <c r="CC57" s="60"/>
      <c r="CD57" s="60">
        <v>0.25093062332869698</v>
      </c>
      <c r="CE57" s="60">
        <v>0.26285400417192401</v>
      </c>
      <c r="CF57" s="60">
        <v>0.37578663479783497</v>
      </c>
      <c r="CG57" s="60"/>
      <c r="CH57" s="60"/>
      <c r="CI57" s="60"/>
      <c r="CJ57" s="60"/>
      <c r="CK57" s="60"/>
      <c r="CL57" s="60"/>
      <c r="CM57" s="60"/>
      <c r="CN57" s="60"/>
      <c r="CO57" s="60">
        <v>0.69910000000000005</v>
      </c>
      <c r="CP57" s="62">
        <v>119100</v>
      </c>
      <c r="CQ57" s="63">
        <v>-5.2979813293036103E-2</v>
      </c>
      <c r="CR57" s="63">
        <v>-0.124856011469138</v>
      </c>
      <c r="CS57" s="63">
        <v>-0.21481895805318299</v>
      </c>
      <c r="CT57" s="63">
        <v>-0.33951763476459401</v>
      </c>
      <c r="CU57" s="163"/>
      <c r="CV57" s="163"/>
      <c r="CW57" s="163"/>
      <c r="CX57" s="158">
        <v>0.17</v>
      </c>
    </row>
    <row r="58" spans="1:102" hidden="1" x14ac:dyDescent="0.2">
      <c r="A58" s="59" t="s">
        <v>113</v>
      </c>
      <c r="B58" s="59" t="s">
        <v>37</v>
      </c>
      <c r="C58" s="60">
        <v>0.58209999999999995</v>
      </c>
      <c r="D58" s="61">
        <v>99000</v>
      </c>
      <c r="E58" s="60">
        <v>0.60746294031177595</v>
      </c>
      <c r="F58" s="60">
        <v>0.55637802205578502</v>
      </c>
      <c r="G58" s="60">
        <v>0.57791169947046594</v>
      </c>
      <c r="H58" s="60">
        <v>0.661447439873728</v>
      </c>
      <c r="I58" s="60">
        <v>0.59161414135979395</v>
      </c>
      <c r="J58" s="60"/>
      <c r="K58" s="60"/>
      <c r="L58" s="60"/>
      <c r="M58" s="60">
        <v>0.411327726259959</v>
      </c>
      <c r="N58" s="60">
        <v>0.64665356051182099</v>
      </c>
      <c r="O58" s="60">
        <v>0.59925251516405897</v>
      </c>
      <c r="P58" s="60"/>
      <c r="Q58" s="60">
        <v>0.48882132423791702</v>
      </c>
      <c r="R58" s="60"/>
      <c r="S58" s="60"/>
      <c r="T58" s="60"/>
      <c r="U58" s="60"/>
      <c r="V58" s="60">
        <v>0.70064186415067498</v>
      </c>
      <c r="W58" s="60">
        <v>0.62186200956921001</v>
      </c>
      <c r="X58" s="60">
        <v>0.47719481189002</v>
      </c>
      <c r="Y58" s="60"/>
      <c r="Z58" s="60"/>
      <c r="AA58" s="60"/>
      <c r="AB58" s="60"/>
      <c r="AC58" s="60"/>
      <c r="AD58" s="60"/>
      <c r="AE58" s="60"/>
      <c r="AF58" s="60"/>
      <c r="AG58" s="60">
        <v>9.4100000000000003E-2</v>
      </c>
      <c r="AH58" s="61">
        <v>16000</v>
      </c>
      <c r="AI58" s="60">
        <v>7.9676462958630997E-2</v>
      </c>
      <c r="AJ58" s="60">
        <v>0.109017035043105</v>
      </c>
      <c r="AK58" s="60"/>
      <c r="AL58" s="60">
        <v>7.8641866092806406E-2</v>
      </c>
      <c r="AM58" s="60">
        <v>7.9328146131294602E-2</v>
      </c>
      <c r="AN58" s="60"/>
      <c r="AO58" s="60"/>
      <c r="AP58" s="60"/>
      <c r="AQ58" s="60"/>
      <c r="AR58" s="60">
        <v>9.2871297320023499E-2</v>
      </c>
      <c r="AS58" s="60">
        <v>0.103663222762998</v>
      </c>
      <c r="AT58" s="60"/>
      <c r="AU58" s="60"/>
      <c r="AV58" s="60"/>
      <c r="AW58" s="60"/>
      <c r="AX58" s="60"/>
      <c r="AY58" s="60"/>
      <c r="AZ58" s="60">
        <v>8.9818386912163095E-2</v>
      </c>
      <c r="BA58" s="60"/>
      <c r="BB58" s="60"/>
      <c r="BC58" s="60"/>
      <c r="BD58" s="60"/>
      <c r="BE58" s="60"/>
      <c r="BF58" s="60"/>
      <c r="BG58" s="60"/>
      <c r="BH58" s="60"/>
      <c r="BI58" s="60"/>
      <c r="BJ58" s="60"/>
      <c r="BK58" s="60">
        <v>0.32379999999999998</v>
      </c>
      <c r="BL58" s="61">
        <v>55100</v>
      </c>
      <c r="BM58" s="60">
        <v>0.31286059672959399</v>
      </c>
      <c r="BN58" s="60">
        <v>0.33460494290111098</v>
      </c>
      <c r="BO58" s="60">
        <v>0.29286337972505699</v>
      </c>
      <c r="BP58" s="60">
        <v>0.25991069403346601</v>
      </c>
      <c r="BQ58" s="60">
        <v>0.32905771250891103</v>
      </c>
      <c r="BR58" s="60">
        <v>0.63384090921613101</v>
      </c>
      <c r="BS58" s="60"/>
      <c r="BT58" s="60"/>
      <c r="BU58" s="60">
        <v>0.48678825144714399</v>
      </c>
      <c r="BV58" s="60">
        <v>0.26047514216815598</v>
      </c>
      <c r="BW58" s="60">
        <v>0.29708426207294403</v>
      </c>
      <c r="BX58" s="60"/>
      <c r="BY58" s="60">
        <v>0.47219878622950301</v>
      </c>
      <c r="BZ58" s="60"/>
      <c r="CA58" s="60"/>
      <c r="CB58" s="60"/>
      <c r="CC58" s="60"/>
      <c r="CD58" s="60">
        <v>0.20953974893716201</v>
      </c>
      <c r="CE58" s="60">
        <v>0.28484344072520101</v>
      </c>
      <c r="CF58" s="60">
        <v>0.41766560928081398</v>
      </c>
      <c r="CG58" s="60"/>
      <c r="CH58" s="60"/>
      <c r="CI58" s="60"/>
      <c r="CJ58" s="60"/>
      <c r="CK58" s="60"/>
      <c r="CL58" s="60"/>
      <c r="CM58" s="60"/>
      <c r="CN58" s="60"/>
      <c r="CO58" s="60">
        <v>0.67620000000000002</v>
      </c>
      <c r="CP58" s="62">
        <v>115000</v>
      </c>
      <c r="CQ58" s="63">
        <v>-2.1744346171517499E-2</v>
      </c>
      <c r="CR58" s="63">
        <v>-0.20812586034365199</v>
      </c>
      <c r="CS58" s="63">
        <v>-0.22631310927898801</v>
      </c>
      <c r="CT58" s="63">
        <v>-0.34097752949107502</v>
      </c>
      <c r="CU58" s="163"/>
      <c r="CV58" s="163"/>
      <c r="CW58" s="163"/>
      <c r="CX58" s="158">
        <v>0.1474</v>
      </c>
    </row>
    <row r="59" spans="1:102" hidden="1" x14ac:dyDescent="0.2">
      <c r="A59" s="59" t="s">
        <v>113</v>
      </c>
      <c r="B59" s="59" t="s">
        <v>38</v>
      </c>
      <c r="C59" s="60">
        <v>0.55126719023652904</v>
      </c>
      <c r="D59" s="61">
        <v>94600</v>
      </c>
      <c r="E59" s="60">
        <v>0.59073969456340802</v>
      </c>
      <c r="F59" s="60">
        <v>0.512154505798468</v>
      </c>
      <c r="G59" s="60">
        <v>0.612719730446039</v>
      </c>
      <c r="H59" s="60">
        <v>0.56916364515227602</v>
      </c>
      <c r="I59" s="60">
        <v>0.54067061805917604</v>
      </c>
      <c r="J59" s="60"/>
      <c r="K59" s="60"/>
      <c r="L59" s="60"/>
      <c r="M59" s="60">
        <v>0.37545446888224798</v>
      </c>
      <c r="N59" s="60">
        <v>0.61262948740531897</v>
      </c>
      <c r="O59" s="60">
        <v>0.57181175077231405</v>
      </c>
      <c r="P59" s="60"/>
      <c r="Q59" s="60">
        <v>0.45418234109204503</v>
      </c>
      <c r="R59" s="60"/>
      <c r="S59" s="60"/>
      <c r="T59" s="60"/>
      <c r="U59" s="60"/>
      <c r="V59" s="60">
        <v>0.61055359357380701</v>
      </c>
      <c r="W59" s="60">
        <v>0.63427758546463398</v>
      </c>
      <c r="X59" s="60">
        <v>0.44872114021182902</v>
      </c>
      <c r="Y59" s="60"/>
      <c r="Z59" s="60"/>
      <c r="AA59" s="60"/>
      <c r="AB59" s="60"/>
      <c r="AC59" s="60"/>
      <c r="AD59" s="60"/>
      <c r="AE59" s="60"/>
      <c r="AF59" s="60"/>
      <c r="AG59" s="60">
        <v>0.125039904032133</v>
      </c>
      <c r="AH59" s="61">
        <v>21500</v>
      </c>
      <c r="AI59" s="60">
        <v>0.112200074115145</v>
      </c>
      <c r="AJ59" s="60">
        <v>0.138257526662978</v>
      </c>
      <c r="AK59" s="60">
        <v>0.12536240175198601</v>
      </c>
      <c r="AL59" s="60">
        <v>0.136265616964763</v>
      </c>
      <c r="AM59" s="60">
        <v>0.106897047633619</v>
      </c>
      <c r="AN59" s="60"/>
      <c r="AO59" s="60"/>
      <c r="AP59" s="60"/>
      <c r="AQ59" s="60"/>
      <c r="AR59" s="60">
        <v>0.116035339944808</v>
      </c>
      <c r="AS59" s="60"/>
      <c r="AT59" s="60"/>
      <c r="AU59" s="60"/>
      <c r="AV59" s="60"/>
      <c r="AW59" s="60"/>
      <c r="AX59" s="60"/>
      <c r="AY59" s="60"/>
      <c r="AZ59" s="60">
        <v>0.17360442561049</v>
      </c>
      <c r="BA59" s="60">
        <v>9.4872038790962898E-2</v>
      </c>
      <c r="BB59" s="60">
        <v>0.12836140226024501</v>
      </c>
      <c r="BC59" s="60"/>
      <c r="BD59" s="60"/>
      <c r="BE59" s="60"/>
      <c r="BF59" s="60"/>
      <c r="BG59" s="60"/>
      <c r="BH59" s="60"/>
      <c r="BI59" s="60"/>
      <c r="BJ59" s="60"/>
      <c r="BK59" s="60">
        <v>0.32369290573133902</v>
      </c>
      <c r="BL59" s="61">
        <v>55500</v>
      </c>
      <c r="BM59" s="60">
        <v>0.29706023132144599</v>
      </c>
      <c r="BN59" s="60">
        <v>0.34958796753855298</v>
      </c>
      <c r="BO59" s="60">
        <v>0.26191786780197501</v>
      </c>
      <c r="BP59" s="60">
        <v>0.29457073788296201</v>
      </c>
      <c r="BQ59" s="60">
        <v>0.352432334307206</v>
      </c>
      <c r="BR59" s="60">
        <v>0.52926216577950602</v>
      </c>
      <c r="BS59" s="60"/>
      <c r="BT59" s="60"/>
      <c r="BU59" s="60">
        <v>0.46200459676434802</v>
      </c>
      <c r="BV59" s="60">
        <v>0.271335172649872</v>
      </c>
      <c r="BW59" s="60">
        <v>0.30088057949501001</v>
      </c>
      <c r="BX59" s="60"/>
      <c r="BY59" s="60">
        <v>0.42594553989812201</v>
      </c>
      <c r="BZ59" s="60"/>
      <c r="CA59" s="60"/>
      <c r="CB59" s="60"/>
      <c r="CC59" s="60"/>
      <c r="CD59" s="60">
        <v>0.21584198081570299</v>
      </c>
      <c r="CE59" s="60">
        <v>0.27085037574440401</v>
      </c>
      <c r="CF59" s="60">
        <v>0.42291745752792598</v>
      </c>
      <c r="CG59" s="60"/>
      <c r="CH59" s="60"/>
      <c r="CI59" s="60"/>
      <c r="CJ59" s="60"/>
      <c r="CK59" s="60"/>
      <c r="CL59" s="60"/>
      <c r="CM59" s="60"/>
      <c r="CN59" s="60"/>
      <c r="CO59" s="60">
        <v>0.67630709426866098</v>
      </c>
      <c r="CP59" s="62">
        <v>116100</v>
      </c>
      <c r="CQ59" s="63">
        <v>-5.2527736217106498E-2</v>
      </c>
      <c r="CR59" s="63">
        <v>-0.20707547671222301</v>
      </c>
      <c r="CS59" s="63">
        <v>-0.19066942411447599</v>
      </c>
      <c r="CT59" s="63">
        <v>-0.26734429797753101</v>
      </c>
      <c r="CU59" s="163"/>
      <c r="CV59" s="163"/>
      <c r="CW59" s="163"/>
      <c r="CX59" s="158">
        <v>0.15129999999999999</v>
      </c>
    </row>
    <row r="60" spans="1:102" hidden="1" x14ac:dyDescent="0.2">
      <c r="A60" s="59" t="s">
        <v>113</v>
      </c>
      <c r="B60" s="59" t="s">
        <v>39</v>
      </c>
      <c r="C60" s="60">
        <v>0.56299999999999994</v>
      </c>
      <c r="D60" s="61">
        <v>96600</v>
      </c>
      <c r="E60" s="60">
        <v>0.605159775584445</v>
      </c>
      <c r="F60" s="60">
        <v>0.52282673020620396</v>
      </c>
      <c r="G60" s="60">
        <v>0.65907324580675397</v>
      </c>
      <c r="H60" s="60">
        <v>0.53792476216585206</v>
      </c>
      <c r="I60" s="60">
        <v>0.52987918583983995</v>
      </c>
      <c r="J60" s="60"/>
      <c r="K60" s="60">
        <v>0.59577856217357394</v>
      </c>
      <c r="L60" s="60">
        <v>0.50087783431396904</v>
      </c>
      <c r="M60" s="60">
        <v>0.40469631413462298</v>
      </c>
      <c r="N60" s="60">
        <v>0.61637801817117399</v>
      </c>
      <c r="O60" s="60">
        <v>0.59189989514937102</v>
      </c>
      <c r="P60" s="60"/>
      <c r="Q60" s="60">
        <v>0.48298719770168902</v>
      </c>
      <c r="R60" s="60"/>
      <c r="S60" s="60"/>
      <c r="T60" s="60"/>
      <c r="U60" s="60"/>
      <c r="V60" s="60">
        <v>0.56058799229791101</v>
      </c>
      <c r="W60" s="60">
        <v>0.64132183430723999</v>
      </c>
      <c r="X60" s="60">
        <v>0.49231774558818803</v>
      </c>
      <c r="Y60" s="60">
        <v>0.61659696100418204</v>
      </c>
      <c r="Z60" s="60"/>
      <c r="AA60" s="60"/>
      <c r="AB60" s="60"/>
      <c r="AC60" s="60"/>
      <c r="AD60" s="60"/>
      <c r="AE60" s="60"/>
      <c r="AF60" s="60"/>
      <c r="AG60" s="60">
        <v>0.1235</v>
      </c>
      <c r="AH60" s="61">
        <v>21200</v>
      </c>
      <c r="AI60" s="60">
        <v>0.12185939628339</v>
      </c>
      <c r="AJ60" s="60">
        <v>0.12714934973559799</v>
      </c>
      <c r="AK60" s="60">
        <v>0.11591528748557001</v>
      </c>
      <c r="AL60" s="60">
        <v>0.13311935153086801</v>
      </c>
      <c r="AM60" s="60">
        <v>0.121920775274453</v>
      </c>
      <c r="AN60" s="60"/>
      <c r="AO60" s="60">
        <v>0.124903644237766</v>
      </c>
      <c r="AP60" s="60">
        <v>0.12994900088306899</v>
      </c>
      <c r="AQ60" s="60"/>
      <c r="AR60" s="60">
        <v>0.12448701198867999</v>
      </c>
      <c r="AS60" s="60">
        <v>0.132797935488074</v>
      </c>
      <c r="AT60" s="60"/>
      <c r="AU60" s="60"/>
      <c r="AV60" s="60"/>
      <c r="AW60" s="60"/>
      <c r="AX60" s="60"/>
      <c r="AY60" s="60"/>
      <c r="AZ60" s="60">
        <v>0.200507215371864</v>
      </c>
      <c r="BA60" s="60"/>
      <c r="BB60" s="60"/>
      <c r="BC60" s="60"/>
      <c r="BD60" s="60"/>
      <c r="BE60" s="60"/>
      <c r="BF60" s="60"/>
      <c r="BG60" s="60"/>
      <c r="BH60" s="60"/>
      <c r="BI60" s="60"/>
      <c r="BJ60" s="60"/>
      <c r="BK60" s="60">
        <v>0.31343870489914599</v>
      </c>
      <c r="BL60" s="61">
        <v>53800</v>
      </c>
      <c r="BM60" s="60">
        <v>0.27298082813216401</v>
      </c>
      <c r="BN60" s="60">
        <v>0.35002392005819699</v>
      </c>
      <c r="BO60" s="60">
        <v>0.22501146670767599</v>
      </c>
      <c r="BP60" s="60">
        <v>0.32895588630328099</v>
      </c>
      <c r="BQ60" s="60">
        <v>0.348200038885707</v>
      </c>
      <c r="BR60" s="60">
        <v>0.44800864147943598</v>
      </c>
      <c r="BS60" s="60">
        <v>0.27931779358865899</v>
      </c>
      <c r="BT60" s="60">
        <v>0.36917316480296197</v>
      </c>
      <c r="BU60" s="60">
        <v>0.44684847123348098</v>
      </c>
      <c r="BV60" s="60">
        <v>0.259134969840144</v>
      </c>
      <c r="BW60" s="60">
        <v>0.27530216936255397</v>
      </c>
      <c r="BX60" s="60"/>
      <c r="BY60" s="60">
        <v>0.38233412840180703</v>
      </c>
      <c r="BZ60" s="60"/>
      <c r="CA60" s="60"/>
      <c r="CB60" s="60"/>
      <c r="CC60" s="60"/>
      <c r="CD60" s="60">
        <v>0.23890479233022499</v>
      </c>
      <c r="CE60" s="60">
        <v>0.26017999403363501</v>
      </c>
      <c r="CF60" s="60">
        <v>0.41100965689832702</v>
      </c>
      <c r="CG60" s="60"/>
      <c r="CH60" s="60"/>
      <c r="CI60" s="60"/>
      <c r="CJ60" s="60"/>
      <c r="CK60" s="60"/>
      <c r="CL60" s="60"/>
      <c r="CM60" s="60"/>
      <c r="CN60" s="60"/>
      <c r="CO60" s="60">
        <v>0.6865</v>
      </c>
      <c r="CP60" s="62">
        <v>117800</v>
      </c>
      <c r="CQ60" s="63">
        <v>-7.7043091926032606E-2</v>
      </c>
      <c r="CR60" s="63">
        <v>-0.17210486456810201</v>
      </c>
      <c r="CS60" s="63">
        <v>-0.18771350139333701</v>
      </c>
      <c r="CT60" s="63">
        <v>-0.22299717477176001</v>
      </c>
      <c r="CU60" s="163">
        <v>0.37591296770219801</v>
      </c>
      <c r="CV60" s="163">
        <v>0.28812056736602298</v>
      </c>
      <c r="CW60" s="163">
        <v>0.55215971928834195</v>
      </c>
      <c r="CX60" s="158">
        <v>0.1389</v>
      </c>
    </row>
    <row r="61" spans="1:102" hidden="1" x14ac:dyDescent="0.2">
      <c r="A61" s="59" t="s">
        <v>113</v>
      </c>
      <c r="B61" s="59" t="s">
        <v>40</v>
      </c>
      <c r="C61" s="60">
        <v>0.56910000000000005</v>
      </c>
      <c r="D61" s="61">
        <v>98200</v>
      </c>
      <c r="E61" s="60">
        <v>0.60240000000000005</v>
      </c>
      <c r="F61" s="60">
        <v>0.54110000000000003</v>
      </c>
      <c r="G61" s="60">
        <v>0.63539999999999996</v>
      </c>
      <c r="H61" s="60">
        <v>0.58330000000000004</v>
      </c>
      <c r="I61" s="60">
        <v>0.53510000000000002</v>
      </c>
      <c r="J61" s="60"/>
      <c r="K61" s="60">
        <v>0.60860000000000003</v>
      </c>
      <c r="L61" s="60">
        <v>0.49969999999999998</v>
      </c>
      <c r="M61" s="60">
        <v>0.4224</v>
      </c>
      <c r="N61" s="60">
        <v>0.62309999999999999</v>
      </c>
      <c r="O61" s="60">
        <v>0.59709999999999996</v>
      </c>
      <c r="P61" s="60"/>
      <c r="Q61" s="60">
        <v>0.50019999999999998</v>
      </c>
      <c r="R61" s="60"/>
      <c r="S61" s="60"/>
      <c r="T61" s="60"/>
      <c r="U61" s="60"/>
      <c r="V61" s="60">
        <v>0.64090000000000003</v>
      </c>
      <c r="W61" s="60">
        <v>0.58509999999999995</v>
      </c>
      <c r="X61" s="60">
        <v>0.52759999999999996</v>
      </c>
      <c r="Y61" s="60">
        <v>0.58179999999999998</v>
      </c>
      <c r="Z61" s="60">
        <v>0.61539999999999995</v>
      </c>
      <c r="AA61" s="60"/>
      <c r="AB61" s="60">
        <v>0.50600000000000001</v>
      </c>
      <c r="AC61" s="60"/>
      <c r="AD61" s="60"/>
      <c r="AE61" s="60"/>
      <c r="AF61" s="60"/>
      <c r="AG61" s="60">
        <v>0.1016</v>
      </c>
      <c r="AH61" s="61">
        <v>17500</v>
      </c>
      <c r="AI61" s="60">
        <v>8.9599999999999999E-2</v>
      </c>
      <c r="AJ61" s="60">
        <v>0.11020000000000001</v>
      </c>
      <c r="AK61" s="60"/>
      <c r="AL61" s="60">
        <v>7.4499999999999997E-2</v>
      </c>
      <c r="AM61" s="60">
        <v>0.1134</v>
      </c>
      <c r="AN61" s="60"/>
      <c r="AO61" s="60">
        <v>9.7600000000000006E-2</v>
      </c>
      <c r="AP61" s="60">
        <v>0.111</v>
      </c>
      <c r="AQ61" s="60"/>
      <c r="AR61" s="60">
        <v>0.1094</v>
      </c>
      <c r="AS61" s="60">
        <v>0.1217</v>
      </c>
      <c r="AT61" s="60"/>
      <c r="AU61" s="60"/>
      <c r="AV61" s="60"/>
      <c r="AW61" s="60"/>
      <c r="AX61" s="60"/>
      <c r="AY61" s="60"/>
      <c r="AZ61" s="60">
        <v>0.12770000000000001</v>
      </c>
      <c r="BA61" s="60"/>
      <c r="BB61" s="60"/>
      <c r="BC61" s="60"/>
      <c r="BD61" s="60">
        <v>0.10009999999999999</v>
      </c>
      <c r="BE61" s="60"/>
      <c r="BF61" s="60"/>
      <c r="BG61" s="60"/>
      <c r="BH61" s="60"/>
      <c r="BI61" s="60"/>
      <c r="BJ61" s="60"/>
      <c r="BK61" s="60">
        <v>0.32929999999999998</v>
      </c>
      <c r="BL61" s="61">
        <v>56800</v>
      </c>
      <c r="BM61" s="60">
        <v>0.30790000000000001</v>
      </c>
      <c r="BN61" s="60">
        <v>0.34870000000000001</v>
      </c>
      <c r="BO61" s="60">
        <v>0.24249999999999999</v>
      </c>
      <c r="BP61" s="60">
        <v>0.3422</v>
      </c>
      <c r="BQ61" s="60">
        <v>0.35149999999999998</v>
      </c>
      <c r="BR61" s="60">
        <v>0.54949999999999999</v>
      </c>
      <c r="BS61" s="60">
        <v>0.29380000000000001</v>
      </c>
      <c r="BT61" s="60">
        <v>0.38919999999999999</v>
      </c>
      <c r="BU61" s="60">
        <v>0.48649999999999999</v>
      </c>
      <c r="BV61" s="60">
        <v>0.2676</v>
      </c>
      <c r="BW61" s="60">
        <v>0.28120000000000001</v>
      </c>
      <c r="BX61" s="60"/>
      <c r="BY61" s="60">
        <v>0.41099999999999998</v>
      </c>
      <c r="BZ61" s="60"/>
      <c r="CA61" s="60"/>
      <c r="CB61" s="60"/>
      <c r="CC61" s="60"/>
      <c r="CD61" s="60">
        <v>0.23150000000000001</v>
      </c>
      <c r="CE61" s="60">
        <v>0.29470000000000002</v>
      </c>
      <c r="CF61" s="60">
        <v>0.41020000000000001</v>
      </c>
      <c r="CG61" s="60"/>
      <c r="CH61" s="60">
        <v>0.28449999999999998</v>
      </c>
      <c r="CI61" s="60"/>
      <c r="CJ61" s="60">
        <v>0.39329999999999998</v>
      </c>
      <c r="CK61" s="60"/>
      <c r="CL61" s="60"/>
      <c r="CM61" s="60"/>
      <c r="CN61" s="60"/>
      <c r="CO61" s="60">
        <v>0.67069999999999996</v>
      </c>
      <c r="CP61" s="62">
        <v>115700</v>
      </c>
      <c r="CQ61" s="63">
        <v>-4.0800000000000003E-2</v>
      </c>
      <c r="CR61" s="63">
        <v>-0.1787</v>
      </c>
      <c r="CS61" s="63">
        <v>-0.21890000000000001</v>
      </c>
      <c r="CT61" s="63">
        <v>-0.307</v>
      </c>
      <c r="CU61" s="163">
        <v>0.38419999999999999</v>
      </c>
      <c r="CV61" s="163">
        <v>0.2923</v>
      </c>
      <c r="CW61" s="163">
        <v>0.56259999999999999</v>
      </c>
      <c r="CX61" s="158">
        <v>0.11310000000000001</v>
      </c>
    </row>
    <row r="62" spans="1:102" hidden="1" x14ac:dyDescent="0.2">
      <c r="A62" s="59" t="s">
        <v>113</v>
      </c>
      <c r="B62" s="59" t="s">
        <v>41</v>
      </c>
      <c r="C62" s="60">
        <v>0.59911289484183805</v>
      </c>
      <c r="D62" s="61">
        <v>103400</v>
      </c>
      <c r="E62" s="60">
        <v>0.64183719932240901</v>
      </c>
      <c r="F62" s="60">
        <v>0.56258885514077095</v>
      </c>
      <c r="G62" s="60">
        <v>0.65020487312397401</v>
      </c>
      <c r="H62" s="60">
        <v>0.63068719968354003</v>
      </c>
      <c r="I62" s="60">
        <v>0.573568942129972</v>
      </c>
      <c r="J62" s="60"/>
      <c r="K62" s="60">
        <v>0.63996064813686004</v>
      </c>
      <c r="L62" s="60">
        <v>0.53079748988254505</v>
      </c>
      <c r="M62" s="60">
        <v>0.45436704709526499</v>
      </c>
      <c r="N62" s="60">
        <v>0.64650880177592396</v>
      </c>
      <c r="O62" s="60">
        <v>0.63333097104659397</v>
      </c>
      <c r="P62" s="60"/>
      <c r="Q62" s="60">
        <v>0.45384302421598899</v>
      </c>
      <c r="R62" s="60"/>
      <c r="S62" s="60"/>
      <c r="T62" s="60"/>
      <c r="U62" s="60"/>
      <c r="V62" s="60">
        <v>0.72361278246751504</v>
      </c>
      <c r="W62" s="60">
        <v>0.596001958250852</v>
      </c>
      <c r="X62" s="60">
        <v>0.50379544322387604</v>
      </c>
      <c r="Y62" s="60">
        <v>0.62847850179804399</v>
      </c>
      <c r="Z62" s="60">
        <v>0.65187430902924803</v>
      </c>
      <c r="AA62" s="60">
        <v>0.48010685607124198</v>
      </c>
      <c r="AB62" s="60">
        <v>0.53884516279275296</v>
      </c>
      <c r="AC62" s="60"/>
      <c r="AD62" s="60"/>
      <c r="AE62" s="60"/>
      <c r="AF62" s="60"/>
      <c r="AG62" s="60">
        <v>0.11169033644182801</v>
      </c>
      <c r="AH62" s="61">
        <v>19300</v>
      </c>
      <c r="AI62" s="60">
        <v>9.0049988864784505E-2</v>
      </c>
      <c r="AJ62" s="60">
        <v>0.12840574112066599</v>
      </c>
      <c r="AK62" s="60"/>
      <c r="AL62" s="60">
        <v>8.0809031447089202E-2</v>
      </c>
      <c r="AM62" s="60">
        <v>0.12742739587659699</v>
      </c>
      <c r="AN62" s="60"/>
      <c r="AO62" s="60">
        <v>9.9110628156676095E-2</v>
      </c>
      <c r="AP62" s="60">
        <v>0.13027948545809401</v>
      </c>
      <c r="AQ62" s="60">
        <v>0.10389607872025799</v>
      </c>
      <c r="AR62" s="60">
        <v>0.121751724191316</v>
      </c>
      <c r="AS62" s="60">
        <v>0.11377037126245</v>
      </c>
      <c r="AT62" s="60"/>
      <c r="AU62" s="60"/>
      <c r="AV62" s="60"/>
      <c r="AW62" s="60"/>
      <c r="AX62" s="60"/>
      <c r="AY62" s="60"/>
      <c r="AZ62" s="60">
        <v>9.8632593493883994E-2</v>
      </c>
      <c r="BA62" s="60">
        <v>0.14941876896659401</v>
      </c>
      <c r="BB62" s="60"/>
      <c r="BC62" s="60"/>
      <c r="BD62" s="60">
        <v>0.105132625966174</v>
      </c>
      <c r="BE62" s="60"/>
      <c r="BF62" s="60"/>
      <c r="BG62" s="60"/>
      <c r="BH62" s="60"/>
      <c r="BI62" s="60"/>
      <c r="BJ62" s="60"/>
      <c r="BK62" s="60">
        <v>0.28919676871633698</v>
      </c>
      <c r="BL62" s="61">
        <v>49900</v>
      </c>
      <c r="BM62" s="60">
        <v>0.26811281181280699</v>
      </c>
      <c r="BN62" s="60">
        <v>0.309005403738563</v>
      </c>
      <c r="BO62" s="60">
        <v>0.23046702781192999</v>
      </c>
      <c r="BP62" s="60">
        <v>0.28850376886937101</v>
      </c>
      <c r="BQ62" s="60">
        <v>0.29900366199343098</v>
      </c>
      <c r="BR62" s="60">
        <v>0.497560334649439</v>
      </c>
      <c r="BS62" s="60">
        <v>0.26092872370646503</v>
      </c>
      <c r="BT62" s="60">
        <v>0.33892302465936103</v>
      </c>
      <c r="BU62" s="60">
        <v>0.44173687418447599</v>
      </c>
      <c r="BV62" s="60">
        <v>0.23173947403276099</v>
      </c>
      <c r="BW62" s="60">
        <v>0.25289865769095798</v>
      </c>
      <c r="BX62" s="60"/>
      <c r="BY62" s="60">
        <v>0.39059894242353999</v>
      </c>
      <c r="BZ62" s="60"/>
      <c r="CA62" s="60"/>
      <c r="CB62" s="60"/>
      <c r="CC62" s="60"/>
      <c r="CD62" s="60">
        <v>0.17775462403860101</v>
      </c>
      <c r="CE62" s="60">
        <v>0.25457927278255199</v>
      </c>
      <c r="CF62" s="60">
        <v>0.42792968095614098</v>
      </c>
      <c r="CG62" s="60"/>
      <c r="CH62" s="60">
        <v>0.24299306500457801</v>
      </c>
      <c r="CI62" s="60"/>
      <c r="CJ62" s="60">
        <v>0.35484558063743898</v>
      </c>
      <c r="CK62" s="60"/>
      <c r="CL62" s="60"/>
      <c r="CM62" s="60"/>
      <c r="CN62" s="60"/>
      <c r="CO62" s="60">
        <v>0.71080323128366596</v>
      </c>
      <c r="CP62" s="62">
        <v>122700</v>
      </c>
      <c r="CQ62" s="63">
        <v>-4.0892591925755499E-2</v>
      </c>
      <c r="CR62" s="63">
        <v>-0.25017505691754</v>
      </c>
      <c r="CS62" s="63">
        <v>-0.209997400151715</v>
      </c>
      <c r="CT62" s="63">
        <v>-0.26709330683750798</v>
      </c>
      <c r="CU62" s="163">
        <v>0.42100201520759301</v>
      </c>
      <c r="CV62" s="163">
        <v>0.30181184260765798</v>
      </c>
      <c r="CW62" s="163">
        <v>0.61469097275419404</v>
      </c>
      <c r="CX62" s="158">
        <v>0.1027</v>
      </c>
    </row>
    <row r="63" spans="1:102" hidden="1" x14ac:dyDescent="0.2">
      <c r="A63" s="59" t="s">
        <v>113</v>
      </c>
      <c r="B63" s="59" t="s">
        <v>155</v>
      </c>
      <c r="C63" s="60">
        <v>0.5746</v>
      </c>
      <c r="D63" s="61">
        <v>100100</v>
      </c>
      <c r="E63" s="60">
        <v>0.607390719298742</v>
      </c>
      <c r="F63" s="60">
        <v>0.54636513766392603</v>
      </c>
      <c r="G63" s="60">
        <v>0.61254771620611104</v>
      </c>
      <c r="H63" s="60">
        <v>0.55296733906471096</v>
      </c>
      <c r="I63" s="60">
        <v>0.61517628161323701</v>
      </c>
      <c r="J63" s="60">
        <v>0.41979003394595871</v>
      </c>
      <c r="K63" s="60">
        <v>0.581949396738906</v>
      </c>
      <c r="L63" s="60">
        <v>0.56765380788671205</v>
      </c>
      <c r="M63" s="60">
        <v>0.48359166476618198</v>
      </c>
      <c r="N63" s="60">
        <v>0.60975143493363104</v>
      </c>
      <c r="O63" s="60">
        <v>0.63409880330184398</v>
      </c>
      <c r="P63" s="60"/>
      <c r="Q63" s="60">
        <v>0.31652405886434698</v>
      </c>
      <c r="R63" s="60"/>
      <c r="S63" s="60"/>
      <c r="T63" s="60"/>
      <c r="U63" s="60"/>
      <c r="V63" s="60">
        <v>0.69395880545709598</v>
      </c>
      <c r="W63" s="60">
        <v>0.56861065834257796</v>
      </c>
      <c r="X63" s="60">
        <v>0.47877379143696103</v>
      </c>
      <c r="Y63" s="60">
        <v>0.57802934690223295</v>
      </c>
      <c r="Z63" s="60">
        <v>0.61251131018894001</v>
      </c>
      <c r="AA63" s="60"/>
      <c r="AB63" s="60">
        <v>0.57300390881825103</v>
      </c>
      <c r="AC63" s="60"/>
      <c r="AD63" s="60"/>
      <c r="AE63" s="60"/>
      <c r="AF63" s="60"/>
      <c r="AG63" s="60">
        <v>0.1111</v>
      </c>
      <c r="AH63" s="61">
        <v>19400</v>
      </c>
      <c r="AI63" s="60">
        <v>0.10045389436931999</v>
      </c>
      <c r="AJ63" s="60">
        <v>0.12045284730055</v>
      </c>
      <c r="AK63" s="60"/>
      <c r="AL63" s="60">
        <v>0.115893819293146</v>
      </c>
      <c r="AM63" s="60">
        <v>0.118356278295368</v>
      </c>
      <c r="AN63" s="60"/>
      <c r="AO63" s="60">
        <v>0.112118505889792</v>
      </c>
      <c r="AP63" s="60">
        <v>0.106444736096817</v>
      </c>
      <c r="AQ63" s="60">
        <v>0.13038025024796099</v>
      </c>
      <c r="AR63" s="60">
        <v>0.109856763224712</v>
      </c>
      <c r="AS63" s="60">
        <v>0.10553632642189301</v>
      </c>
      <c r="AT63" s="60"/>
      <c r="AU63" s="60"/>
      <c r="AV63" s="60"/>
      <c r="AW63" s="60"/>
      <c r="AX63" s="60"/>
      <c r="AY63" s="60"/>
      <c r="AZ63" s="60">
        <v>9.9508562438127002E-2</v>
      </c>
      <c r="BA63" s="60">
        <v>0.13378672761277599</v>
      </c>
      <c r="BB63" s="60"/>
      <c r="BC63" s="60"/>
      <c r="BD63" s="60">
        <v>0.112477802121016</v>
      </c>
      <c r="BE63" s="60"/>
      <c r="BF63" s="60"/>
      <c r="BG63" s="60"/>
      <c r="BH63" s="60"/>
      <c r="BI63" s="60"/>
      <c r="BJ63" s="60"/>
      <c r="BK63" s="60">
        <v>0.31430000000000002</v>
      </c>
      <c r="BL63" s="61">
        <v>54800</v>
      </c>
      <c r="BM63" s="60">
        <v>0.29215538633193999</v>
      </c>
      <c r="BN63" s="60">
        <v>0.33318201503552503</v>
      </c>
      <c r="BO63" s="60">
        <v>0.279319631734879</v>
      </c>
      <c r="BP63" s="60">
        <v>0.33113884164214402</v>
      </c>
      <c r="BQ63" s="60">
        <v>0.266467440091395</v>
      </c>
      <c r="BR63" s="60">
        <v>0.51082739117946996</v>
      </c>
      <c r="BS63" s="60">
        <v>0.305932097371302</v>
      </c>
      <c r="BT63" s="60">
        <v>0.32590145601647103</v>
      </c>
      <c r="BU63" s="60">
        <v>0.386028084985858</v>
      </c>
      <c r="BV63" s="60">
        <v>0.28039180184166002</v>
      </c>
      <c r="BW63" s="60">
        <v>0.26036487027626398</v>
      </c>
      <c r="BX63" s="60"/>
      <c r="BY63" s="60">
        <v>0.52084457054931099</v>
      </c>
      <c r="BZ63" s="60"/>
      <c r="CA63" s="60"/>
      <c r="CB63" s="60"/>
      <c r="CC63" s="60"/>
      <c r="CD63" s="60">
        <v>0.20653263210477699</v>
      </c>
      <c r="CE63" s="60">
        <v>0.297602614044646</v>
      </c>
      <c r="CF63" s="60">
        <v>0.40998277900305302</v>
      </c>
      <c r="CG63" s="60">
        <v>0.30936737139132903</v>
      </c>
      <c r="CH63" s="60">
        <v>0.275010887690044</v>
      </c>
      <c r="CI63" s="60"/>
      <c r="CJ63" s="60">
        <v>0.347923280236758</v>
      </c>
      <c r="CK63" s="60"/>
      <c r="CL63" s="60">
        <v>0.61081498142552004</v>
      </c>
      <c r="CM63" s="60"/>
      <c r="CN63" s="60"/>
      <c r="CO63" s="60"/>
      <c r="CP63" s="62">
        <v>119500</v>
      </c>
      <c r="CQ63" s="63">
        <v>-4.1026628703585803E-2</v>
      </c>
      <c r="CR63" s="63">
        <v>-0.20345014689827601</v>
      </c>
      <c r="CS63" s="63">
        <v>-0.105636283144198</v>
      </c>
      <c r="CT63" s="63">
        <v>-0.23150775944459101</v>
      </c>
      <c r="CU63" s="163">
        <v>0.43515324838309</v>
      </c>
      <c r="CV63" s="163">
        <v>0.26352413682760001</v>
      </c>
      <c r="CW63" s="163">
        <v>0.58343001874279998</v>
      </c>
      <c r="CX63" s="158"/>
    </row>
    <row r="64" spans="1:102" hidden="1" x14ac:dyDescent="0.2">
      <c r="A64" s="59" t="s">
        <v>113</v>
      </c>
      <c r="B64" s="59" t="s">
        <v>42</v>
      </c>
      <c r="C64" s="60">
        <v>3.5999999999999997E-2</v>
      </c>
      <c r="D64" s="61"/>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v>-5.4000000000000003E-3</v>
      </c>
      <c r="AH64" s="61"/>
      <c r="AI64" s="60">
        <v>-1.53258578579805E-3</v>
      </c>
      <c r="AJ64" s="60">
        <v>-1.3563498434833499E-2</v>
      </c>
      <c r="AK64" s="60">
        <v>-0.114298870654992</v>
      </c>
      <c r="AL64" s="60">
        <v>-7.0058308488749801E-3</v>
      </c>
      <c r="AM64" s="60">
        <v>1.5308478125020199E-2</v>
      </c>
      <c r="AN64" s="60">
        <v>0</v>
      </c>
      <c r="AO64" s="60">
        <v>0.112118505889792</v>
      </c>
      <c r="AP64" s="60">
        <v>0.106444736096817</v>
      </c>
      <c r="AQ64" s="60">
        <v>0.13038025024796099</v>
      </c>
      <c r="AR64" s="60">
        <v>-5.2461260454464802E-3</v>
      </c>
      <c r="AS64" s="60">
        <v>-2.3487409561112699E-2</v>
      </c>
      <c r="AT64" s="60">
        <v>0</v>
      </c>
      <c r="AU64" s="60">
        <v>0</v>
      </c>
      <c r="AV64" s="60">
        <v>0</v>
      </c>
      <c r="AW64" s="60">
        <v>0</v>
      </c>
      <c r="AX64" s="60">
        <v>0</v>
      </c>
      <c r="AY64" s="60">
        <v>0</v>
      </c>
      <c r="AZ64" s="60">
        <v>-6.0871243104549397E-3</v>
      </c>
      <c r="BA64" s="60">
        <v>0.13378672761277599</v>
      </c>
      <c r="BB64" s="60">
        <v>0</v>
      </c>
      <c r="BC64" s="60">
        <v>0</v>
      </c>
      <c r="BD64" s="60">
        <v>0.112477802121016</v>
      </c>
      <c r="BE64" s="60">
        <v>0</v>
      </c>
      <c r="BF64" s="60">
        <v>0</v>
      </c>
      <c r="BG64" s="60">
        <v>0</v>
      </c>
      <c r="BH64" s="60">
        <v>0</v>
      </c>
      <c r="BI64" s="60">
        <v>0</v>
      </c>
      <c r="BJ64" s="60">
        <v>0</v>
      </c>
      <c r="BK64" s="60">
        <v>-3.0599999999999999E-2</v>
      </c>
      <c r="BL64" s="61"/>
      <c r="BM64" s="60">
        <v>-3.0410612439264701E-2</v>
      </c>
      <c r="BN64" s="60">
        <v>-3.2887941286879302E-2</v>
      </c>
      <c r="BO64" s="60">
        <v>-1.8215098316098501E-2</v>
      </c>
      <c r="BP64" s="60">
        <v>2.1410983127472302E-2</v>
      </c>
      <c r="BQ64" s="60">
        <v>-9.8542644525525497E-2</v>
      </c>
      <c r="BR64" s="60">
        <v>-9.6748219608789404E-2</v>
      </c>
      <c r="BS64" s="60">
        <v>0.305932097371302</v>
      </c>
      <c r="BT64" s="60">
        <v>0.32590145601647103</v>
      </c>
      <c r="BU64" s="60">
        <v>-0.130381230000707</v>
      </c>
      <c r="BV64" s="60">
        <v>-7.4693084102412403E-3</v>
      </c>
      <c r="BW64" s="60">
        <v>-4.9605350007108098E-2</v>
      </c>
      <c r="BX64" s="60">
        <v>0</v>
      </c>
      <c r="BY64" s="60">
        <v>8.8835759605880096E-2</v>
      </c>
      <c r="BZ64" s="60">
        <v>0</v>
      </c>
      <c r="CA64" s="60">
        <v>0</v>
      </c>
      <c r="CB64" s="60">
        <v>0</v>
      </c>
      <c r="CC64" s="60">
        <v>0</v>
      </c>
      <c r="CD64" s="60">
        <v>-3.3658942660309603E-2</v>
      </c>
      <c r="CE64" s="60">
        <v>-2.3243236237041699E-2</v>
      </c>
      <c r="CF64" s="60">
        <v>-7.60570992653353E-3</v>
      </c>
      <c r="CG64" s="60">
        <v>0.30936737139132903</v>
      </c>
      <c r="CH64" s="60">
        <v>0.275010887690044</v>
      </c>
      <c r="CI64" s="60">
        <v>0</v>
      </c>
      <c r="CJ64" s="60">
        <v>0.347923280236758</v>
      </c>
      <c r="CK64" s="60">
        <v>0</v>
      </c>
      <c r="CL64" s="60">
        <v>0.61081498142552004</v>
      </c>
      <c r="CM64" s="60">
        <v>0</v>
      </c>
      <c r="CN64" s="60">
        <v>0</v>
      </c>
      <c r="CO64" s="60">
        <v>-0.65510000000000002</v>
      </c>
      <c r="CP64" s="62">
        <v>8700</v>
      </c>
      <c r="CQ64" s="63">
        <v>2.4773288476145402E-3</v>
      </c>
      <c r="CR64" s="63">
        <v>-2.6053232733776101E-2</v>
      </c>
      <c r="CS64" s="63">
        <v>0.122911921590466</v>
      </c>
      <c r="CT64" s="63">
        <v>7.8533121292690994E-2</v>
      </c>
      <c r="CU64" s="163">
        <v>5.9240280680892002E-2</v>
      </c>
      <c r="CV64" s="163">
        <v>-2.4596430538422899E-2</v>
      </c>
      <c r="CW64" s="163">
        <v>3.1270299454457501E-2</v>
      </c>
      <c r="CX64" s="158"/>
    </row>
    <row r="65" spans="1:102" hidden="1" x14ac:dyDescent="0.2">
      <c r="A65" s="59" t="s">
        <v>114</v>
      </c>
      <c r="B65" s="59" t="s">
        <v>35</v>
      </c>
      <c r="C65" s="60">
        <v>0.57520000000000004</v>
      </c>
      <c r="D65" s="61">
        <v>113100</v>
      </c>
      <c r="E65" s="60">
        <v>0.60293404449965005</v>
      </c>
      <c r="F65" s="60">
        <v>0.54976261846298402</v>
      </c>
      <c r="G65" s="60">
        <v>0.68420234451472595</v>
      </c>
      <c r="H65" s="60">
        <v>0.59463103279198704</v>
      </c>
      <c r="I65" s="60">
        <v>0.46995710099181998</v>
      </c>
      <c r="J65" s="60">
        <v>0.36130541379089098</v>
      </c>
      <c r="K65" s="60"/>
      <c r="L65" s="60"/>
      <c r="M65" s="60">
        <v>0.33785618995612798</v>
      </c>
      <c r="N65" s="60">
        <v>0.62698687728291003</v>
      </c>
      <c r="O65" s="60">
        <v>0.57705053623753699</v>
      </c>
      <c r="P65" s="60">
        <v>0.56889353760435801</v>
      </c>
      <c r="Q65" s="60"/>
      <c r="R65" s="60"/>
      <c r="S65" s="60"/>
      <c r="T65" s="60"/>
      <c r="U65" s="60"/>
      <c r="V65" s="60">
        <v>0.658855120106559</v>
      </c>
      <c r="W65" s="60">
        <v>0.64095942809816198</v>
      </c>
      <c r="X65" s="60">
        <v>0.45602151555674902</v>
      </c>
      <c r="Y65" s="60"/>
      <c r="Z65" s="60"/>
      <c r="AA65" s="60"/>
      <c r="AB65" s="60"/>
      <c r="AC65" s="60"/>
      <c r="AD65" s="60"/>
      <c r="AE65" s="60"/>
      <c r="AF65" s="60"/>
      <c r="AG65" s="60">
        <v>0.1139</v>
      </c>
      <c r="AH65" s="61">
        <v>22400</v>
      </c>
      <c r="AI65" s="60">
        <v>0.101195580104799</v>
      </c>
      <c r="AJ65" s="60">
        <v>0.127696408890939</v>
      </c>
      <c r="AK65" s="60"/>
      <c r="AL65" s="60">
        <v>0.10689348042336</v>
      </c>
      <c r="AM65" s="60">
        <v>0.158748095673795</v>
      </c>
      <c r="AN65" s="60"/>
      <c r="AO65" s="60"/>
      <c r="AP65" s="60"/>
      <c r="AQ65" s="60"/>
      <c r="AR65" s="60">
        <v>0.109862543819905</v>
      </c>
      <c r="AS65" s="60">
        <v>0.117982322381564</v>
      </c>
      <c r="AT65" s="60"/>
      <c r="AU65" s="60"/>
      <c r="AV65" s="60"/>
      <c r="AW65" s="60"/>
      <c r="AX65" s="60"/>
      <c r="AY65" s="60"/>
      <c r="AZ65" s="60">
        <v>0.14433347026680801</v>
      </c>
      <c r="BA65" s="60"/>
      <c r="BB65" s="60"/>
      <c r="BC65" s="60"/>
      <c r="BD65" s="60"/>
      <c r="BE65" s="60"/>
      <c r="BF65" s="60"/>
      <c r="BG65" s="60"/>
      <c r="BH65" s="60"/>
      <c r="BI65" s="60"/>
      <c r="BJ65" s="60"/>
      <c r="BK65" s="60">
        <v>0.31080000000000002</v>
      </c>
      <c r="BL65" s="61">
        <v>61100</v>
      </c>
      <c r="BM65" s="60">
        <v>0.295870375395553</v>
      </c>
      <c r="BN65" s="60">
        <v>0.32254097264607701</v>
      </c>
      <c r="BO65" s="60">
        <v>0.21089446620598901</v>
      </c>
      <c r="BP65" s="60">
        <v>0.29847548678465302</v>
      </c>
      <c r="BQ65" s="60">
        <v>0.37129480333438603</v>
      </c>
      <c r="BR65" s="60">
        <v>0.59865782039959603</v>
      </c>
      <c r="BS65" s="60"/>
      <c r="BT65" s="60"/>
      <c r="BU65" s="60">
        <v>0.49921270425109199</v>
      </c>
      <c r="BV65" s="60">
        <v>0.26315057889718402</v>
      </c>
      <c r="BW65" s="60">
        <v>0.30496714138089798</v>
      </c>
      <c r="BX65" s="60"/>
      <c r="BY65" s="60"/>
      <c r="BZ65" s="60"/>
      <c r="CA65" s="60"/>
      <c r="CB65" s="60"/>
      <c r="CC65" s="60"/>
      <c r="CD65" s="60">
        <v>0.19681140962663299</v>
      </c>
      <c r="CE65" s="60">
        <v>0.25069661811418997</v>
      </c>
      <c r="CF65" s="60">
        <v>0.43481602739682701</v>
      </c>
      <c r="CG65" s="60"/>
      <c r="CH65" s="60"/>
      <c r="CI65" s="60"/>
      <c r="CJ65" s="60"/>
      <c r="CK65" s="60"/>
      <c r="CL65" s="60"/>
      <c r="CM65" s="60"/>
      <c r="CN65" s="60"/>
      <c r="CO65" s="60">
        <v>0.68910000000000005</v>
      </c>
      <c r="CP65" s="62">
        <v>135500</v>
      </c>
      <c r="CQ65" s="63">
        <v>-2.6670597250524501E-2</v>
      </c>
      <c r="CR65" s="63">
        <v>-0.23800461777019299</v>
      </c>
      <c r="CS65" s="63">
        <v>-0.236062125353908</v>
      </c>
      <c r="CT65" s="63">
        <v>-0.38776335419360602</v>
      </c>
      <c r="CU65" s="163"/>
      <c r="CV65" s="163"/>
      <c r="CW65" s="163"/>
      <c r="CX65" s="158"/>
    </row>
    <row r="66" spans="1:102" hidden="1" x14ac:dyDescent="0.2">
      <c r="A66" s="59" t="s">
        <v>114</v>
      </c>
      <c r="B66" s="59" t="s">
        <v>36</v>
      </c>
      <c r="C66" s="60">
        <v>0.61729999999999996</v>
      </c>
      <c r="D66" s="61">
        <v>122500</v>
      </c>
      <c r="E66" s="60">
        <v>0.65647958738468204</v>
      </c>
      <c r="F66" s="60">
        <v>0.55349037580507798</v>
      </c>
      <c r="G66" s="60">
        <v>0.76024970464066499</v>
      </c>
      <c r="H66" s="60">
        <v>0.54497741547261302</v>
      </c>
      <c r="I66" s="60">
        <v>0.49832150795131702</v>
      </c>
      <c r="J66" s="60"/>
      <c r="K66" s="60"/>
      <c r="L66" s="60"/>
      <c r="M66" s="60">
        <v>0.39615856256183102</v>
      </c>
      <c r="N66" s="60">
        <v>0.66739804149091697</v>
      </c>
      <c r="O66" s="60">
        <v>0.61581232259932805</v>
      </c>
      <c r="P66" s="60">
        <v>0.69613386362291296</v>
      </c>
      <c r="Q66" s="60"/>
      <c r="R66" s="60"/>
      <c r="S66" s="60"/>
      <c r="T66" s="60"/>
      <c r="U66" s="60"/>
      <c r="V66" s="60">
        <v>0.65624733029712101</v>
      </c>
      <c r="W66" s="60">
        <v>0.58382717426862796</v>
      </c>
      <c r="X66" s="60">
        <v>0.53586456810401895</v>
      </c>
      <c r="Y66" s="60"/>
      <c r="Z66" s="60"/>
      <c r="AA66" s="60"/>
      <c r="AB66" s="60"/>
      <c r="AC66" s="60"/>
      <c r="AD66" s="60"/>
      <c r="AE66" s="60"/>
      <c r="AF66" s="60"/>
      <c r="AG66" s="60">
        <v>0.1196</v>
      </c>
      <c r="AH66" s="61">
        <v>23700</v>
      </c>
      <c r="AI66" s="60">
        <v>0.11450948386676101</v>
      </c>
      <c r="AJ66" s="60">
        <v>0.14955359478920199</v>
      </c>
      <c r="AK66" s="60">
        <v>0.110768169986471</v>
      </c>
      <c r="AL66" s="60">
        <v>0.16148361507661799</v>
      </c>
      <c r="AM66" s="60">
        <v>0.16704691639886701</v>
      </c>
      <c r="AN66" s="60"/>
      <c r="AO66" s="60"/>
      <c r="AP66" s="60"/>
      <c r="AQ66" s="60">
        <v>0.15027146730605301</v>
      </c>
      <c r="AR66" s="60">
        <v>0.12417115232630099</v>
      </c>
      <c r="AS66" s="60">
        <v>0.13896422692060301</v>
      </c>
      <c r="AT66" s="60"/>
      <c r="AU66" s="60"/>
      <c r="AV66" s="60"/>
      <c r="AW66" s="60"/>
      <c r="AX66" s="60"/>
      <c r="AY66" s="60"/>
      <c r="AZ66" s="60">
        <v>0.14340411149094101</v>
      </c>
      <c r="BA66" s="60">
        <v>0.17460353459820199</v>
      </c>
      <c r="BB66" s="60"/>
      <c r="BC66" s="60"/>
      <c r="BD66" s="60"/>
      <c r="BE66" s="60"/>
      <c r="BF66" s="60"/>
      <c r="BG66" s="60"/>
      <c r="BH66" s="60"/>
      <c r="BI66" s="60"/>
      <c r="BJ66" s="60"/>
      <c r="BK66" s="60">
        <v>0.263149895831638</v>
      </c>
      <c r="BL66" s="61">
        <v>52200</v>
      </c>
      <c r="BM66" s="60">
        <v>0.229010928748557</v>
      </c>
      <c r="BN66" s="60">
        <v>0.29695602940571902</v>
      </c>
      <c r="BO66" s="60">
        <v>0.12898212537286399</v>
      </c>
      <c r="BP66" s="60">
        <v>0.29353896945077002</v>
      </c>
      <c r="BQ66" s="60">
        <v>0.33463157564981599</v>
      </c>
      <c r="BR66" s="60">
        <v>0.60416507624723204</v>
      </c>
      <c r="BS66" s="60"/>
      <c r="BT66" s="60"/>
      <c r="BU66" s="60">
        <v>0.45356997013211497</v>
      </c>
      <c r="BV66" s="60">
        <v>0.20843080618278301</v>
      </c>
      <c r="BW66" s="60">
        <v>0.24522345048006899</v>
      </c>
      <c r="BX66" s="60"/>
      <c r="BY66" s="60"/>
      <c r="BZ66" s="60"/>
      <c r="CA66" s="60"/>
      <c r="CB66" s="60"/>
      <c r="CC66" s="60"/>
      <c r="CD66" s="60">
        <v>0.20034855821193701</v>
      </c>
      <c r="CE66" s="60">
        <v>0.24156929113317099</v>
      </c>
      <c r="CF66" s="60">
        <v>0.34532015492759499</v>
      </c>
      <c r="CG66" s="60"/>
      <c r="CH66" s="60"/>
      <c r="CI66" s="60"/>
      <c r="CJ66" s="60"/>
      <c r="CK66" s="60"/>
      <c r="CL66" s="60"/>
      <c r="CM66" s="60"/>
      <c r="CN66" s="60"/>
      <c r="CO66" s="60">
        <v>0.7369</v>
      </c>
      <c r="CP66" s="62">
        <v>146200</v>
      </c>
      <c r="CQ66" s="63">
        <v>-6.7945100657161903E-2</v>
      </c>
      <c r="CR66" s="63">
        <v>-0.14497159671565801</v>
      </c>
      <c r="CS66" s="63">
        <v>-0.24513916394933299</v>
      </c>
      <c r="CT66" s="63">
        <v>-0.47518295087436802</v>
      </c>
      <c r="CU66" s="163"/>
      <c r="CV66" s="163"/>
      <c r="CW66" s="163"/>
      <c r="CX66" s="158">
        <v>0.1573</v>
      </c>
    </row>
    <row r="67" spans="1:102" hidden="1" x14ac:dyDescent="0.2">
      <c r="A67" s="59" t="s">
        <v>114</v>
      </c>
      <c r="B67" s="59" t="s">
        <v>37</v>
      </c>
      <c r="C67" s="60">
        <v>0.63290000000000002</v>
      </c>
      <c r="D67" s="61">
        <v>126000</v>
      </c>
      <c r="E67" s="60">
        <v>0.65491682595235401</v>
      </c>
      <c r="F67" s="60">
        <v>0.61462462245771099</v>
      </c>
      <c r="G67" s="60">
        <v>0.78434270640075299</v>
      </c>
      <c r="H67" s="60">
        <v>0.58135462806761495</v>
      </c>
      <c r="I67" s="60">
        <v>0.52306047327837502</v>
      </c>
      <c r="J67" s="60"/>
      <c r="K67" s="60"/>
      <c r="L67" s="60"/>
      <c r="M67" s="60">
        <v>0.38784444552201802</v>
      </c>
      <c r="N67" s="60">
        <v>0.69338006051635204</v>
      </c>
      <c r="O67" s="60">
        <v>0.65517044579153505</v>
      </c>
      <c r="P67" s="60">
        <v>0.64776615569976403</v>
      </c>
      <c r="Q67" s="60"/>
      <c r="R67" s="60"/>
      <c r="S67" s="60"/>
      <c r="T67" s="60"/>
      <c r="U67" s="60"/>
      <c r="V67" s="60">
        <v>0.68404912074539304</v>
      </c>
      <c r="W67" s="60">
        <v>0.58725097655285396</v>
      </c>
      <c r="X67" s="60">
        <v>0.58454218680907299</v>
      </c>
      <c r="Y67" s="60"/>
      <c r="Z67" s="60"/>
      <c r="AA67" s="60"/>
      <c r="AB67" s="60"/>
      <c r="AC67" s="60"/>
      <c r="AD67" s="60"/>
      <c r="AE67" s="60"/>
      <c r="AF67" s="60"/>
      <c r="AG67" s="60">
        <v>0.1045</v>
      </c>
      <c r="AH67" s="61">
        <v>20800</v>
      </c>
      <c r="AI67" s="60">
        <v>9.4438702015913797E-2</v>
      </c>
      <c r="AJ67" s="60">
        <v>0.110840202471963</v>
      </c>
      <c r="AK67" s="60"/>
      <c r="AL67" s="60">
        <v>0.13165452063757099</v>
      </c>
      <c r="AM67" s="60">
        <v>0.16675288822024101</v>
      </c>
      <c r="AN67" s="60"/>
      <c r="AO67" s="60"/>
      <c r="AP67" s="60"/>
      <c r="AQ67" s="60"/>
      <c r="AR67" s="60">
        <v>9.7679006160635407E-2</v>
      </c>
      <c r="AS67" s="60">
        <v>0.10701991816527701</v>
      </c>
      <c r="AT67" s="60"/>
      <c r="AU67" s="60"/>
      <c r="AV67" s="60"/>
      <c r="AW67" s="60"/>
      <c r="AX67" s="60"/>
      <c r="AY67" s="60"/>
      <c r="AZ67" s="60">
        <v>0.135312635488783</v>
      </c>
      <c r="BA67" s="60">
        <v>0.12209348265508201</v>
      </c>
      <c r="BB67" s="60"/>
      <c r="BC67" s="60"/>
      <c r="BD67" s="60"/>
      <c r="BE67" s="60"/>
      <c r="BF67" s="60"/>
      <c r="BG67" s="60"/>
      <c r="BH67" s="60"/>
      <c r="BI67" s="60"/>
      <c r="BJ67" s="60"/>
      <c r="BK67" s="60">
        <v>0.2626</v>
      </c>
      <c r="BL67" s="61">
        <v>52300</v>
      </c>
      <c r="BM67" s="60">
        <v>0.25064447203173201</v>
      </c>
      <c r="BN67" s="60">
        <v>0.27453517507032399</v>
      </c>
      <c r="BO67" s="60">
        <v>0.160227984076102</v>
      </c>
      <c r="BP67" s="60">
        <v>0.286990851294814</v>
      </c>
      <c r="BQ67" s="60">
        <v>0.310186638501384</v>
      </c>
      <c r="BR67" s="60">
        <v>0.63146127802811403</v>
      </c>
      <c r="BS67" s="60"/>
      <c r="BT67" s="60"/>
      <c r="BU67" s="60">
        <v>0.49657989556193399</v>
      </c>
      <c r="BV67" s="60">
        <v>0.208940933323013</v>
      </c>
      <c r="BW67" s="60">
        <v>0.237809636043187</v>
      </c>
      <c r="BX67" s="60"/>
      <c r="BY67" s="60"/>
      <c r="BZ67" s="60"/>
      <c r="CA67" s="60"/>
      <c r="CB67" s="60"/>
      <c r="CC67" s="60"/>
      <c r="CD67" s="60">
        <v>0.18063824376582499</v>
      </c>
      <c r="CE67" s="60">
        <v>0.29065554079206402</v>
      </c>
      <c r="CF67" s="60">
        <v>0.325622770975383</v>
      </c>
      <c r="CG67" s="60"/>
      <c r="CH67" s="60"/>
      <c r="CI67" s="60"/>
      <c r="CJ67" s="60"/>
      <c r="CK67" s="60"/>
      <c r="CL67" s="60"/>
      <c r="CM67" s="60"/>
      <c r="CN67" s="60"/>
      <c r="CO67" s="60">
        <v>0.73740000000000006</v>
      </c>
      <c r="CP67" s="62">
        <v>146800</v>
      </c>
      <c r="CQ67" s="63">
        <v>-2.3890703038591601E-2</v>
      </c>
      <c r="CR67" s="63">
        <v>-0.14498452720955901</v>
      </c>
      <c r="CS67" s="63">
        <v>-0.28763896223892099</v>
      </c>
      <c r="CT67" s="63">
        <v>-0.47123329395201202</v>
      </c>
      <c r="CU67" s="163"/>
      <c r="CV67" s="163"/>
      <c r="CW67" s="163"/>
      <c r="CX67" s="158">
        <v>0.14230000000000001</v>
      </c>
    </row>
    <row r="68" spans="1:102" hidden="1" x14ac:dyDescent="0.2">
      <c r="A68" s="59" t="s">
        <v>114</v>
      </c>
      <c r="B68" s="59" t="s">
        <v>38</v>
      </c>
      <c r="C68" s="60">
        <v>0.64070798098868198</v>
      </c>
      <c r="D68" s="61">
        <v>128700</v>
      </c>
      <c r="E68" s="60">
        <v>0.64524419036889202</v>
      </c>
      <c r="F68" s="60">
        <v>0.63820313548293695</v>
      </c>
      <c r="G68" s="60">
        <v>0.73338169899751904</v>
      </c>
      <c r="H68" s="60">
        <v>0.68884191710757403</v>
      </c>
      <c r="I68" s="60">
        <v>0.51882516466184603</v>
      </c>
      <c r="J68" s="60"/>
      <c r="K68" s="60"/>
      <c r="L68" s="60"/>
      <c r="M68" s="60">
        <v>0.49071682504555902</v>
      </c>
      <c r="N68" s="60">
        <v>0.68040265786097198</v>
      </c>
      <c r="O68" s="60">
        <v>0.65899487172316995</v>
      </c>
      <c r="P68" s="60">
        <v>0.62148515287205397</v>
      </c>
      <c r="Q68" s="60"/>
      <c r="R68" s="60"/>
      <c r="S68" s="60"/>
      <c r="T68" s="60"/>
      <c r="U68" s="60"/>
      <c r="V68" s="60">
        <v>0.70325673734068705</v>
      </c>
      <c r="W68" s="60">
        <v>0.605405273828867</v>
      </c>
      <c r="X68" s="60">
        <v>0.60395134849483201</v>
      </c>
      <c r="Y68" s="60"/>
      <c r="Z68" s="60"/>
      <c r="AA68" s="60"/>
      <c r="AB68" s="60"/>
      <c r="AC68" s="60"/>
      <c r="AD68" s="60"/>
      <c r="AE68" s="60"/>
      <c r="AF68" s="60"/>
      <c r="AG68" s="60">
        <v>0.118396759001719</v>
      </c>
      <c r="AH68" s="61">
        <v>23800</v>
      </c>
      <c r="AI68" s="60">
        <v>0.11551236867714899</v>
      </c>
      <c r="AJ68" s="60">
        <v>0.11825882052471801</v>
      </c>
      <c r="AK68" s="60"/>
      <c r="AL68" s="60">
        <v>0.10990765458500699</v>
      </c>
      <c r="AM68" s="60">
        <v>0.15409075031561401</v>
      </c>
      <c r="AN68" s="60"/>
      <c r="AO68" s="60"/>
      <c r="AP68" s="60"/>
      <c r="AQ68" s="60"/>
      <c r="AR68" s="60">
        <v>0.13117011127376499</v>
      </c>
      <c r="AS68" s="60">
        <v>0.116392680748248</v>
      </c>
      <c r="AT68" s="60"/>
      <c r="AU68" s="60"/>
      <c r="AV68" s="60"/>
      <c r="AW68" s="60"/>
      <c r="AX68" s="60"/>
      <c r="AY68" s="60"/>
      <c r="AZ68" s="60">
        <v>0.11506431353502899</v>
      </c>
      <c r="BA68" s="60">
        <v>0.13807620117542699</v>
      </c>
      <c r="BB68" s="60">
        <v>0.15051302523868501</v>
      </c>
      <c r="BC68" s="60"/>
      <c r="BD68" s="60"/>
      <c r="BE68" s="60"/>
      <c r="BF68" s="60"/>
      <c r="BG68" s="60"/>
      <c r="BH68" s="60"/>
      <c r="BI68" s="60"/>
      <c r="BJ68" s="60"/>
      <c r="BK68" s="60">
        <v>0.24089526000959899</v>
      </c>
      <c r="BL68" s="61">
        <v>48400</v>
      </c>
      <c r="BM68" s="60">
        <v>0.239243440953958</v>
      </c>
      <c r="BN68" s="60">
        <v>0.24353804399234599</v>
      </c>
      <c r="BO68" s="60">
        <v>0.165390400108718</v>
      </c>
      <c r="BP68" s="60">
        <v>0.20125042830741799</v>
      </c>
      <c r="BQ68" s="60">
        <v>0.32708408502254099</v>
      </c>
      <c r="BR68" s="60">
        <v>0.56615733993514905</v>
      </c>
      <c r="BS68" s="60"/>
      <c r="BT68" s="60"/>
      <c r="BU68" s="60">
        <v>0.44963042464275399</v>
      </c>
      <c r="BV68" s="60">
        <v>0.188427230865263</v>
      </c>
      <c r="BW68" s="60">
        <v>0.224612447528582</v>
      </c>
      <c r="BX68" s="60"/>
      <c r="BY68" s="60"/>
      <c r="BZ68" s="60"/>
      <c r="CA68" s="60"/>
      <c r="CB68" s="60"/>
      <c r="CC68" s="60"/>
      <c r="CD68" s="60">
        <v>0.18167894912428301</v>
      </c>
      <c r="CE68" s="60">
        <v>0.25651852499570599</v>
      </c>
      <c r="CF68" s="60">
        <v>0.24553562626648301</v>
      </c>
      <c r="CG68" s="60"/>
      <c r="CH68" s="60"/>
      <c r="CI68" s="60"/>
      <c r="CJ68" s="60"/>
      <c r="CK68" s="60"/>
      <c r="CL68" s="60"/>
      <c r="CM68" s="60"/>
      <c r="CN68" s="60"/>
      <c r="CO68" s="60">
        <v>0.75910473999040096</v>
      </c>
      <c r="CP68" s="62">
        <v>152500</v>
      </c>
      <c r="CQ68" s="63">
        <v>-4.2946030383874401E-3</v>
      </c>
      <c r="CR68" s="63">
        <v>-6.38566771421996E-2</v>
      </c>
      <c r="CS68" s="63">
        <v>-0.26120319377749102</v>
      </c>
      <c r="CT68" s="63">
        <v>-0.40076693982643002</v>
      </c>
      <c r="CU68" s="163"/>
      <c r="CV68" s="163"/>
      <c r="CW68" s="163"/>
      <c r="CX68" s="158">
        <v>0.1298</v>
      </c>
    </row>
    <row r="69" spans="1:102" hidden="1" x14ac:dyDescent="0.2">
      <c r="A69" s="59" t="s">
        <v>114</v>
      </c>
      <c r="B69" s="59" t="s">
        <v>39</v>
      </c>
      <c r="C69" s="60">
        <v>0.59692975140693205</v>
      </c>
      <c r="D69" s="61">
        <v>119900</v>
      </c>
      <c r="E69" s="60">
        <v>0.62742633253265201</v>
      </c>
      <c r="F69" s="60">
        <v>0.56381179762829503</v>
      </c>
      <c r="G69" s="60">
        <v>0.69276534231603404</v>
      </c>
      <c r="H69" s="60">
        <v>0.614305505318541</v>
      </c>
      <c r="I69" s="60">
        <v>0.52338660867322495</v>
      </c>
      <c r="J69" s="60">
        <v>0.29201642110266302</v>
      </c>
      <c r="K69" s="60">
        <v>0.65886101155324595</v>
      </c>
      <c r="L69" s="60">
        <v>0.45525153538714103</v>
      </c>
      <c r="M69" s="60">
        <v>0.497959440230277</v>
      </c>
      <c r="N69" s="60">
        <v>0.63460600280339696</v>
      </c>
      <c r="O69" s="60">
        <v>0.59227797527340098</v>
      </c>
      <c r="P69" s="60">
        <v>0.729968873760652</v>
      </c>
      <c r="Q69" s="60"/>
      <c r="R69" s="60"/>
      <c r="S69" s="60"/>
      <c r="T69" s="60"/>
      <c r="U69" s="60"/>
      <c r="V69" s="60">
        <v>0.71002598174367004</v>
      </c>
      <c r="W69" s="60">
        <v>0.56751078884750406</v>
      </c>
      <c r="X69" s="60">
        <v>0.55810002838251904</v>
      </c>
      <c r="Y69" s="60">
        <v>0.64938703260705399</v>
      </c>
      <c r="Z69" s="60"/>
      <c r="AA69" s="60"/>
      <c r="AB69" s="60"/>
      <c r="AC69" s="60"/>
      <c r="AD69" s="60"/>
      <c r="AE69" s="60"/>
      <c r="AF69" s="60"/>
      <c r="AG69" s="60">
        <v>0.14899999999999999</v>
      </c>
      <c r="AH69" s="61">
        <v>29900</v>
      </c>
      <c r="AI69" s="60">
        <v>0.15161571583601</v>
      </c>
      <c r="AJ69" s="60">
        <v>0.14461000349279901</v>
      </c>
      <c r="AK69" s="60">
        <v>0.15987085363124501</v>
      </c>
      <c r="AL69" s="60">
        <v>0.14320464460769</v>
      </c>
      <c r="AM69" s="60">
        <v>0.15481907357722699</v>
      </c>
      <c r="AN69" s="60"/>
      <c r="AO69" s="60">
        <v>0.152668994885166</v>
      </c>
      <c r="AP69" s="60">
        <v>0.14346009052144401</v>
      </c>
      <c r="AQ69" s="60"/>
      <c r="AR69" s="60">
        <v>0.165555699191025</v>
      </c>
      <c r="AS69" s="60">
        <v>0.155005528126515</v>
      </c>
      <c r="AT69" s="60"/>
      <c r="AU69" s="60"/>
      <c r="AV69" s="60"/>
      <c r="AW69" s="60"/>
      <c r="AX69" s="60"/>
      <c r="AY69" s="60"/>
      <c r="AZ69" s="60">
        <v>0.12050728197753</v>
      </c>
      <c r="BA69" s="60"/>
      <c r="BB69" s="60"/>
      <c r="BC69" s="60"/>
      <c r="BD69" s="60"/>
      <c r="BE69" s="60"/>
      <c r="BF69" s="60"/>
      <c r="BG69" s="60"/>
      <c r="BH69" s="60"/>
      <c r="BI69" s="60"/>
      <c r="BJ69" s="60"/>
      <c r="BK69" s="60">
        <v>0.25409999999999999</v>
      </c>
      <c r="BL69" s="61">
        <v>51000</v>
      </c>
      <c r="BM69" s="60">
        <v>0.220957951631338</v>
      </c>
      <c r="BN69" s="60">
        <v>0.29157819887890402</v>
      </c>
      <c r="BO69" s="60">
        <v>0.14736380405272101</v>
      </c>
      <c r="BP69" s="60">
        <v>0.242489850073769</v>
      </c>
      <c r="BQ69" s="60">
        <v>0.32179431774954698</v>
      </c>
      <c r="BR69" s="60">
        <v>0.59173685746527305</v>
      </c>
      <c r="BS69" s="60">
        <v>0.188469993561588</v>
      </c>
      <c r="BT69" s="60">
        <v>0.40128837409141399</v>
      </c>
      <c r="BU69" s="60">
        <v>0.405794039799244</v>
      </c>
      <c r="BV69" s="60">
        <v>0.19983829800557701</v>
      </c>
      <c r="BW69" s="60">
        <v>0.252716496600082</v>
      </c>
      <c r="BX69" s="60"/>
      <c r="BY69" s="60"/>
      <c r="BZ69" s="60"/>
      <c r="CA69" s="60"/>
      <c r="CB69" s="60"/>
      <c r="CC69" s="60"/>
      <c r="CD69" s="60">
        <v>0.16946673627879999</v>
      </c>
      <c r="CE69" s="60">
        <v>0.27427637133163302</v>
      </c>
      <c r="CF69" s="60">
        <v>0.24304015556511099</v>
      </c>
      <c r="CG69" s="60"/>
      <c r="CH69" s="60"/>
      <c r="CI69" s="60"/>
      <c r="CJ69" s="60"/>
      <c r="CK69" s="60"/>
      <c r="CL69" s="60"/>
      <c r="CM69" s="60"/>
      <c r="CN69" s="60"/>
      <c r="CO69" s="60">
        <v>0.74592975140693196</v>
      </c>
      <c r="CP69" s="62">
        <v>149800</v>
      </c>
      <c r="CQ69" s="63">
        <v>-7.06202472475667E-2</v>
      </c>
      <c r="CR69" s="63">
        <v>-7.3573419286310296E-2</v>
      </c>
      <c r="CS69" s="63">
        <v>-0.20595574179366699</v>
      </c>
      <c r="CT69" s="63">
        <v>-0.44437305341255201</v>
      </c>
      <c r="CU69" s="163">
        <v>0.3634677848274</v>
      </c>
      <c r="CV69" s="163">
        <v>0.329120761663872</v>
      </c>
      <c r="CW69" s="163">
        <v>0.56653556268605798</v>
      </c>
      <c r="CX69" s="158">
        <v>0.11409999999999999</v>
      </c>
    </row>
    <row r="70" spans="1:102" hidden="1" x14ac:dyDescent="0.2">
      <c r="A70" s="59" t="s">
        <v>114</v>
      </c>
      <c r="B70" s="59" t="s">
        <v>40</v>
      </c>
      <c r="C70" s="60">
        <v>0.61140000000000005</v>
      </c>
      <c r="D70" s="61">
        <v>124100</v>
      </c>
      <c r="E70" s="60">
        <v>0.64800000000000002</v>
      </c>
      <c r="F70" s="60">
        <v>0.57499999999999996</v>
      </c>
      <c r="G70" s="60">
        <v>0.70389999999999997</v>
      </c>
      <c r="H70" s="60">
        <v>0.62719999999999998</v>
      </c>
      <c r="I70" s="60">
        <v>0.54449999999999998</v>
      </c>
      <c r="J70" s="60"/>
      <c r="K70" s="60">
        <v>0.67130000000000001</v>
      </c>
      <c r="L70" s="60">
        <v>0.46850000000000003</v>
      </c>
      <c r="M70" s="60">
        <v>0.4657</v>
      </c>
      <c r="N70" s="60">
        <v>0.66090000000000004</v>
      </c>
      <c r="O70" s="60">
        <v>0.5877</v>
      </c>
      <c r="P70" s="60">
        <v>0.68479999999999996</v>
      </c>
      <c r="Q70" s="60"/>
      <c r="R70" s="60"/>
      <c r="S70" s="60"/>
      <c r="T70" s="60"/>
      <c r="U70" s="60"/>
      <c r="V70" s="60">
        <v>0.73280000000000001</v>
      </c>
      <c r="W70" s="60">
        <v>0.56610000000000005</v>
      </c>
      <c r="X70" s="60">
        <v>0.53349999999999997</v>
      </c>
      <c r="Y70" s="60">
        <v>0.70550000000000002</v>
      </c>
      <c r="Z70" s="60">
        <v>0.66320000000000001</v>
      </c>
      <c r="AA70" s="60"/>
      <c r="AB70" s="60">
        <v>0.46279999999999999</v>
      </c>
      <c r="AC70" s="60"/>
      <c r="AD70" s="60"/>
      <c r="AE70" s="60">
        <v>0.76580000000000004</v>
      </c>
      <c r="AF70" s="60"/>
      <c r="AG70" s="60">
        <v>0.14460000000000001</v>
      </c>
      <c r="AH70" s="61">
        <v>29300</v>
      </c>
      <c r="AI70" s="60">
        <v>0.14149999999999999</v>
      </c>
      <c r="AJ70" s="60">
        <v>0.1484</v>
      </c>
      <c r="AK70" s="60">
        <v>0.1484</v>
      </c>
      <c r="AL70" s="60">
        <v>0.14610000000000001</v>
      </c>
      <c r="AM70" s="60">
        <v>0.15959999999999999</v>
      </c>
      <c r="AN70" s="60"/>
      <c r="AO70" s="60">
        <v>0.1474</v>
      </c>
      <c r="AP70" s="60">
        <v>0.14219999999999999</v>
      </c>
      <c r="AQ70" s="60"/>
      <c r="AR70" s="60">
        <v>0.14169999999999999</v>
      </c>
      <c r="AS70" s="60">
        <v>0.15709999999999999</v>
      </c>
      <c r="AT70" s="60"/>
      <c r="AU70" s="60"/>
      <c r="AV70" s="60"/>
      <c r="AW70" s="60"/>
      <c r="AX70" s="60"/>
      <c r="AY70" s="60"/>
      <c r="AZ70" s="60">
        <v>0.1246</v>
      </c>
      <c r="BA70" s="60">
        <v>0.156</v>
      </c>
      <c r="BB70" s="60"/>
      <c r="BC70" s="60"/>
      <c r="BD70" s="60">
        <v>0.14680000000000001</v>
      </c>
      <c r="BE70" s="60"/>
      <c r="BF70" s="60"/>
      <c r="BG70" s="60"/>
      <c r="BH70" s="60"/>
      <c r="BI70" s="60"/>
      <c r="BJ70" s="60"/>
      <c r="BK70" s="60">
        <v>0.24410000000000001</v>
      </c>
      <c r="BL70" s="61">
        <v>49500</v>
      </c>
      <c r="BM70" s="60">
        <v>0.2104</v>
      </c>
      <c r="BN70" s="60">
        <v>0.27660000000000001</v>
      </c>
      <c r="BO70" s="60">
        <v>0.1477</v>
      </c>
      <c r="BP70" s="60">
        <v>0.22670000000000001</v>
      </c>
      <c r="BQ70" s="60">
        <v>0.2959</v>
      </c>
      <c r="BR70" s="60">
        <v>0.62470000000000003</v>
      </c>
      <c r="BS70" s="60">
        <v>0.18129999999999999</v>
      </c>
      <c r="BT70" s="60">
        <v>0.38929999999999998</v>
      </c>
      <c r="BU70" s="60">
        <v>0.37369999999999998</v>
      </c>
      <c r="BV70" s="60">
        <v>0.19739999999999999</v>
      </c>
      <c r="BW70" s="60">
        <v>0.25519999999999998</v>
      </c>
      <c r="BX70" s="60"/>
      <c r="BY70" s="60"/>
      <c r="BZ70" s="60"/>
      <c r="CA70" s="60"/>
      <c r="CB70" s="60"/>
      <c r="CC70" s="60"/>
      <c r="CD70" s="60">
        <v>0.1426</v>
      </c>
      <c r="CE70" s="60">
        <v>0.27789999999999998</v>
      </c>
      <c r="CF70" s="60">
        <v>0.28360000000000002</v>
      </c>
      <c r="CG70" s="60"/>
      <c r="CH70" s="60">
        <v>0.19</v>
      </c>
      <c r="CI70" s="60"/>
      <c r="CJ70" s="60">
        <v>0.42809999999999998</v>
      </c>
      <c r="CK70" s="60"/>
      <c r="CL70" s="60"/>
      <c r="CM70" s="60"/>
      <c r="CN70" s="60"/>
      <c r="CO70" s="60">
        <v>0.75600000000000001</v>
      </c>
      <c r="CP70" s="62">
        <v>153400</v>
      </c>
      <c r="CQ70" s="63">
        <v>-6.6199999999999995E-2</v>
      </c>
      <c r="CR70" s="63">
        <v>-0.14099999999999999</v>
      </c>
      <c r="CS70" s="63">
        <v>-0.17630000000000001</v>
      </c>
      <c r="CT70" s="63">
        <v>-0.47699999999999998</v>
      </c>
      <c r="CU70" s="163">
        <v>0.3886</v>
      </c>
      <c r="CV70" s="163">
        <v>0.34820000000000001</v>
      </c>
      <c r="CW70" s="163">
        <v>0.59499999999999997</v>
      </c>
      <c r="CX70" s="158">
        <v>0.1002</v>
      </c>
    </row>
    <row r="71" spans="1:102" hidden="1" x14ac:dyDescent="0.2">
      <c r="A71" s="59" t="s">
        <v>114</v>
      </c>
      <c r="B71" s="59" t="s">
        <v>41</v>
      </c>
      <c r="C71" s="60">
        <v>0.64791549583042596</v>
      </c>
      <c r="D71" s="61">
        <v>131500</v>
      </c>
      <c r="E71" s="60">
        <v>0.66090358674891903</v>
      </c>
      <c r="F71" s="60">
        <v>0.637401718207945</v>
      </c>
      <c r="G71" s="60">
        <v>0.73265549663515595</v>
      </c>
      <c r="H71" s="60">
        <v>0.67069523965205402</v>
      </c>
      <c r="I71" s="60">
        <v>0.56060158916541003</v>
      </c>
      <c r="J71" s="60"/>
      <c r="K71" s="60">
        <v>0.70556435391944405</v>
      </c>
      <c r="L71" s="60">
        <v>0.50454768056660604</v>
      </c>
      <c r="M71" s="60">
        <v>0.47492478874461802</v>
      </c>
      <c r="N71" s="60">
        <v>0.68968843669684199</v>
      </c>
      <c r="O71" s="60">
        <v>0.64277499747921696</v>
      </c>
      <c r="P71" s="60">
        <v>0.67863983399727201</v>
      </c>
      <c r="Q71" s="60"/>
      <c r="R71" s="60"/>
      <c r="S71" s="60"/>
      <c r="T71" s="60"/>
      <c r="U71" s="60"/>
      <c r="V71" s="60">
        <v>0.69775765949027801</v>
      </c>
      <c r="W71" s="60">
        <v>0.666501344602344</v>
      </c>
      <c r="X71" s="60">
        <v>0.55704327722807301</v>
      </c>
      <c r="Y71" s="60">
        <v>0.77565963049397102</v>
      </c>
      <c r="Z71" s="60">
        <v>0.67669656874952699</v>
      </c>
      <c r="AA71" s="60"/>
      <c r="AB71" s="60">
        <v>0.54069205251500196</v>
      </c>
      <c r="AC71" s="60"/>
      <c r="AD71" s="60"/>
      <c r="AE71" s="60">
        <v>0.88074859550618501</v>
      </c>
      <c r="AF71" s="60"/>
      <c r="AG71" s="60">
        <v>0.11863677980892801</v>
      </c>
      <c r="AH71" s="61">
        <v>24100</v>
      </c>
      <c r="AI71" s="60">
        <v>0.118437864659623</v>
      </c>
      <c r="AJ71" s="60">
        <v>0.119474849751474</v>
      </c>
      <c r="AK71" s="60">
        <v>9.9734777611572401E-2</v>
      </c>
      <c r="AL71" s="60">
        <v>0.13172393886890801</v>
      </c>
      <c r="AM71" s="60">
        <v>0.13795518943464899</v>
      </c>
      <c r="AN71" s="60"/>
      <c r="AO71" s="60">
        <v>0.113721532592508</v>
      </c>
      <c r="AP71" s="60">
        <v>0.13468788219934</v>
      </c>
      <c r="AQ71" s="60">
        <v>0.15574531323916499</v>
      </c>
      <c r="AR71" s="60">
        <v>0.11143080124958001</v>
      </c>
      <c r="AS71" s="60">
        <v>0.125169484046111</v>
      </c>
      <c r="AT71" s="60"/>
      <c r="AU71" s="60"/>
      <c r="AV71" s="60"/>
      <c r="AW71" s="60"/>
      <c r="AX71" s="60"/>
      <c r="AY71" s="60"/>
      <c r="AZ71" s="60">
        <v>0.13766863994154599</v>
      </c>
      <c r="BA71" s="60"/>
      <c r="BB71" s="60"/>
      <c r="BC71" s="60"/>
      <c r="BD71" s="60">
        <v>0.10752692438349</v>
      </c>
      <c r="BE71" s="60"/>
      <c r="BF71" s="60"/>
      <c r="BG71" s="60"/>
      <c r="BH71" s="60"/>
      <c r="BI71" s="60"/>
      <c r="BJ71" s="60"/>
      <c r="BK71" s="60">
        <v>0.23344772436064701</v>
      </c>
      <c r="BL71" s="61">
        <v>47400</v>
      </c>
      <c r="BM71" s="60">
        <v>0.220658548591459</v>
      </c>
      <c r="BN71" s="60">
        <v>0.24312343204058001</v>
      </c>
      <c r="BO71" s="60">
        <v>0.16760972575327199</v>
      </c>
      <c r="BP71" s="60">
        <v>0.19758082147903799</v>
      </c>
      <c r="BQ71" s="60">
        <v>0.30144322139994201</v>
      </c>
      <c r="BR71" s="60">
        <v>0.58424117867563696</v>
      </c>
      <c r="BS71" s="60">
        <v>0.180714113488049</v>
      </c>
      <c r="BT71" s="60">
        <v>0.36076443723405399</v>
      </c>
      <c r="BU71" s="60">
        <v>0.36932989801621702</v>
      </c>
      <c r="BV71" s="60">
        <v>0.19888076205357999</v>
      </c>
      <c r="BW71" s="60">
        <v>0.23205551847467401</v>
      </c>
      <c r="BX71" s="60"/>
      <c r="BY71" s="60"/>
      <c r="BZ71" s="60"/>
      <c r="CA71" s="60"/>
      <c r="CB71" s="60"/>
      <c r="CC71" s="60"/>
      <c r="CD71" s="60">
        <v>0.164573700568176</v>
      </c>
      <c r="CE71" s="60">
        <v>0.238159323633027</v>
      </c>
      <c r="CF71" s="60">
        <v>0.31882643081305201</v>
      </c>
      <c r="CG71" s="60"/>
      <c r="CH71" s="60">
        <v>0.21577650686698199</v>
      </c>
      <c r="CI71" s="60"/>
      <c r="CJ71" s="60">
        <v>0.35713770693010299</v>
      </c>
      <c r="CK71" s="60"/>
      <c r="CL71" s="60"/>
      <c r="CM71" s="60"/>
      <c r="CN71" s="60"/>
      <c r="CO71" s="60">
        <v>0.76655227563935402</v>
      </c>
      <c r="CP71" s="62">
        <v>155600</v>
      </c>
      <c r="CQ71" s="63">
        <v>-2.2464883449120499E-2</v>
      </c>
      <c r="CR71" s="63">
        <v>-0.15425273024487701</v>
      </c>
      <c r="CS71" s="63">
        <v>-0.170449135962636</v>
      </c>
      <c r="CT71" s="63">
        <v>-0.41663145292236498</v>
      </c>
      <c r="CU71" s="163">
        <v>0.41396432634340602</v>
      </c>
      <c r="CV71" s="163">
        <v>0.39998656731705401</v>
      </c>
      <c r="CW71" s="163">
        <v>0.63973080097525303</v>
      </c>
      <c r="CX71" s="158">
        <v>9.4100000000000003E-2</v>
      </c>
    </row>
    <row r="72" spans="1:102" hidden="1" x14ac:dyDescent="0.2">
      <c r="A72" s="59" t="s">
        <v>114</v>
      </c>
      <c r="B72" s="59" t="s">
        <v>155</v>
      </c>
      <c r="C72" s="60">
        <v>0.63939999999999997</v>
      </c>
      <c r="D72" s="61">
        <v>132000</v>
      </c>
      <c r="E72" s="60">
        <v>0.67244212014999105</v>
      </c>
      <c r="F72" s="60">
        <v>0.613993913144808</v>
      </c>
      <c r="G72" s="60">
        <v>0.75155212469655897</v>
      </c>
      <c r="H72" s="60">
        <v>0.624011567238276</v>
      </c>
      <c r="I72" s="60">
        <v>0.54175747252894602</v>
      </c>
      <c r="J72" s="60"/>
      <c r="K72" s="60">
        <v>0.69531905125115301</v>
      </c>
      <c r="L72" s="60">
        <v>0.48928837088516403</v>
      </c>
      <c r="M72" s="60">
        <v>0.442715945605134</v>
      </c>
      <c r="N72" s="60">
        <v>0.67903253701010802</v>
      </c>
      <c r="O72" s="60">
        <v>0.656873224593996</v>
      </c>
      <c r="P72" s="60">
        <v>0.61527389545524902</v>
      </c>
      <c r="Q72" s="60"/>
      <c r="R72" s="60"/>
      <c r="S72" s="60"/>
      <c r="T72" s="60"/>
      <c r="U72" s="60"/>
      <c r="V72" s="60">
        <v>0.71781428342734899</v>
      </c>
      <c r="W72" s="60">
        <v>0.64414579925733795</v>
      </c>
      <c r="X72" s="60">
        <v>0.566380312358021</v>
      </c>
      <c r="Y72" s="60">
        <v>0.70740419033083002</v>
      </c>
      <c r="Z72" s="60">
        <v>0.68284412962586905</v>
      </c>
      <c r="AA72" s="60"/>
      <c r="AB72" s="60">
        <v>0.48774994020736101</v>
      </c>
      <c r="AC72" s="60"/>
      <c r="AD72" s="60"/>
      <c r="AE72" s="60"/>
      <c r="AF72" s="60"/>
      <c r="AG72" s="60">
        <v>0.10920000000000001</v>
      </c>
      <c r="AH72" s="61">
        <v>22500</v>
      </c>
      <c r="AI72" s="60">
        <v>8.7873298610544603E-2</v>
      </c>
      <c r="AJ72" s="60">
        <v>0.13043211472189001</v>
      </c>
      <c r="AK72" s="60">
        <v>9.1828093919014697E-2</v>
      </c>
      <c r="AL72" s="60">
        <v>0.101352491991008</v>
      </c>
      <c r="AM72" s="60">
        <v>0.125391432746325</v>
      </c>
      <c r="AN72" s="60"/>
      <c r="AO72" s="60">
        <v>9.6027434011133103E-2</v>
      </c>
      <c r="AP72" s="60">
        <v>0.1375800704058</v>
      </c>
      <c r="AQ72" s="60"/>
      <c r="AR72" s="60">
        <v>0.112226515505985</v>
      </c>
      <c r="AS72" s="60">
        <v>0.10681801616088001</v>
      </c>
      <c r="AT72" s="60"/>
      <c r="AU72" s="60"/>
      <c r="AV72" s="60"/>
      <c r="AW72" s="60"/>
      <c r="AX72" s="60"/>
      <c r="AY72" s="60"/>
      <c r="AZ72" s="60">
        <v>0.12264180615914599</v>
      </c>
      <c r="BA72" s="60"/>
      <c r="BB72" s="60">
        <v>8.94621217296271E-2</v>
      </c>
      <c r="BC72" s="60"/>
      <c r="BD72" s="60">
        <v>9.1277956444062794E-2</v>
      </c>
      <c r="BE72" s="60"/>
      <c r="BF72" s="60"/>
      <c r="BG72" s="60"/>
      <c r="BH72" s="60"/>
      <c r="BI72" s="60"/>
      <c r="BJ72" s="60"/>
      <c r="BK72" s="60">
        <v>0.2515</v>
      </c>
      <c r="BL72" s="61">
        <v>51900</v>
      </c>
      <c r="BM72" s="60">
        <v>0.23968458123946401</v>
      </c>
      <c r="BN72" s="60">
        <v>0.25557397213330202</v>
      </c>
      <c r="BO72" s="60">
        <v>0.156619781384426</v>
      </c>
      <c r="BP72" s="60">
        <v>0.27463594077071601</v>
      </c>
      <c r="BQ72" s="60">
        <v>0.33285109472472801</v>
      </c>
      <c r="BR72" s="60">
        <v>0.50945665289520703</v>
      </c>
      <c r="BS72" s="60">
        <v>0.20865351473771601</v>
      </c>
      <c r="BT72" s="60">
        <v>0.37313155870903603</v>
      </c>
      <c r="BU72" s="60">
        <v>0.43946284057913598</v>
      </c>
      <c r="BV72" s="60">
        <v>0.20874094748390901</v>
      </c>
      <c r="BW72" s="60">
        <v>0.23630875924512601</v>
      </c>
      <c r="BX72" s="60"/>
      <c r="BY72" s="60"/>
      <c r="BZ72" s="60"/>
      <c r="CA72" s="60"/>
      <c r="CB72" s="60"/>
      <c r="CC72" s="60"/>
      <c r="CD72" s="60">
        <v>0.15954391041350499</v>
      </c>
      <c r="CE72" s="60">
        <v>0.276935223507149</v>
      </c>
      <c r="CF72" s="60">
        <v>0.34415756591235203</v>
      </c>
      <c r="CG72" s="60"/>
      <c r="CH72" s="60">
        <v>0.22587791393006901</v>
      </c>
      <c r="CI72" s="60"/>
      <c r="CJ72" s="60">
        <v>0.374347907788251</v>
      </c>
      <c r="CK72" s="60"/>
      <c r="CL72" s="60"/>
      <c r="CM72" s="60"/>
      <c r="CN72" s="60"/>
      <c r="CO72" s="60"/>
      <c r="CP72" s="62">
        <v>154500</v>
      </c>
      <c r="CQ72" s="63">
        <v>-1.5889390893837601E-2</v>
      </c>
      <c r="CR72" s="63">
        <v>-0.18461365549884701</v>
      </c>
      <c r="CS72" s="63">
        <v>-0.230721893095227</v>
      </c>
      <c r="CT72" s="63">
        <v>-0.35283687151078102</v>
      </c>
      <c r="CU72" s="163">
        <v>0.41403824238593201</v>
      </c>
      <c r="CV72" s="163">
        <v>0.377418777554968</v>
      </c>
      <c r="CW72" s="163">
        <v>0.60638669501252596</v>
      </c>
      <c r="CX72" s="158"/>
    </row>
    <row r="73" spans="1:102" hidden="1" x14ac:dyDescent="0.2">
      <c r="A73" s="59" t="s">
        <v>114</v>
      </c>
      <c r="B73" s="59" t="s">
        <v>42</v>
      </c>
      <c r="C73" s="60">
        <v>6.4199999999999896E-2</v>
      </c>
      <c r="D73" s="61"/>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v>-4.7000000000000002E-3</v>
      </c>
      <c r="AH73" s="61"/>
      <c r="AI73" s="60">
        <v>-1.33222814942542E-2</v>
      </c>
      <c r="AJ73" s="60">
        <v>2.7357058309508998E-3</v>
      </c>
      <c r="AK73" s="60">
        <v>9.1828093919014697E-2</v>
      </c>
      <c r="AL73" s="60">
        <v>-5.5409884323521404E-3</v>
      </c>
      <c r="AM73" s="60">
        <v>-3.3356662927469402E-2</v>
      </c>
      <c r="AN73" s="60">
        <v>0</v>
      </c>
      <c r="AO73" s="60">
        <v>9.6027434011133103E-2</v>
      </c>
      <c r="AP73" s="60">
        <v>0.1375800704058</v>
      </c>
      <c r="AQ73" s="60">
        <v>0</v>
      </c>
      <c r="AR73" s="60">
        <v>2.3639716860802099E-3</v>
      </c>
      <c r="AS73" s="60">
        <v>-1.11643062206835E-2</v>
      </c>
      <c r="AT73" s="60">
        <v>0</v>
      </c>
      <c r="AU73" s="60">
        <v>0</v>
      </c>
      <c r="AV73" s="60">
        <v>0</v>
      </c>
      <c r="AW73" s="60">
        <v>0</v>
      </c>
      <c r="AX73" s="60">
        <v>0</v>
      </c>
      <c r="AY73" s="60">
        <v>0</v>
      </c>
      <c r="AZ73" s="60">
        <v>-2.1691664107661601E-2</v>
      </c>
      <c r="BA73" s="60">
        <v>0</v>
      </c>
      <c r="BB73" s="60">
        <v>8.94621217296271E-2</v>
      </c>
      <c r="BC73" s="60">
        <v>0</v>
      </c>
      <c r="BD73" s="60">
        <v>9.1277956444062794E-2</v>
      </c>
      <c r="BE73" s="60">
        <v>0</v>
      </c>
      <c r="BF73" s="60">
        <v>0</v>
      </c>
      <c r="BG73" s="60">
        <v>0</v>
      </c>
      <c r="BH73" s="60">
        <v>0</v>
      </c>
      <c r="BI73" s="60">
        <v>0</v>
      </c>
      <c r="BJ73" s="60">
        <v>0</v>
      </c>
      <c r="BK73" s="60">
        <v>-5.9299999999999999E-2</v>
      </c>
      <c r="BL73" s="61"/>
      <c r="BM73" s="60">
        <v>-5.6185794156088799E-2</v>
      </c>
      <c r="BN73" s="60">
        <v>-6.6967000512775599E-2</v>
      </c>
      <c r="BO73" s="60">
        <v>-5.4274684821563099E-2</v>
      </c>
      <c r="BP73" s="60">
        <v>-2.3839546013936799E-2</v>
      </c>
      <c r="BQ73" s="60">
        <v>-3.8443708609657103E-2</v>
      </c>
      <c r="BR73" s="60">
        <v>-8.9201167504388404E-2</v>
      </c>
      <c r="BS73" s="60">
        <v>0.20865351473771601</v>
      </c>
      <c r="BT73" s="60">
        <v>0.37313155870903603</v>
      </c>
      <c r="BU73" s="60">
        <v>-5.9749863671955603E-2</v>
      </c>
      <c r="BV73" s="60">
        <v>-5.4409631413274602E-2</v>
      </c>
      <c r="BW73" s="60">
        <v>-6.86583821357723E-2</v>
      </c>
      <c r="BX73" s="60">
        <v>0</v>
      </c>
      <c r="BY73" s="60">
        <v>0</v>
      </c>
      <c r="BZ73" s="60">
        <v>0</v>
      </c>
      <c r="CA73" s="60">
        <v>0</v>
      </c>
      <c r="CB73" s="60">
        <v>0</v>
      </c>
      <c r="CC73" s="60">
        <v>0</v>
      </c>
      <c r="CD73" s="60">
        <v>-3.7267499213127997E-2</v>
      </c>
      <c r="CE73" s="60">
        <v>2.6238605392959299E-2</v>
      </c>
      <c r="CF73" s="60">
        <v>-9.0658461484474401E-2</v>
      </c>
      <c r="CG73" s="60">
        <v>0</v>
      </c>
      <c r="CH73" s="60">
        <v>0.22587791393006901</v>
      </c>
      <c r="CI73" s="60">
        <v>0</v>
      </c>
      <c r="CJ73" s="60">
        <v>0.374347907788251</v>
      </c>
      <c r="CK73" s="60">
        <v>0</v>
      </c>
      <c r="CL73" s="60">
        <v>0</v>
      </c>
      <c r="CM73" s="60">
        <v>0</v>
      </c>
      <c r="CN73" s="60">
        <v>0</v>
      </c>
      <c r="CO73" s="60">
        <v>-0.68910000000000005</v>
      </c>
      <c r="CP73" s="62">
        <v>19000</v>
      </c>
      <c r="CQ73" s="63">
        <v>1.07812063566868E-2</v>
      </c>
      <c r="CR73" s="63">
        <v>5.3390962271346501E-2</v>
      </c>
      <c r="CS73" s="63">
        <v>5.34023225868105E-3</v>
      </c>
      <c r="CT73" s="63">
        <v>3.4926482682825402E-2</v>
      </c>
      <c r="CU73" s="163">
        <v>5.05704575585319E-2</v>
      </c>
      <c r="CV73" s="163">
        <v>4.8298015891095197E-2</v>
      </c>
      <c r="CW73" s="163">
        <v>3.98511323264681E-2</v>
      </c>
      <c r="CX73" s="158"/>
    </row>
    <row r="74" spans="1:102" hidden="1" x14ac:dyDescent="0.2">
      <c r="A74" s="59" t="s">
        <v>115</v>
      </c>
      <c r="B74" s="59" t="s">
        <v>35</v>
      </c>
      <c r="C74" s="60">
        <v>0.64810000000000001</v>
      </c>
      <c r="D74" s="61">
        <v>151000</v>
      </c>
      <c r="E74" s="60">
        <v>0.68174338735254103</v>
      </c>
      <c r="F74" s="60">
        <v>0.61602872931247399</v>
      </c>
      <c r="G74" s="60">
        <v>0.70642155809638796</v>
      </c>
      <c r="H74" s="60">
        <v>0.691867193068328</v>
      </c>
      <c r="I74" s="60">
        <v>0.65454554331886095</v>
      </c>
      <c r="J74" s="60">
        <v>0.38887572512399798</v>
      </c>
      <c r="K74" s="60"/>
      <c r="L74" s="60"/>
      <c r="M74" s="60">
        <v>0.42907333074343401</v>
      </c>
      <c r="N74" s="60">
        <v>0.70239881878723598</v>
      </c>
      <c r="O74" s="60">
        <v>0.64433370197274198</v>
      </c>
      <c r="P74" s="60">
        <v>0.73662482857724099</v>
      </c>
      <c r="Q74" s="60"/>
      <c r="R74" s="60"/>
      <c r="S74" s="60"/>
      <c r="T74" s="60"/>
      <c r="U74" s="60"/>
      <c r="V74" s="60">
        <v>0.73598084077660697</v>
      </c>
      <c r="W74" s="60">
        <v>0.59005486182407596</v>
      </c>
      <c r="X74" s="60">
        <v>0.65986095084882201</v>
      </c>
      <c r="Y74" s="60"/>
      <c r="Z74" s="60"/>
      <c r="AA74" s="60"/>
      <c r="AB74" s="60"/>
      <c r="AC74" s="60"/>
      <c r="AD74" s="60"/>
      <c r="AE74" s="60"/>
      <c r="AF74" s="60"/>
      <c r="AG74" s="60">
        <v>0.1206</v>
      </c>
      <c r="AH74" s="61">
        <v>28100</v>
      </c>
      <c r="AI74" s="60">
        <v>9.1587517071998401E-2</v>
      </c>
      <c r="AJ74" s="60">
        <v>0.148454901836858</v>
      </c>
      <c r="AK74" s="60"/>
      <c r="AL74" s="60">
        <v>0.106638722608908</v>
      </c>
      <c r="AM74" s="60">
        <v>0.132343277995464</v>
      </c>
      <c r="AN74" s="60"/>
      <c r="AO74" s="60"/>
      <c r="AP74" s="60"/>
      <c r="AQ74" s="60"/>
      <c r="AR74" s="60">
        <v>0.110510421527485</v>
      </c>
      <c r="AS74" s="60">
        <v>0.128714109422952</v>
      </c>
      <c r="AT74" s="60"/>
      <c r="AU74" s="60"/>
      <c r="AV74" s="60"/>
      <c r="AW74" s="60"/>
      <c r="AX74" s="60"/>
      <c r="AY74" s="60"/>
      <c r="AZ74" s="60">
        <v>0.12376807761671101</v>
      </c>
      <c r="BA74" s="60">
        <v>0.159756186311035</v>
      </c>
      <c r="BB74" s="60"/>
      <c r="BC74" s="60"/>
      <c r="BD74" s="60"/>
      <c r="BE74" s="60"/>
      <c r="BF74" s="60"/>
      <c r="BG74" s="60"/>
      <c r="BH74" s="60"/>
      <c r="BI74" s="60"/>
      <c r="BJ74" s="60"/>
      <c r="BK74" s="60">
        <v>0.23130000000000001</v>
      </c>
      <c r="BL74" s="61">
        <v>53900</v>
      </c>
      <c r="BM74" s="60">
        <v>0.226669095575462</v>
      </c>
      <c r="BN74" s="60">
        <v>0.23551636885066801</v>
      </c>
      <c r="BO74" s="60">
        <v>0.17708885833840901</v>
      </c>
      <c r="BP74" s="60">
        <v>0.201494084322764</v>
      </c>
      <c r="BQ74" s="60">
        <v>0.213111178685675</v>
      </c>
      <c r="BR74" s="60">
        <v>0.46701260901965802</v>
      </c>
      <c r="BS74" s="60"/>
      <c r="BT74" s="60"/>
      <c r="BU74" s="60">
        <v>0.39761981557583498</v>
      </c>
      <c r="BV74" s="60">
        <v>0.187090759685279</v>
      </c>
      <c r="BW74" s="60">
        <v>0.22695218860430599</v>
      </c>
      <c r="BX74" s="60"/>
      <c r="BY74" s="60"/>
      <c r="BZ74" s="60"/>
      <c r="CA74" s="60"/>
      <c r="CB74" s="60"/>
      <c r="CC74" s="60"/>
      <c r="CD74" s="60">
        <v>0.14025108160668301</v>
      </c>
      <c r="CE74" s="60">
        <v>0.25018895186488699</v>
      </c>
      <c r="CF74" s="60"/>
      <c r="CG74" s="60"/>
      <c r="CH74" s="60"/>
      <c r="CI74" s="60"/>
      <c r="CJ74" s="60"/>
      <c r="CK74" s="60"/>
      <c r="CL74" s="60"/>
      <c r="CM74" s="60"/>
      <c r="CN74" s="60"/>
      <c r="CO74" s="60">
        <v>0.76870000000000005</v>
      </c>
      <c r="CP74" s="62">
        <v>179100</v>
      </c>
      <c r="CQ74" s="63">
        <v>-8.84727327520601E-3</v>
      </c>
      <c r="CR74" s="63">
        <v>0.14025108160668301</v>
      </c>
      <c r="CS74" s="63">
        <v>-0.21052905589055601</v>
      </c>
      <c r="CT74" s="63">
        <v>-0.28992375068124898</v>
      </c>
      <c r="CU74" s="163"/>
      <c r="CV74" s="163"/>
      <c r="CW74" s="163"/>
      <c r="CX74" s="158"/>
    </row>
    <row r="75" spans="1:102" hidden="1" x14ac:dyDescent="0.2">
      <c r="A75" s="59" t="s">
        <v>115</v>
      </c>
      <c r="B75" s="59" t="s">
        <v>36</v>
      </c>
      <c r="C75" s="60">
        <v>0.65380000000000005</v>
      </c>
      <c r="D75" s="61">
        <v>153100</v>
      </c>
      <c r="E75" s="60">
        <v>0.65577036823544499</v>
      </c>
      <c r="F75" s="60">
        <v>0.60797340512948606</v>
      </c>
      <c r="G75" s="60">
        <v>0.68481259949917495</v>
      </c>
      <c r="H75" s="60">
        <v>0.660770605269415</v>
      </c>
      <c r="I75" s="60">
        <v>0.61620186659069298</v>
      </c>
      <c r="J75" s="60">
        <v>0.41996106196022898</v>
      </c>
      <c r="K75" s="60"/>
      <c r="L75" s="60"/>
      <c r="M75" s="60">
        <v>0.47966850971224001</v>
      </c>
      <c r="N75" s="60">
        <v>0.65962345776308196</v>
      </c>
      <c r="O75" s="60">
        <v>0.63513682796335602</v>
      </c>
      <c r="P75" s="60"/>
      <c r="Q75" s="60"/>
      <c r="R75" s="60"/>
      <c r="S75" s="60"/>
      <c r="T75" s="60"/>
      <c r="U75" s="60"/>
      <c r="V75" s="60">
        <v>0.71945784176337801</v>
      </c>
      <c r="W75" s="60">
        <v>0.59739603446445</v>
      </c>
      <c r="X75" s="60">
        <v>0.58316767693160199</v>
      </c>
      <c r="Y75" s="60"/>
      <c r="Z75" s="60"/>
      <c r="AA75" s="60"/>
      <c r="AB75" s="60"/>
      <c r="AC75" s="60"/>
      <c r="AD75" s="60"/>
      <c r="AE75" s="60"/>
      <c r="AF75" s="60"/>
      <c r="AG75" s="60">
        <v>0.14449999999999999</v>
      </c>
      <c r="AH75" s="61">
        <v>33800</v>
      </c>
      <c r="AI75" s="60">
        <v>0.14908552479616299</v>
      </c>
      <c r="AJ75" s="60">
        <v>0.184085481104904</v>
      </c>
      <c r="AK75" s="60">
        <v>0.17932438781114199</v>
      </c>
      <c r="AL75" s="60">
        <v>0.166883157359276</v>
      </c>
      <c r="AM75" s="60">
        <v>0.148487617557202</v>
      </c>
      <c r="AN75" s="60"/>
      <c r="AO75" s="60"/>
      <c r="AP75" s="60"/>
      <c r="AQ75" s="60"/>
      <c r="AR75" s="60">
        <v>0.173841577125704</v>
      </c>
      <c r="AS75" s="60">
        <v>0.16867422427666501</v>
      </c>
      <c r="AT75" s="60"/>
      <c r="AU75" s="60"/>
      <c r="AV75" s="60"/>
      <c r="AW75" s="60"/>
      <c r="AX75" s="60"/>
      <c r="AY75" s="60"/>
      <c r="AZ75" s="60">
        <v>0.14084171232780099</v>
      </c>
      <c r="BA75" s="60">
        <v>0.19004505518193299</v>
      </c>
      <c r="BB75" s="60"/>
      <c r="BC75" s="60"/>
      <c r="BD75" s="60"/>
      <c r="BE75" s="60"/>
      <c r="BF75" s="60"/>
      <c r="BG75" s="60"/>
      <c r="BH75" s="60"/>
      <c r="BI75" s="60"/>
      <c r="BJ75" s="60"/>
      <c r="BK75" s="60">
        <v>0.20169999999999999</v>
      </c>
      <c r="BL75" s="61">
        <v>47200</v>
      </c>
      <c r="BM75" s="60">
        <v>0.19514410696839099</v>
      </c>
      <c r="BN75" s="60">
        <v>0.207941113765609</v>
      </c>
      <c r="BO75" s="60"/>
      <c r="BP75" s="60">
        <v>0.172346237371309</v>
      </c>
      <c r="BQ75" s="60">
        <v>0.235310515852105</v>
      </c>
      <c r="BR75" s="60">
        <v>0.39877598139387299</v>
      </c>
      <c r="BS75" s="60"/>
      <c r="BT75" s="60"/>
      <c r="BU75" s="60">
        <v>0.36428595882092901</v>
      </c>
      <c r="BV75" s="60">
        <v>0.16653496511121299</v>
      </c>
      <c r="BW75" s="60">
        <v>0.196188947759979</v>
      </c>
      <c r="BX75" s="60"/>
      <c r="BY75" s="60"/>
      <c r="BZ75" s="60"/>
      <c r="CA75" s="60"/>
      <c r="CB75" s="60"/>
      <c r="CC75" s="60"/>
      <c r="CD75" s="60">
        <v>0.13970044590882</v>
      </c>
      <c r="CE75" s="60">
        <v>0.21255891035361699</v>
      </c>
      <c r="CF75" s="60"/>
      <c r="CG75" s="60"/>
      <c r="CH75" s="60"/>
      <c r="CI75" s="60"/>
      <c r="CJ75" s="60"/>
      <c r="CK75" s="60"/>
      <c r="CL75" s="60"/>
      <c r="CM75" s="60"/>
      <c r="CN75" s="60"/>
      <c r="CO75" s="60">
        <v>0.79830000000000001</v>
      </c>
      <c r="CP75" s="62">
        <v>186900</v>
      </c>
      <c r="CQ75" s="63">
        <v>-1.2797006797218E-2</v>
      </c>
      <c r="CR75" s="63">
        <v>0.13970044590882</v>
      </c>
      <c r="CS75" s="63">
        <v>-0.19775099370971599</v>
      </c>
      <c r="CT75" s="63">
        <v>-0.39877598139387299</v>
      </c>
      <c r="CU75" s="163"/>
      <c r="CV75" s="163"/>
      <c r="CW75" s="163"/>
      <c r="CX75" s="158">
        <v>0.18210000000000001</v>
      </c>
    </row>
    <row r="76" spans="1:102" hidden="1" x14ac:dyDescent="0.2">
      <c r="A76" s="59" t="s">
        <v>115</v>
      </c>
      <c r="B76" s="59" t="s">
        <v>37</v>
      </c>
      <c r="C76" s="60">
        <v>0.69379999999999997</v>
      </c>
      <c r="D76" s="61">
        <v>162900</v>
      </c>
      <c r="E76" s="60">
        <v>0.71698882091800398</v>
      </c>
      <c r="F76" s="60">
        <v>0.67104615179653004</v>
      </c>
      <c r="G76" s="60">
        <v>0.78379664266510696</v>
      </c>
      <c r="H76" s="60">
        <v>0.73371691745068901</v>
      </c>
      <c r="I76" s="60">
        <v>0.63563519797369505</v>
      </c>
      <c r="J76" s="60">
        <v>0.41171591016689901</v>
      </c>
      <c r="K76" s="60"/>
      <c r="L76" s="60"/>
      <c r="M76" s="60">
        <v>0.52661833265045999</v>
      </c>
      <c r="N76" s="60">
        <v>0.72500482892377605</v>
      </c>
      <c r="O76" s="60">
        <v>0.694853860216049</v>
      </c>
      <c r="P76" s="60"/>
      <c r="Q76" s="60"/>
      <c r="R76" s="60"/>
      <c r="S76" s="60"/>
      <c r="T76" s="60"/>
      <c r="U76" s="60"/>
      <c r="V76" s="60">
        <v>0.76302790757929695</v>
      </c>
      <c r="W76" s="60">
        <v>0.69517253955172398</v>
      </c>
      <c r="X76" s="60">
        <v>0.62528976647144796</v>
      </c>
      <c r="Y76" s="60"/>
      <c r="Z76" s="60"/>
      <c r="AA76" s="60"/>
      <c r="AB76" s="60"/>
      <c r="AC76" s="60"/>
      <c r="AD76" s="60"/>
      <c r="AE76" s="60"/>
      <c r="AF76" s="60"/>
      <c r="AG76" s="60">
        <v>0.12330000000000001</v>
      </c>
      <c r="AH76" s="61">
        <v>28900</v>
      </c>
      <c r="AI76" s="60">
        <v>0.111452036213447</v>
      </c>
      <c r="AJ76" s="60">
        <v>0.13484346626917099</v>
      </c>
      <c r="AK76" s="60"/>
      <c r="AL76" s="60">
        <v>0.120043318396726</v>
      </c>
      <c r="AM76" s="60">
        <v>0.12773108252639701</v>
      </c>
      <c r="AN76" s="60"/>
      <c r="AO76" s="60"/>
      <c r="AP76" s="60"/>
      <c r="AQ76" s="60"/>
      <c r="AR76" s="60">
        <v>0.12116558679389899</v>
      </c>
      <c r="AS76" s="60">
        <v>0.120244420482749</v>
      </c>
      <c r="AT76" s="60"/>
      <c r="AU76" s="60"/>
      <c r="AV76" s="60"/>
      <c r="AW76" s="60"/>
      <c r="AX76" s="60"/>
      <c r="AY76" s="60"/>
      <c r="AZ76" s="60">
        <v>8.9741304398779406E-2</v>
      </c>
      <c r="BA76" s="60">
        <v>0.13565488006113</v>
      </c>
      <c r="BB76" s="60"/>
      <c r="BC76" s="60"/>
      <c r="BD76" s="60"/>
      <c r="BE76" s="60"/>
      <c r="BF76" s="60"/>
      <c r="BG76" s="60"/>
      <c r="BH76" s="60"/>
      <c r="BI76" s="60"/>
      <c r="BJ76" s="60"/>
      <c r="BK76" s="60">
        <v>0.18290000000000001</v>
      </c>
      <c r="BL76" s="61">
        <v>43000</v>
      </c>
      <c r="BM76" s="60">
        <v>0.17155914286855001</v>
      </c>
      <c r="BN76" s="60">
        <v>0.194110381934299</v>
      </c>
      <c r="BO76" s="60"/>
      <c r="BP76" s="60">
        <v>0.14623976415258499</v>
      </c>
      <c r="BQ76" s="60">
        <v>0.236633719499907</v>
      </c>
      <c r="BR76" s="60">
        <v>0.41729771036339403</v>
      </c>
      <c r="BS76" s="60"/>
      <c r="BT76" s="60"/>
      <c r="BU76" s="60">
        <v>0.332672497812181</v>
      </c>
      <c r="BV76" s="60">
        <v>0.15382958428232499</v>
      </c>
      <c r="BW76" s="60">
        <v>0.184901719301201</v>
      </c>
      <c r="BX76" s="60"/>
      <c r="BY76" s="60"/>
      <c r="BZ76" s="60"/>
      <c r="CA76" s="60"/>
      <c r="CB76" s="60"/>
      <c r="CC76" s="60"/>
      <c r="CD76" s="60">
        <v>0.14723078802192399</v>
      </c>
      <c r="CE76" s="60">
        <v>0.169172580387146</v>
      </c>
      <c r="CF76" s="60">
        <v>0.21443897592093999</v>
      </c>
      <c r="CG76" s="60"/>
      <c r="CH76" s="60"/>
      <c r="CI76" s="60"/>
      <c r="CJ76" s="60"/>
      <c r="CK76" s="60"/>
      <c r="CL76" s="60"/>
      <c r="CM76" s="60"/>
      <c r="CN76" s="60"/>
      <c r="CO76" s="60">
        <v>0.81710000000000005</v>
      </c>
      <c r="CP76" s="62">
        <v>191800</v>
      </c>
      <c r="CQ76" s="63">
        <v>-2.2551239065748099E-2</v>
      </c>
      <c r="CR76" s="63">
        <v>-6.7208187899015698E-2</v>
      </c>
      <c r="CS76" s="63">
        <v>-0.17884291352985601</v>
      </c>
      <c r="CT76" s="63">
        <v>-0.41729771036339403</v>
      </c>
      <c r="CU76" s="163"/>
      <c r="CV76" s="163"/>
      <c r="CW76" s="163"/>
      <c r="CX76" s="158">
        <v>0.17530000000000001</v>
      </c>
    </row>
    <row r="77" spans="1:102" hidden="1" x14ac:dyDescent="0.2">
      <c r="A77" s="59" t="s">
        <v>115</v>
      </c>
      <c r="B77" s="59" t="s">
        <v>38</v>
      </c>
      <c r="C77" s="60">
        <v>0.65039999999999998</v>
      </c>
      <c r="D77" s="61">
        <v>152700</v>
      </c>
      <c r="E77" s="60">
        <v>0.66493869184369803</v>
      </c>
      <c r="F77" s="60">
        <v>0.63744820215137898</v>
      </c>
      <c r="G77" s="60">
        <v>0.77148036692833799</v>
      </c>
      <c r="H77" s="60">
        <v>0.68348556538903904</v>
      </c>
      <c r="I77" s="60">
        <v>0.59176043807717005</v>
      </c>
      <c r="J77" s="60">
        <v>0.39886034886708299</v>
      </c>
      <c r="K77" s="60"/>
      <c r="L77" s="60"/>
      <c r="M77" s="60">
        <v>0.41910791441473</v>
      </c>
      <c r="N77" s="60">
        <v>0.70751726576237195</v>
      </c>
      <c r="O77" s="60">
        <v>0.65069271618069802</v>
      </c>
      <c r="P77" s="60"/>
      <c r="Q77" s="60"/>
      <c r="R77" s="60"/>
      <c r="S77" s="60"/>
      <c r="T77" s="60"/>
      <c r="U77" s="60"/>
      <c r="V77" s="60">
        <v>0.71333882596417297</v>
      </c>
      <c r="W77" s="60">
        <v>0.656769958855839</v>
      </c>
      <c r="X77" s="60">
        <v>0.58698889172830804</v>
      </c>
      <c r="Y77" s="60"/>
      <c r="Z77" s="60"/>
      <c r="AA77" s="60"/>
      <c r="AB77" s="60"/>
      <c r="AC77" s="60"/>
      <c r="AD77" s="60"/>
      <c r="AE77" s="60"/>
      <c r="AF77" s="60"/>
      <c r="AG77" s="60">
        <v>0.1182</v>
      </c>
      <c r="AH77" s="61">
        <v>27700</v>
      </c>
      <c r="AI77" s="60">
        <v>0.103824433812477</v>
      </c>
      <c r="AJ77" s="60">
        <v>0.13100424857105999</v>
      </c>
      <c r="AK77" s="60"/>
      <c r="AL77" s="60">
        <v>0.10646758522574799</v>
      </c>
      <c r="AM77" s="60">
        <v>0.137664039459855</v>
      </c>
      <c r="AN77" s="60"/>
      <c r="AO77" s="60"/>
      <c r="AP77" s="60"/>
      <c r="AQ77" s="60"/>
      <c r="AR77" s="60">
        <v>0.10554453015254101</v>
      </c>
      <c r="AS77" s="60">
        <v>0.115682056918041</v>
      </c>
      <c r="AT77" s="60"/>
      <c r="AU77" s="60"/>
      <c r="AV77" s="60"/>
      <c r="AW77" s="60"/>
      <c r="AX77" s="60"/>
      <c r="AY77" s="60"/>
      <c r="AZ77" s="60">
        <v>9.4449271330992499E-2</v>
      </c>
      <c r="BA77" s="60">
        <v>0.12824073462188301</v>
      </c>
      <c r="BB77" s="60">
        <v>0.17914430206881601</v>
      </c>
      <c r="BC77" s="60"/>
      <c r="BD77" s="60"/>
      <c r="BE77" s="60"/>
      <c r="BF77" s="60"/>
      <c r="BG77" s="60"/>
      <c r="BH77" s="60"/>
      <c r="BI77" s="60"/>
      <c r="BJ77" s="60"/>
      <c r="BK77" s="60">
        <v>0.23139999999999999</v>
      </c>
      <c r="BL77" s="61">
        <v>54300</v>
      </c>
      <c r="BM77" s="60">
        <v>0.23123687434382301</v>
      </c>
      <c r="BN77" s="60">
        <v>0.23154754927756099</v>
      </c>
      <c r="BO77" s="60"/>
      <c r="BP77" s="60">
        <v>0.21004684938521301</v>
      </c>
      <c r="BQ77" s="60">
        <v>0.27057552246297401</v>
      </c>
      <c r="BR77" s="60">
        <v>0.47128762284006998</v>
      </c>
      <c r="BS77" s="60"/>
      <c r="BT77" s="60"/>
      <c r="BU77" s="60">
        <v>0.41397008518957801</v>
      </c>
      <c r="BV77" s="60">
        <v>0.18693820408508699</v>
      </c>
      <c r="BW77" s="60">
        <v>0.233625226901261</v>
      </c>
      <c r="BX77" s="60"/>
      <c r="BY77" s="60"/>
      <c r="BZ77" s="60"/>
      <c r="CA77" s="60"/>
      <c r="CB77" s="60"/>
      <c r="CC77" s="60"/>
      <c r="CD77" s="60">
        <v>0.19221190270483501</v>
      </c>
      <c r="CE77" s="60">
        <v>0.21498930652227799</v>
      </c>
      <c r="CF77" s="60">
        <v>0.233866806202876</v>
      </c>
      <c r="CG77" s="60"/>
      <c r="CH77" s="60"/>
      <c r="CI77" s="60"/>
      <c r="CJ77" s="60"/>
      <c r="CK77" s="60"/>
      <c r="CL77" s="60"/>
      <c r="CM77" s="60"/>
      <c r="CN77" s="60"/>
      <c r="CO77" s="60">
        <v>0.76859999999999995</v>
      </c>
      <c r="CP77" s="62">
        <v>180400</v>
      </c>
      <c r="CQ77" s="63">
        <v>-3.1067493373804201E-4</v>
      </c>
      <c r="CR77" s="63">
        <v>-4.1654903498041101E-2</v>
      </c>
      <c r="CS77" s="63">
        <v>-0.22703188110449199</v>
      </c>
      <c r="CT77" s="63">
        <v>-0.47128762284006998</v>
      </c>
      <c r="CU77" s="163"/>
      <c r="CV77" s="163"/>
      <c r="CW77" s="163"/>
      <c r="CX77" s="158">
        <v>0.1188</v>
      </c>
    </row>
    <row r="78" spans="1:102" hidden="1" x14ac:dyDescent="0.2">
      <c r="A78" s="59" t="s">
        <v>115</v>
      </c>
      <c r="B78" s="59" t="s">
        <v>39</v>
      </c>
      <c r="C78" s="60">
        <v>0.646699251613292</v>
      </c>
      <c r="D78" s="61">
        <v>151800</v>
      </c>
      <c r="E78" s="60">
        <v>0.64516886304267496</v>
      </c>
      <c r="F78" s="60">
        <v>0.65352155181684202</v>
      </c>
      <c r="G78" s="60">
        <v>0.799285968424015</v>
      </c>
      <c r="H78" s="60">
        <v>0.63893377925116901</v>
      </c>
      <c r="I78" s="60">
        <v>0.63326866503719603</v>
      </c>
      <c r="J78" s="60">
        <v>0.36649623586067298</v>
      </c>
      <c r="K78" s="60">
        <v>0.71430682561786096</v>
      </c>
      <c r="L78" s="60">
        <v>0.56637707693498296</v>
      </c>
      <c r="M78" s="60">
        <v>0.392070302384465</v>
      </c>
      <c r="N78" s="60">
        <v>0.71250267352880303</v>
      </c>
      <c r="O78" s="60">
        <v>0.65014886240988601</v>
      </c>
      <c r="P78" s="60"/>
      <c r="Q78" s="60"/>
      <c r="R78" s="60"/>
      <c r="S78" s="60"/>
      <c r="T78" s="60"/>
      <c r="U78" s="60"/>
      <c r="V78" s="60">
        <v>0.70379478929120298</v>
      </c>
      <c r="W78" s="60">
        <v>0.66475209457668105</v>
      </c>
      <c r="X78" s="60">
        <v>0.53847830798076801</v>
      </c>
      <c r="Y78" s="60">
        <v>0.79944486726913599</v>
      </c>
      <c r="Z78" s="60"/>
      <c r="AA78" s="60"/>
      <c r="AB78" s="60"/>
      <c r="AC78" s="60"/>
      <c r="AD78" s="60"/>
      <c r="AE78" s="60"/>
      <c r="AF78" s="60"/>
      <c r="AG78" s="60">
        <v>0.107538099694408</v>
      </c>
      <c r="AH78" s="61">
        <v>25200</v>
      </c>
      <c r="AI78" s="60">
        <v>9.3571136516633804E-2</v>
      </c>
      <c r="AJ78" s="60">
        <v>0.119803534672208</v>
      </c>
      <c r="AK78" s="60"/>
      <c r="AL78" s="60">
        <v>0.12560261352044499</v>
      </c>
      <c r="AM78" s="60">
        <v>0.115678127106889</v>
      </c>
      <c r="AN78" s="60"/>
      <c r="AO78" s="60">
        <v>0.10095871250109401</v>
      </c>
      <c r="AP78" s="60">
        <v>0.117398379694583</v>
      </c>
      <c r="AQ78" s="60"/>
      <c r="AR78" s="60">
        <v>9.5561881633970197E-2</v>
      </c>
      <c r="AS78" s="60">
        <v>0.108460656068885</v>
      </c>
      <c r="AT78" s="60"/>
      <c r="AU78" s="60"/>
      <c r="AV78" s="60"/>
      <c r="AW78" s="60"/>
      <c r="AX78" s="60"/>
      <c r="AY78" s="60"/>
      <c r="AZ78" s="60">
        <v>9.9042580571425398E-2</v>
      </c>
      <c r="BA78" s="60">
        <v>0.116992169158932</v>
      </c>
      <c r="BB78" s="60"/>
      <c r="BC78" s="60"/>
      <c r="BD78" s="60"/>
      <c r="BE78" s="60"/>
      <c r="BF78" s="60"/>
      <c r="BG78" s="60"/>
      <c r="BH78" s="60"/>
      <c r="BI78" s="60"/>
      <c r="BJ78" s="60"/>
      <c r="BK78" s="60">
        <v>0.2457626486923</v>
      </c>
      <c r="BL78" s="61">
        <v>57700</v>
      </c>
      <c r="BM78" s="60">
        <v>0.26126000044069198</v>
      </c>
      <c r="BN78" s="60">
        <v>0.22667491351094901</v>
      </c>
      <c r="BO78" s="60"/>
      <c r="BP78" s="60">
        <v>0.235463607228386</v>
      </c>
      <c r="BQ78" s="60">
        <v>0.25105320785591401</v>
      </c>
      <c r="BR78" s="60">
        <v>0.51096504402461396</v>
      </c>
      <c r="BS78" s="60">
        <v>0.184734461881046</v>
      </c>
      <c r="BT78" s="60">
        <v>0.31622454337043299</v>
      </c>
      <c r="BU78" s="60">
        <v>0.45743989810511598</v>
      </c>
      <c r="BV78" s="60">
        <v>0.19193544483722799</v>
      </c>
      <c r="BW78" s="60">
        <v>0.24139048152122899</v>
      </c>
      <c r="BX78" s="60"/>
      <c r="BY78" s="60"/>
      <c r="BZ78" s="60"/>
      <c r="CA78" s="60"/>
      <c r="CB78" s="60"/>
      <c r="CC78" s="60"/>
      <c r="CD78" s="60">
        <v>0.19716263013737101</v>
      </c>
      <c r="CE78" s="60">
        <v>0.21825573626438799</v>
      </c>
      <c r="CF78" s="60"/>
      <c r="CG78" s="60"/>
      <c r="CH78" s="60"/>
      <c r="CI78" s="60"/>
      <c r="CJ78" s="60"/>
      <c r="CK78" s="60"/>
      <c r="CL78" s="60"/>
      <c r="CM78" s="60"/>
      <c r="CN78" s="60"/>
      <c r="CO78" s="60">
        <v>0.75423735130769998</v>
      </c>
      <c r="CP78" s="62">
        <v>177000</v>
      </c>
      <c r="CQ78" s="63">
        <v>3.4585086929742902E-2</v>
      </c>
      <c r="CR78" s="63">
        <v>0.19716263013737101</v>
      </c>
      <c r="CS78" s="63">
        <v>-0.26550445326788802</v>
      </c>
      <c r="CT78" s="63">
        <v>-0.51096504402461396</v>
      </c>
      <c r="CU78" s="163">
        <v>0.454514584798621</v>
      </c>
      <c r="CV78" s="163">
        <v>0.33930475168985103</v>
      </c>
      <c r="CW78" s="163">
        <v>0.62410982382122804</v>
      </c>
      <c r="CX78" s="158">
        <v>0.1152</v>
      </c>
    </row>
    <row r="79" spans="1:102" hidden="1" x14ac:dyDescent="0.2">
      <c r="A79" s="59" t="s">
        <v>115</v>
      </c>
      <c r="B79" s="59" t="s">
        <v>40</v>
      </c>
      <c r="C79" s="60">
        <v>0.66900000000000004</v>
      </c>
      <c r="D79" s="61">
        <v>157200</v>
      </c>
      <c r="E79" s="60">
        <v>0.68520000000000003</v>
      </c>
      <c r="F79" s="60">
        <v>0.66059999999999997</v>
      </c>
      <c r="G79" s="60">
        <v>0.75049999999999994</v>
      </c>
      <c r="H79" s="60">
        <v>0.70320000000000005</v>
      </c>
      <c r="I79" s="60">
        <v>0.6694</v>
      </c>
      <c r="J79" s="60">
        <v>0.37040000000000001</v>
      </c>
      <c r="K79" s="60">
        <v>0.72670000000000001</v>
      </c>
      <c r="L79" s="60">
        <v>0.59370000000000001</v>
      </c>
      <c r="M79" s="60">
        <v>0.54249999999999998</v>
      </c>
      <c r="N79" s="60">
        <v>0.70179999999999998</v>
      </c>
      <c r="O79" s="60">
        <v>0.6653</v>
      </c>
      <c r="P79" s="60">
        <v>0.68589999999999995</v>
      </c>
      <c r="Q79" s="60"/>
      <c r="R79" s="60"/>
      <c r="S79" s="60"/>
      <c r="T79" s="60"/>
      <c r="U79" s="60"/>
      <c r="V79" s="60">
        <v>0.76919999999999999</v>
      </c>
      <c r="W79" s="60">
        <v>0.67679999999999996</v>
      </c>
      <c r="X79" s="60">
        <v>0.46539999999999998</v>
      </c>
      <c r="Y79" s="60">
        <v>0.81479999999999997</v>
      </c>
      <c r="Z79" s="60">
        <v>0.69899999999999995</v>
      </c>
      <c r="AA79" s="60"/>
      <c r="AB79" s="60">
        <v>0.57369999999999999</v>
      </c>
      <c r="AC79" s="60"/>
      <c r="AD79" s="60"/>
      <c r="AE79" s="60"/>
      <c r="AF79" s="60"/>
      <c r="AG79" s="60">
        <v>0.10249999999999999</v>
      </c>
      <c r="AH79" s="61">
        <v>24100</v>
      </c>
      <c r="AI79" s="60">
        <v>8.7099999999999997E-2</v>
      </c>
      <c r="AJ79" s="60">
        <v>0.1166</v>
      </c>
      <c r="AK79" s="60"/>
      <c r="AL79" s="60">
        <v>0.1033</v>
      </c>
      <c r="AM79" s="60">
        <v>0.13139999999999999</v>
      </c>
      <c r="AN79" s="60"/>
      <c r="AO79" s="60">
        <v>8.2799999999999999E-2</v>
      </c>
      <c r="AP79" s="60">
        <v>0.13170000000000001</v>
      </c>
      <c r="AQ79" s="60"/>
      <c r="AR79" s="60">
        <v>0.1032</v>
      </c>
      <c r="AS79" s="60">
        <v>0.10440000000000001</v>
      </c>
      <c r="AT79" s="60"/>
      <c r="AU79" s="60"/>
      <c r="AV79" s="60"/>
      <c r="AW79" s="60"/>
      <c r="AX79" s="60"/>
      <c r="AY79" s="60"/>
      <c r="AZ79" s="60">
        <v>9.2499999999999999E-2</v>
      </c>
      <c r="BA79" s="60"/>
      <c r="BB79" s="60"/>
      <c r="BC79" s="60"/>
      <c r="BD79" s="60">
        <v>0.10059999999999999</v>
      </c>
      <c r="BE79" s="60"/>
      <c r="BF79" s="60">
        <v>0.1363</v>
      </c>
      <c r="BG79" s="60"/>
      <c r="BH79" s="60"/>
      <c r="BI79" s="60"/>
      <c r="BJ79" s="60"/>
      <c r="BK79" s="60">
        <v>0.2286</v>
      </c>
      <c r="BL79" s="61">
        <v>53700</v>
      </c>
      <c r="BM79" s="60">
        <v>0.2276</v>
      </c>
      <c r="BN79" s="60">
        <v>0.2228</v>
      </c>
      <c r="BO79" s="60">
        <v>0.18740000000000001</v>
      </c>
      <c r="BP79" s="60">
        <v>0.19350000000000001</v>
      </c>
      <c r="BQ79" s="60">
        <v>0.1993</v>
      </c>
      <c r="BR79" s="60">
        <v>0.49690000000000001</v>
      </c>
      <c r="BS79" s="60">
        <v>0.1905</v>
      </c>
      <c r="BT79" s="60">
        <v>0.27460000000000001</v>
      </c>
      <c r="BU79" s="60">
        <v>0.36670000000000003</v>
      </c>
      <c r="BV79" s="60">
        <v>0.1951</v>
      </c>
      <c r="BW79" s="60">
        <v>0.2303</v>
      </c>
      <c r="BX79" s="60"/>
      <c r="BY79" s="60"/>
      <c r="BZ79" s="60"/>
      <c r="CA79" s="60"/>
      <c r="CB79" s="60"/>
      <c r="CC79" s="60"/>
      <c r="CD79" s="60">
        <v>0.1384</v>
      </c>
      <c r="CE79" s="60">
        <v>0.20069999999999999</v>
      </c>
      <c r="CF79" s="60">
        <v>0.41020000000000001</v>
      </c>
      <c r="CG79" s="60"/>
      <c r="CH79" s="60">
        <v>0.20039999999999999</v>
      </c>
      <c r="CI79" s="60"/>
      <c r="CJ79" s="60">
        <v>0.28989999999999999</v>
      </c>
      <c r="CK79" s="60"/>
      <c r="CL79" s="60"/>
      <c r="CM79" s="60"/>
      <c r="CN79" s="60"/>
      <c r="CO79" s="60">
        <v>0.77149999999999996</v>
      </c>
      <c r="CP79" s="62">
        <v>181300</v>
      </c>
      <c r="CQ79" s="63">
        <v>4.7999999999999996E-3</v>
      </c>
      <c r="CR79" s="63">
        <v>-0.27179999999999999</v>
      </c>
      <c r="CS79" s="63">
        <v>-0.1716</v>
      </c>
      <c r="CT79" s="63">
        <v>-0.3095</v>
      </c>
      <c r="CU79" s="163">
        <v>0.47420000000000001</v>
      </c>
      <c r="CV79" s="163">
        <v>0.3468</v>
      </c>
      <c r="CW79" s="163">
        <v>0.64049999999999996</v>
      </c>
      <c r="CX79" s="158">
        <v>0.11269999999999999</v>
      </c>
    </row>
    <row r="80" spans="1:102" hidden="1" x14ac:dyDescent="0.2">
      <c r="A80" s="59" t="s">
        <v>115</v>
      </c>
      <c r="B80" s="59" t="s">
        <v>41</v>
      </c>
      <c r="C80" s="60">
        <v>0.62392101051887805</v>
      </c>
      <c r="D80" s="61">
        <v>146600</v>
      </c>
      <c r="E80" s="60">
        <v>0.66091030122558103</v>
      </c>
      <c r="F80" s="60">
        <v>0.58751348441149098</v>
      </c>
      <c r="G80" s="60">
        <v>0.67091502467953401</v>
      </c>
      <c r="H80" s="60">
        <v>0.67856609748885999</v>
      </c>
      <c r="I80" s="60">
        <v>0.63168159732268103</v>
      </c>
      <c r="J80" s="60">
        <v>0.34290116197739501</v>
      </c>
      <c r="K80" s="60">
        <v>0.67528936254817695</v>
      </c>
      <c r="L80" s="60">
        <v>0.54440215297205496</v>
      </c>
      <c r="M80" s="60">
        <v>0.56162978848461098</v>
      </c>
      <c r="N80" s="60">
        <v>0.63703921314519396</v>
      </c>
      <c r="O80" s="60">
        <v>0.61759715567473605</v>
      </c>
      <c r="P80" s="60">
        <v>0.68803968215590405</v>
      </c>
      <c r="Q80" s="60"/>
      <c r="R80" s="60"/>
      <c r="S80" s="60"/>
      <c r="T80" s="60"/>
      <c r="U80" s="60"/>
      <c r="V80" s="60">
        <v>0.75096323005184595</v>
      </c>
      <c r="W80" s="60">
        <v>0.63004269511190103</v>
      </c>
      <c r="X80" s="60">
        <v>0.44444474455452598</v>
      </c>
      <c r="Y80" s="60"/>
      <c r="Z80" s="60">
        <v>0.66547527139853802</v>
      </c>
      <c r="AA80" s="60"/>
      <c r="AB80" s="60">
        <v>0.55683729509153501</v>
      </c>
      <c r="AC80" s="60"/>
      <c r="AD80" s="60"/>
      <c r="AE80" s="60"/>
      <c r="AF80" s="60"/>
      <c r="AG80" s="60">
        <v>0.13354821870615799</v>
      </c>
      <c r="AH80" s="61">
        <v>31400</v>
      </c>
      <c r="AI80" s="60">
        <v>0.102215960376684</v>
      </c>
      <c r="AJ80" s="60">
        <v>0.16536780518447</v>
      </c>
      <c r="AK80" s="60"/>
      <c r="AL80" s="60">
        <v>0.138955230568795</v>
      </c>
      <c r="AM80" s="60">
        <v>0.16256915957363599</v>
      </c>
      <c r="AN80" s="60"/>
      <c r="AO80" s="60">
        <v>0.115294378793978</v>
      </c>
      <c r="AP80" s="60">
        <v>0.16324408335047799</v>
      </c>
      <c r="AQ80" s="60">
        <v>0.107084161082268</v>
      </c>
      <c r="AR80" s="60">
        <v>0.1417615559173</v>
      </c>
      <c r="AS80" s="60">
        <v>0.13345247797214799</v>
      </c>
      <c r="AT80" s="60"/>
      <c r="AU80" s="60"/>
      <c r="AV80" s="60"/>
      <c r="AW80" s="60"/>
      <c r="AX80" s="60"/>
      <c r="AY80" s="60"/>
      <c r="AZ80" s="60">
        <v>0.12590065121867799</v>
      </c>
      <c r="BA80" s="60"/>
      <c r="BB80" s="60"/>
      <c r="BC80" s="60"/>
      <c r="BD80" s="60">
        <v>0.137366669018959</v>
      </c>
      <c r="BE80" s="60"/>
      <c r="BF80" s="60">
        <v>0.13702608831611701</v>
      </c>
      <c r="BG80" s="60"/>
      <c r="BH80" s="60"/>
      <c r="BI80" s="60"/>
      <c r="BJ80" s="60"/>
      <c r="BK80" s="60">
        <v>0.24253077077496499</v>
      </c>
      <c r="BL80" s="61">
        <v>57000</v>
      </c>
      <c r="BM80" s="60">
        <v>0.23687373839773501</v>
      </c>
      <c r="BN80" s="60">
        <v>0.24711871040403799</v>
      </c>
      <c r="BO80" s="60">
        <v>0.245377087895675</v>
      </c>
      <c r="BP80" s="60">
        <v>0.18247867194234399</v>
      </c>
      <c r="BQ80" s="60">
        <v>0.205749243103683</v>
      </c>
      <c r="BR80" s="60">
        <v>0.49229656636225</v>
      </c>
      <c r="BS80" s="60">
        <v>0.209416258657842</v>
      </c>
      <c r="BT80" s="60">
        <v>0.29235376367746702</v>
      </c>
      <c r="BU80" s="60">
        <v>0.33128605043312098</v>
      </c>
      <c r="BV80" s="60">
        <v>0.22119923093750599</v>
      </c>
      <c r="BW80" s="60">
        <v>0.24895036635311599</v>
      </c>
      <c r="BX80" s="60"/>
      <c r="BY80" s="60"/>
      <c r="BZ80" s="60"/>
      <c r="CA80" s="60"/>
      <c r="CB80" s="60"/>
      <c r="CC80" s="60"/>
      <c r="CD80" s="60">
        <v>0.123136118729475</v>
      </c>
      <c r="CE80" s="60">
        <v>0.241409551397927</v>
      </c>
      <c r="CF80" s="60">
        <v>0.39865545477061598</v>
      </c>
      <c r="CG80" s="60"/>
      <c r="CH80" s="60">
        <v>0.19715805958250099</v>
      </c>
      <c r="CI80" s="60"/>
      <c r="CJ80" s="60">
        <v>0.30613661659234798</v>
      </c>
      <c r="CK80" s="60"/>
      <c r="CL80" s="60"/>
      <c r="CM80" s="60"/>
      <c r="CN80" s="60"/>
      <c r="CO80" s="60">
        <v>0.75746922922503501</v>
      </c>
      <c r="CP80" s="62">
        <v>178000</v>
      </c>
      <c r="CQ80" s="63">
        <v>-1.0244972006303E-2</v>
      </c>
      <c r="CR80" s="63">
        <v>-0.27551933604114098</v>
      </c>
      <c r="CS80" s="63">
        <v>-0.110086819495615</v>
      </c>
      <c r="CT80" s="63">
        <v>-0.246919478466575</v>
      </c>
      <c r="CU80" s="163">
        <v>0.459162390545933</v>
      </c>
      <c r="CV80" s="163">
        <v>0.34394574049253401</v>
      </c>
      <c r="CW80" s="163">
        <v>0.62593067352597098</v>
      </c>
      <c r="CX80" s="158">
        <v>0.12239999999999999</v>
      </c>
    </row>
    <row r="81" spans="1:102" hidden="1" x14ac:dyDescent="0.2">
      <c r="A81" s="59" t="s">
        <v>115</v>
      </c>
      <c r="B81" s="59" t="s">
        <v>155</v>
      </c>
      <c r="C81" s="60">
        <v>0.62960000000000005</v>
      </c>
      <c r="D81" s="61">
        <v>148700</v>
      </c>
      <c r="E81" s="60">
        <v>0.67212827307904399</v>
      </c>
      <c r="F81" s="60">
        <v>0.58546966982263504</v>
      </c>
      <c r="G81" s="60">
        <v>0.72233354636668501</v>
      </c>
      <c r="H81" s="60">
        <v>0.69518974167887704</v>
      </c>
      <c r="I81" s="60">
        <v>0.59036314217855002</v>
      </c>
      <c r="J81" s="60">
        <v>0.36526953730251399</v>
      </c>
      <c r="K81" s="60">
        <v>0.70715242410351598</v>
      </c>
      <c r="L81" s="60">
        <v>0.52107761433451605</v>
      </c>
      <c r="M81" s="60">
        <v>0.465310306836413</v>
      </c>
      <c r="N81" s="60">
        <v>0.67559500990218002</v>
      </c>
      <c r="O81" s="60">
        <v>0.62862307073605705</v>
      </c>
      <c r="P81" s="60">
        <v>0.75910152901318895</v>
      </c>
      <c r="Q81" s="60"/>
      <c r="R81" s="60"/>
      <c r="S81" s="60"/>
      <c r="T81" s="60"/>
      <c r="U81" s="60"/>
      <c r="V81" s="60">
        <v>0.73507169656777605</v>
      </c>
      <c r="W81" s="60">
        <v>0.64892978372421795</v>
      </c>
      <c r="X81" s="60">
        <v>0.44889216036462198</v>
      </c>
      <c r="Y81" s="60">
        <v>0.82041074854365104</v>
      </c>
      <c r="Z81" s="60">
        <v>0.69339803591432703</v>
      </c>
      <c r="AA81" s="60"/>
      <c r="AB81" s="60">
        <v>0.51460103930716505</v>
      </c>
      <c r="AC81" s="60"/>
      <c r="AD81" s="60"/>
      <c r="AE81" s="60"/>
      <c r="AF81" s="60"/>
      <c r="AG81" s="60">
        <v>0.1118</v>
      </c>
      <c r="AH81" s="61">
        <v>26400</v>
      </c>
      <c r="AI81" s="60">
        <v>8.8420111069594395E-2</v>
      </c>
      <c r="AJ81" s="60">
        <v>0.13613942949134</v>
      </c>
      <c r="AK81" s="60"/>
      <c r="AL81" s="60">
        <v>0.12316542810934999</v>
      </c>
      <c r="AM81" s="60">
        <v>0.105186912002769</v>
      </c>
      <c r="AN81" s="60"/>
      <c r="AO81" s="60">
        <v>0.111302726024638</v>
      </c>
      <c r="AP81" s="60">
        <v>0.113351541013839</v>
      </c>
      <c r="AQ81" s="60"/>
      <c r="AR81" s="60">
        <v>0.115208767510937</v>
      </c>
      <c r="AS81" s="60">
        <v>0.11362355025422501</v>
      </c>
      <c r="AT81" s="60"/>
      <c r="AU81" s="60"/>
      <c r="AV81" s="60"/>
      <c r="AW81" s="60"/>
      <c r="AX81" s="60"/>
      <c r="AY81" s="60"/>
      <c r="AZ81" s="60">
        <v>0.107852534665907</v>
      </c>
      <c r="BA81" s="60"/>
      <c r="BB81" s="60"/>
      <c r="BC81" s="60"/>
      <c r="BD81" s="60">
        <v>0.117005791679286</v>
      </c>
      <c r="BE81" s="60"/>
      <c r="BF81" s="60">
        <v>0.10497615145542501</v>
      </c>
      <c r="BG81" s="60"/>
      <c r="BH81" s="60"/>
      <c r="BI81" s="60"/>
      <c r="BJ81" s="60"/>
      <c r="BK81" s="60">
        <v>0.2586</v>
      </c>
      <c r="BL81" s="61">
        <v>61100</v>
      </c>
      <c r="BM81" s="60">
        <v>0.23945161585136299</v>
      </c>
      <c r="BN81" s="60">
        <v>0.27839090068602401</v>
      </c>
      <c r="BO81" s="60">
        <v>0.18141797082327701</v>
      </c>
      <c r="BP81" s="60">
        <v>0.18164483021177399</v>
      </c>
      <c r="BQ81" s="60">
        <v>0.30444994581868001</v>
      </c>
      <c r="BR81" s="60">
        <v>0.50301844749114299</v>
      </c>
      <c r="BS81" s="60">
        <v>0.18154484987184599</v>
      </c>
      <c r="BT81" s="60">
        <v>0.36557084465164502</v>
      </c>
      <c r="BU81" s="60">
        <v>0.41741284800793499</v>
      </c>
      <c r="BV81" s="60">
        <v>0.209196222586883</v>
      </c>
      <c r="BW81" s="60">
        <v>0.25775337900971801</v>
      </c>
      <c r="BX81" s="60"/>
      <c r="BY81" s="60"/>
      <c r="BZ81" s="60"/>
      <c r="CA81" s="60"/>
      <c r="CB81" s="60"/>
      <c r="CC81" s="60"/>
      <c r="CD81" s="60">
        <v>0.15707576876631699</v>
      </c>
      <c r="CE81" s="60">
        <v>0.24643815249122999</v>
      </c>
      <c r="CF81" s="60">
        <v>0.39121694828067199</v>
      </c>
      <c r="CG81" s="60"/>
      <c r="CH81" s="60">
        <v>0.18959617240638801</v>
      </c>
      <c r="CI81" s="60"/>
      <c r="CJ81" s="60">
        <v>0.38042280923741001</v>
      </c>
      <c r="CK81" s="60"/>
      <c r="CL81" s="60"/>
      <c r="CM81" s="60"/>
      <c r="CN81" s="60"/>
      <c r="CO81" s="60"/>
      <c r="CP81" s="62">
        <v>175100</v>
      </c>
      <c r="CQ81" s="63">
        <v>-3.8939284834661102E-2</v>
      </c>
      <c r="CR81" s="63">
        <v>-0.23414117951435401</v>
      </c>
      <c r="CS81" s="63">
        <v>-0.20821662542105299</v>
      </c>
      <c r="CT81" s="63">
        <v>-0.32160047666786601</v>
      </c>
      <c r="CU81" s="163">
        <v>0.471918653503754</v>
      </c>
      <c r="CV81" s="163">
        <v>0.32830562510780198</v>
      </c>
      <c r="CW81" s="163">
        <v>0.62151724892623195</v>
      </c>
      <c r="CX81" s="158"/>
    </row>
    <row r="82" spans="1:102" hidden="1" x14ac:dyDescent="0.2">
      <c r="A82" s="59" t="s">
        <v>115</v>
      </c>
      <c r="B82" s="59" t="s">
        <v>42</v>
      </c>
      <c r="C82" s="60">
        <v>-1.8499999999999999E-2</v>
      </c>
      <c r="D82" s="61"/>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v>-8.8000000000000005E-3</v>
      </c>
      <c r="AH82" s="61"/>
      <c r="AI82" s="60">
        <v>-3.1674060024040199E-3</v>
      </c>
      <c r="AJ82" s="60">
        <v>-1.23154723455174E-2</v>
      </c>
      <c r="AK82" s="60">
        <v>0</v>
      </c>
      <c r="AL82" s="60">
        <v>1.6526705500442201E-2</v>
      </c>
      <c r="AM82" s="60">
        <v>-2.7156365992694699E-2</v>
      </c>
      <c r="AN82" s="60">
        <v>0</v>
      </c>
      <c r="AO82" s="60">
        <v>0.111302726024638</v>
      </c>
      <c r="AP82" s="60">
        <v>0.113351541013839</v>
      </c>
      <c r="AQ82" s="60">
        <v>0</v>
      </c>
      <c r="AR82" s="60">
        <v>4.6983459834524796E-3</v>
      </c>
      <c r="AS82" s="60">
        <v>-1.5090559168726999E-2</v>
      </c>
      <c r="AT82" s="60">
        <v>0</v>
      </c>
      <c r="AU82" s="60">
        <v>0</v>
      </c>
      <c r="AV82" s="60">
        <v>0</v>
      </c>
      <c r="AW82" s="60">
        <v>0</v>
      </c>
      <c r="AX82" s="60">
        <v>0</v>
      </c>
      <c r="AY82" s="60">
        <v>0</v>
      </c>
      <c r="AZ82" s="60">
        <v>-1.5915542950803701E-2</v>
      </c>
      <c r="BA82" s="60">
        <v>-0.159756186311035</v>
      </c>
      <c r="BB82" s="60">
        <v>0</v>
      </c>
      <c r="BC82" s="60">
        <v>0</v>
      </c>
      <c r="BD82" s="60">
        <v>0.117005791679286</v>
      </c>
      <c r="BE82" s="60">
        <v>0</v>
      </c>
      <c r="BF82" s="60">
        <v>0.10497615145542501</v>
      </c>
      <c r="BG82" s="60">
        <v>0</v>
      </c>
      <c r="BH82" s="60">
        <v>0</v>
      </c>
      <c r="BI82" s="60">
        <v>0</v>
      </c>
      <c r="BJ82" s="60">
        <v>0</v>
      </c>
      <c r="BK82" s="60">
        <v>2.7300000000000001E-2</v>
      </c>
      <c r="BL82" s="61"/>
      <c r="BM82" s="60">
        <v>1.27825202759012E-2</v>
      </c>
      <c r="BN82" s="60">
        <v>4.2874531835356298E-2</v>
      </c>
      <c r="BO82" s="60">
        <v>4.3291124848676404E-3</v>
      </c>
      <c r="BP82" s="60">
        <v>-1.9849254110989999E-2</v>
      </c>
      <c r="BQ82" s="60">
        <v>9.1338767133004706E-2</v>
      </c>
      <c r="BR82" s="60">
        <v>3.6005838471484697E-2</v>
      </c>
      <c r="BS82" s="60">
        <v>0.18154484987184599</v>
      </c>
      <c r="BT82" s="60">
        <v>0.36557084465164502</v>
      </c>
      <c r="BU82" s="60">
        <v>1.9793032432100299E-2</v>
      </c>
      <c r="BV82" s="60">
        <v>2.21054629016036E-2</v>
      </c>
      <c r="BW82" s="60">
        <v>3.0801190405411901E-2</v>
      </c>
      <c r="BX82" s="60">
        <v>0</v>
      </c>
      <c r="BY82" s="60">
        <v>0</v>
      </c>
      <c r="BZ82" s="60">
        <v>0</v>
      </c>
      <c r="CA82" s="60">
        <v>0</v>
      </c>
      <c r="CB82" s="60">
        <v>0</v>
      </c>
      <c r="CC82" s="60">
        <v>0</v>
      </c>
      <c r="CD82" s="60">
        <v>1.68246871596342E-2</v>
      </c>
      <c r="CE82" s="60">
        <v>-3.75079937365694E-3</v>
      </c>
      <c r="CF82" s="60">
        <v>0.39121694828067199</v>
      </c>
      <c r="CG82" s="60">
        <v>0</v>
      </c>
      <c r="CH82" s="60">
        <v>0.18959617240638801</v>
      </c>
      <c r="CI82" s="60">
        <v>0</v>
      </c>
      <c r="CJ82" s="60">
        <v>0.38042280923741001</v>
      </c>
      <c r="CK82" s="60">
        <v>0</v>
      </c>
      <c r="CL82" s="60">
        <v>0</v>
      </c>
      <c r="CM82" s="60">
        <v>0</v>
      </c>
      <c r="CN82" s="60">
        <v>0</v>
      </c>
      <c r="CO82" s="60">
        <v>-0.76870000000000005</v>
      </c>
      <c r="CP82" s="62">
        <v>-4000</v>
      </c>
      <c r="CQ82" s="63">
        <v>-3.0092011559455099E-2</v>
      </c>
      <c r="CR82" s="63">
        <v>-0.19248627601631299</v>
      </c>
      <c r="CS82" s="63">
        <v>2.3124304695032998E-3</v>
      </c>
      <c r="CT82" s="63">
        <v>-3.1676725986617103E-2</v>
      </c>
      <c r="CU82" s="163">
        <v>1.7404068705132399E-2</v>
      </c>
      <c r="CV82" s="163">
        <v>-1.09991265820492E-2</v>
      </c>
      <c r="CW82" s="163">
        <v>-2.5925748949959799E-3</v>
      </c>
      <c r="CX82" s="158"/>
    </row>
    <row r="83" spans="1:102" hidden="1" x14ac:dyDescent="0.2">
      <c r="A83" s="59" t="s">
        <v>116</v>
      </c>
      <c r="B83" s="59" t="s">
        <v>35</v>
      </c>
      <c r="C83" s="60">
        <v>0.57789999999999997</v>
      </c>
      <c r="D83" s="61">
        <v>102700</v>
      </c>
      <c r="E83" s="60">
        <v>0.57541877441146105</v>
      </c>
      <c r="F83" s="60">
        <v>0.58459213332303495</v>
      </c>
      <c r="G83" s="60">
        <v>0.67886417507882602</v>
      </c>
      <c r="H83" s="60">
        <v>0.65070887605411298</v>
      </c>
      <c r="I83" s="60">
        <v>0.47283054430555899</v>
      </c>
      <c r="J83" s="60"/>
      <c r="K83" s="60"/>
      <c r="L83" s="60"/>
      <c r="M83" s="60">
        <v>0.31102305062756702</v>
      </c>
      <c r="N83" s="60">
        <v>0.64761008879730397</v>
      </c>
      <c r="O83" s="60">
        <v>0.58442317913621</v>
      </c>
      <c r="P83" s="60"/>
      <c r="Q83" s="60"/>
      <c r="R83" s="60"/>
      <c r="S83" s="60"/>
      <c r="T83" s="60"/>
      <c r="U83" s="60"/>
      <c r="V83" s="60">
        <v>0.68890450028371997</v>
      </c>
      <c r="W83" s="60">
        <v>0.59865284146476005</v>
      </c>
      <c r="X83" s="60">
        <v>0.497178450360655</v>
      </c>
      <c r="Y83" s="60"/>
      <c r="Z83" s="60"/>
      <c r="AA83" s="60"/>
      <c r="AB83" s="60"/>
      <c r="AC83" s="60"/>
      <c r="AD83" s="60"/>
      <c r="AE83" s="60"/>
      <c r="AF83" s="60"/>
      <c r="AG83" s="60">
        <v>0.11749999999999999</v>
      </c>
      <c r="AH83" s="61">
        <v>20900</v>
      </c>
      <c r="AI83" s="60">
        <v>0.12896521190697799</v>
      </c>
      <c r="AJ83" s="60">
        <v>0.107477226000903</v>
      </c>
      <c r="AK83" s="60"/>
      <c r="AL83" s="60">
        <v>0.100077713751636</v>
      </c>
      <c r="AM83" s="60">
        <v>0.116726308968693</v>
      </c>
      <c r="AN83" s="60"/>
      <c r="AO83" s="60"/>
      <c r="AP83" s="60"/>
      <c r="AQ83" s="60">
        <v>0.16738172593325101</v>
      </c>
      <c r="AR83" s="60">
        <v>0.109407112614178</v>
      </c>
      <c r="AS83" s="60">
        <v>0.13024774096927599</v>
      </c>
      <c r="AT83" s="60"/>
      <c r="AU83" s="60"/>
      <c r="AV83" s="60"/>
      <c r="AW83" s="60"/>
      <c r="AX83" s="60"/>
      <c r="AY83" s="60"/>
      <c r="AZ83" s="60">
        <v>9.4373002059487704E-2</v>
      </c>
      <c r="BA83" s="60">
        <v>0.12600382175209099</v>
      </c>
      <c r="BB83" s="60"/>
      <c r="BC83" s="60"/>
      <c r="BD83" s="60"/>
      <c r="BE83" s="60"/>
      <c r="BF83" s="60"/>
      <c r="BG83" s="60"/>
      <c r="BH83" s="60"/>
      <c r="BI83" s="60"/>
      <c r="BJ83" s="60"/>
      <c r="BK83" s="60">
        <v>0.30459999999999998</v>
      </c>
      <c r="BL83" s="61">
        <v>54200</v>
      </c>
      <c r="BM83" s="60">
        <v>0.29561601368156198</v>
      </c>
      <c r="BN83" s="60">
        <v>0.30793064067606202</v>
      </c>
      <c r="BO83" s="60">
        <v>0.20816970258652301</v>
      </c>
      <c r="BP83" s="60">
        <v>0.249213410194251</v>
      </c>
      <c r="BQ83" s="60">
        <v>0.410443146725748</v>
      </c>
      <c r="BR83" s="60">
        <v>0.52611602270328195</v>
      </c>
      <c r="BS83" s="60"/>
      <c r="BT83" s="60"/>
      <c r="BU83" s="60">
        <v>0.52159522343918197</v>
      </c>
      <c r="BV83" s="60">
        <v>0.24298279858851801</v>
      </c>
      <c r="BW83" s="60">
        <v>0.285329079894514</v>
      </c>
      <c r="BX83" s="60"/>
      <c r="BY83" s="60"/>
      <c r="BZ83" s="60"/>
      <c r="CA83" s="60"/>
      <c r="CB83" s="60"/>
      <c r="CC83" s="60"/>
      <c r="CD83" s="60">
        <v>0.216722497656793</v>
      </c>
      <c r="CE83" s="60">
        <v>0.27534333678314798</v>
      </c>
      <c r="CF83" s="60">
        <v>0.35960567197879201</v>
      </c>
      <c r="CG83" s="60"/>
      <c r="CH83" s="60"/>
      <c r="CI83" s="60"/>
      <c r="CJ83" s="60"/>
      <c r="CK83" s="60"/>
      <c r="CL83" s="60"/>
      <c r="CM83" s="60"/>
      <c r="CN83" s="60"/>
      <c r="CO83" s="60">
        <v>0.69540000000000002</v>
      </c>
      <c r="CP83" s="62">
        <v>123600</v>
      </c>
      <c r="CQ83" s="63">
        <v>-1.23146269944997E-2</v>
      </c>
      <c r="CR83" s="63">
        <v>-0.14288317432199901</v>
      </c>
      <c r="CS83" s="63">
        <v>-0.27861242485066401</v>
      </c>
      <c r="CT83" s="63">
        <v>-0.317946320116758</v>
      </c>
      <c r="CU83" s="163"/>
      <c r="CV83" s="163"/>
      <c r="CW83" s="163"/>
      <c r="CX83" s="158"/>
    </row>
    <row r="84" spans="1:102" hidden="1" x14ac:dyDescent="0.2">
      <c r="A84" s="59" t="s">
        <v>116</v>
      </c>
      <c r="B84" s="59" t="s">
        <v>36</v>
      </c>
      <c r="C84" s="60">
        <v>0.59079999999999999</v>
      </c>
      <c r="D84" s="61">
        <v>105700</v>
      </c>
      <c r="E84" s="60">
        <v>0.61696234171598396</v>
      </c>
      <c r="F84" s="60">
        <v>0.55083831844991404</v>
      </c>
      <c r="G84" s="60">
        <v>0.67749538708644297</v>
      </c>
      <c r="H84" s="60">
        <v>0.61628408683871305</v>
      </c>
      <c r="I84" s="60">
        <v>0.48779395707117701</v>
      </c>
      <c r="J84" s="60"/>
      <c r="K84" s="60"/>
      <c r="L84" s="60"/>
      <c r="M84" s="60">
        <v>0.40771881021439199</v>
      </c>
      <c r="N84" s="60">
        <v>0.63640522790487597</v>
      </c>
      <c r="O84" s="60">
        <v>0.59017375564628105</v>
      </c>
      <c r="P84" s="60"/>
      <c r="Q84" s="60"/>
      <c r="R84" s="60"/>
      <c r="S84" s="60"/>
      <c r="T84" s="60"/>
      <c r="U84" s="60"/>
      <c r="V84" s="60">
        <v>0.626408541808816</v>
      </c>
      <c r="W84" s="60">
        <v>0.59293340495985303</v>
      </c>
      <c r="X84" s="60">
        <v>0.52611865287906401</v>
      </c>
      <c r="Y84" s="60"/>
      <c r="Z84" s="60"/>
      <c r="AA84" s="60"/>
      <c r="AB84" s="60"/>
      <c r="AC84" s="60"/>
      <c r="AD84" s="60"/>
      <c r="AE84" s="60"/>
      <c r="AF84" s="60"/>
      <c r="AG84" s="60">
        <v>0.1105</v>
      </c>
      <c r="AH84" s="61">
        <v>19800</v>
      </c>
      <c r="AI84" s="60">
        <v>0.109307850182504</v>
      </c>
      <c r="AJ84" s="60">
        <v>0.131396864795639</v>
      </c>
      <c r="AK84" s="60">
        <v>0.117773987100163</v>
      </c>
      <c r="AL84" s="60">
        <v>0.10895792527169899</v>
      </c>
      <c r="AM84" s="60">
        <v>0.120134079453901</v>
      </c>
      <c r="AN84" s="60"/>
      <c r="AO84" s="60"/>
      <c r="AP84" s="60"/>
      <c r="AQ84" s="60">
        <v>0.118534283754408</v>
      </c>
      <c r="AR84" s="60">
        <v>0.12500831522292899</v>
      </c>
      <c r="AS84" s="60">
        <v>0.12228657395616099</v>
      </c>
      <c r="AT84" s="60"/>
      <c r="AU84" s="60"/>
      <c r="AV84" s="60"/>
      <c r="AW84" s="60"/>
      <c r="AX84" s="60"/>
      <c r="AY84" s="60"/>
      <c r="AZ84" s="60">
        <v>0.14111317870904599</v>
      </c>
      <c r="BA84" s="60">
        <v>0.11752269105803199</v>
      </c>
      <c r="BB84" s="60"/>
      <c r="BC84" s="60"/>
      <c r="BD84" s="60"/>
      <c r="BE84" s="60"/>
      <c r="BF84" s="60"/>
      <c r="BG84" s="60"/>
      <c r="BH84" s="60"/>
      <c r="BI84" s="60"/>
      <c r="BJ84" s="60"/>
      <c r="BK84" s="60">
        <v>0.29870000000000002</v>
      </c>
      <c r="BL84" s="61">
        <v>53400</v>
      </c>
      <c r="BM84" s="60">
        <v>0.27372980810151198</v>
      </c>
      <c r="BN84" s="60">
        <v>0.31776481675444701</v>
      </c>
      <c r="BO84" s="60">
        <v>0.20473062581339499</v>
      </c>
      <c r="BP84" s="60">
        <v>0.274757987889588</v>
      </c>
      <c r="BQ84" s="60">
        <v>0.39207196347492301</v>
      </c>
      <c r="BR84" s="60">
        <v>0.483208805192684</v>
      </c>
      <c r="BS84" s="60"/>
      <c r="BT84" s="60"/>
      <c r="BU84" s="60">
        <v>0.47374690603120001</v>
      </c>
      <c r="BV84" s="60">
        <v>0.23858645687219401</v>
      </c>
      <c r="BW84" s="60">
        <v>0.28753967039755901</v>
      </c>
      <c r="BX84" s="60"/>
      <c r="BY84" s="60"/>
      <c r="BZ84" s="60"/>
      <c r="CA84" s="60"/>
      <c r="CB84" s="60"/>
      <c r="CC84" s="60"/>
      <c r="CD84" s="60">
        <v>0.23247827948213701</v>
      </c>
      <c r="CE84" s="60">
        <v>0.28954390398211499</v>
      </c>
      <c r="CF84" s="60">
        <v>0.34907137634465502</v>
      </c>
      <c r="CG84" s="60"/>
      <c r="CH84" s="60"/>
      <c r="CI84" s="60"/>
      <c r="CJ84" s="60"/>
      <c r="CK84" s="60"/>
      <c r="CL84" s="60"/>
      <c r="CM84" s="60"/>
      <c r="CN84" s="60"/>
      <c r="CO84" s="60">
        <v>0.70130000000000003</v>
      </c>
      <c r="CP84" s="62">
        <v>125500</v>
      </c>
      <c r="CQ84" s="63">
        <v>-4.4035008652935498E-2</v>
      </c>
      <c r="CR84" s="63">
        <v>-0.11659309686251799</v>
      </c>
      <c r="CS84" s="63">
        <v>-0.235160449159006</v>
      </c>
      <c r="CT84" s="63">
        <v>-0.27847817937928898</v>
      </c>
      <c r="CU84" s="163"/>
      <c r="CV84" s="163"/>
      <c r="CW84" s="163"/>
      <c r="CX84" s="158">
        <v>0.1022</v>
      </c>
    </row>
    <row r="85" spans="1:102" hidden="1" x14ac:dyDescent="0.2">
      <c r="A85" s="59" t="s">
        <v>116</v>
      </c>
      <c r="B85" s="59" t="s">
        <v>37</v>
      </c>
      <c r="C85" s="60">
        <v>0.58950000000000002</v>
      </c>
      <c r="D85" s="61">
        <v>105500</v>
      </c>
      <c r="E85" s="60">
        <v>0.63425783823703197</v>
      </c>
      <c r="F85" s="60">
        <v>0.54017336344288303</v>
      </c>
      <c r="G85" s="60">
        <v>0.64709893934422302</v>
      </c>
      <c r="H85" s="60">
        <v>0.64018786787936</v>
      </c>
      <c r="I85" s="60">
        <v>0.54530786093539096</v>
      </c>
      <c r="J85" s="60"/>
      <c r="K85" s="60"/>
      <c r="L85" s="60"/>
      <c r="M85" s="60">
        <v>0.47255018556531397</v>
      </c>
      <c r="N85" s="60">
        <v>0.63576077835938005</v>
      </c>
      <c r="O85" s="60">
        <v>0.59895953241509303</v>
      </c>
      <c r="P85" s="60"/>
      <c r="Q85" s="60"/>
      <c r="R85" s="60"/>
      <c r="S85" s="60"/>
      <c r="T85" s="60"/>
      <c r="U85" s="60"/>
      <c r="V85" s="60">
        <v>0.62217828889333404</v>
      </c>
      <c r="W85" s="60">
        <v>0.66803030461691304</v>
      </c>
      <c r="X85" s="60">
        <v>0.53484223713172596</v>
      </c>
      <c r="Y85" s="60"/>
      <c r="Z85" s="60"/>
      <c r="AA85" s="60"/>
      <c r="AB85" s="60"/>
      <c r="AC85" s="60"/>
      <c r="AD85" s="60"/>
      <c r="AE85" s="60"/>
      <c r="AF85" s="60"/>
      <c r="AG85" s="60">
        <v>0.10299999999999999</v>
      </c>
      <c r="AH85" s="61">
        <v>18400</v>
      </c>
      <c r="AI85" s="60">
        <v>9.2454338853071999E-2</v>
      </c>
      <c r="AJ85" s="60">
        <v>0.115193879431988</v>
      </c>
      <c r="AK85" s="60"/>
      <c r="AL85" s="60">
        <v>0.108636265738671</v>
      </c>
      <c r="AM85" s="60">
        <v>9.9839026893520005E-2</v>
      </c>
      <c r="AN85" s="60"/>
      <c r="AO85" s="60"/>
      <c r="AP85" s="60"/>
      <c r="AQ85" s="60">
        <v>7.5471263935608393E-2</v>
      </c>
      <c r="AR85" s="60">
        <v>0.11049183891709401</v>
      </c>
      <c r="AS85" s="60">
        <v>0.101219497421166</v>
      </c>
      <c r="AT85" s="60"/>
      <c r="AU85" s="60"/>
      <c r="AV85" s="60"/>
      <c r="AW85" s="60"/>
      <c r="AX85" s="60"/>
      <c r="AY85" s="60"/>
      <c r="AZ85" s="60">
        <v>0.126784973684062</v>
      </c>
      <c r="BA85" s="60">
        <v>0.105966179865934</v>
      </c>
      <c r="BB85" s="60"/>
      <c r="BC85" s="60"/>
      <c r="BD85" s="60"/>
      <c r="BE85" s="60"/>
      <c r="BF85" s="60"/>
      <c r="BG85" s="60"/>
      <c r="BH85" s="60"/>
      <c r="BI85" s="60"/>
      <c r="BJ85" s="60"/>
      <c r="BK85" s="60">
        <v>0.3075</v>
      </c>
      <c r="BL85" s="61">
        <v>55000</v>
      </c>
      <c r="BM85" s="60">
        <v>0.27328782290989601</v>
      </c>
      <c r="BN85" s="60">
        <v>0.34463275712512798</v>
      </c>
      <c r="BO85" s="60">
        <v>0.257055517118569</v>
      </c>
      <c r="BP85" s="60">
        <v>0.25117586638196898</v>
      </c>
      <c r="BQ85" s="60">
        <v>0.35485311217109</v>
      </c>
      <c r="BR85" s="60">
        <v>0.59644922588444604</v>
      </c>
      <c r="BS85" s="60"/>
      <c r="BT85" s="60"/>
      <c r="BU85" s="60">
        <v>0.45197855049907798</v>
      </c>
      <c r="BV85" s="60">
        <v>0.25374738272352498</v>
      </c>
      <c r="BW85" s="60">
        <v>0.29982097016373999</v>
      </c>
      <c r="BX85" s="60"/>
      <c r="BY85" s="60"/>
      <c r="BZ85" s="60"/>
      <c r="CA85" s="60"/>
      <c r="CB85" s="60"/>
      <c r="CC85" s="60"/>
      <c r="CD85" s="60">
        <v>0.25103673742260502</v>
      </c>
      <c r="CE85" s="60">
        <v>0.226003515517154</v>
      </c>
      <c r="CF85" s="60">
        <v>0.364167262002773</v>
      </c>
      <c r="CG85" s="60"/>
      <c r="CH85" s="60"/>
      <c r="CI85" s="60"/>
      <c r="CJ85" s="60"/>
      <c r="CK85" s="60"/>
      <c r="CL85" s="60"/>
      <c r="CM85" s="60"/>
      <c r="CN85" s="60"/>
      <c r="CO85" s="60">
        <v>0.6925</v>
      </c>
      <c r="CP85" s="62">
        <v>123900</v>
      </c>
      <c r="CQ85" s="63">
        <v>-7.1344934215231595E-2</v>
      </c>
      <c r="CR85" s="63">
        <v>-0.11313052458016901</v>
      </c>
      <c r="CS85" s="63">
        <v>-0.198231167775553</v>
      </c>
      <c r="CT85" s="63">
        <v>-0.33939370876587799</v>
      </c>
      <c r="CU85" s="163"/>
      <c r="CV85" s="163"/>
      <c r="CW85" s="163"/>
      <c r="CX85" s="158">
        <v>0.10929999999999999</v>
      </c>
    </row>
    <row r="86" spans="1:102" hidden="1" x14ac:dyDescent="0.2">
      <c r="A86" s="59" t="s">
        <v>116</v>
      </c>
      <c r="B86" s="59" t="s">
        <v>38</v>
      </c>
      <c r="C86" s="60">
        <v>0.57110000000000005</v>
      </c>
      <c r="D86" s="61">
        <v>102400</v>
      </c>
      <c r="E86" s="60">
        <v>0.62897219779791003</v>
      </c>
      <c r="F86" s="60">
        <v>0.51745577319360803</v>
      </c>
      <c r="G86" s="60">
        <v>0.56880962745422503</v>
      </c>
      <c r="H86" s="60">
        <v>0.65017712091841695</v>
      </c>
      <c r="I86" s="60">
        <v>0.55194382327057001</v>
      </c>
      <c r="J86" s="60"/>
      <c r="K86" s="60"/>
      <c r="L86" s="60"/>
      <c r="M86" s="60">
        <v>0.41962033574705399</v>
      </c>
      <c r="N86" s="60">
        <v>0.61784363270432197</v>
      </c>
      <c r="O86" s="60">
        <v>0.58740723863148203</v>
      </c>
      <c r="P86" s="60"/>
      <c r="Q86" s="60"/>
      <c r="R86" s="60"/>
      <c r="S86" s="60"/>
      <c r="T86" s="60"/>
      <c r="U86" s="60"/>
      <c r="V86" s="60">
        <v>0.64836513548963304</v>
      </c>
      <c r="W86" s="60">
        <v>0.63453689475904995</v>
      </c>
      <c r="X86" s="60">
        <v>0.49826841112436498</v>
      </c>
      <c r="Y86" s="60"/>
      <c r="Z86" s="60"/>
      <c r="AA86" s="60"/>
      <c r="AB86" s="60"/>
      <c r="AC86" s="60"/>
      <c r="AD86" s="60"/>
      <c r="AE86" s="60"/>
      <c r="AF86" s="60"/>
      <c r="AG86" s="60">
        <v>0.1154</v>
      </c>
      <c r="AH86" s="61">
        <v>20700</v>
      </c>
      <c r="AI86" s="60">
        <v>0.102469214361862</v>
      </c>
      <c r="AJ86" s="60">
        <v>0.12787418800339201</v>
      </c>
      <c r="AK86" s="60"/>
      <c r="AL86" s="60">
        <v>0.12152083678092999</v>
      </c>
      <c r="AM86" s="60">
        <v>0.15033435066770001</v>
      </c>
      <c r="AN86" s="60"/>
      <c r="AO86" s="60"/>
      <c r="AP86" s="60"/>
      <c r="AQ86" s="60"/>
      <c r="AR86" s="60">
        <v>0.124172039439579</v>
      </c>
      <c r="AS86" s="60">
        <v>0.121944753055978</v>
      </c>
      <c r="AT86" s="60"/>
      <c r="AU86" s="60"/>
      <c r="AV86" s="60"/>
      <c r="AW86" s="60"/>
      <c r="AX86" s="60"/>
      <c r="AY86" s="60"/>
      <c r="AZ86" s="60">
        <v>0.106405599903374</v>
      </c>
      <c r="BA86" s="60">
        <v>0.14340090216242801</v>
      </c>
      <c r="BB86" s="60">
        <v>0.13486164497974401</v>
      </c>
      <c r="BC86" s="60"/>
      <c r="BD86" s="60"/>
      <c r="BE86" s="60"/>
      <c r="BF86" s="60"/>
      <c r="BG86" s="60"/>
      <c r="BH86" s="60"/>
      <c r="BI86" s="60"/>
      <c r="BJ86" s="60"/>
      <c r="BK86" s="60">
        <v>0.3135</v>
      </c>
      <c r="BL86" s="61">
        <v>56200</v>
      </c>
      <c r="BM86" s="60">
        <v>0.26855858784022801</v>
      </c>
      <c r="BN86" s="60">
        <v>0.35467003880299802</v>
      </c>
      <c r="BO86" s="60">
        <v>0.34080121541284197</v>
      </c>
      <c r="BP86" s="60">
        <v>0.22830204230065401</v>
      </c>
      <c r="BQ86" s="60">
        <v>0.29772182606172998</v>
      </c>
      <c r="BR86" s="60">
        <v>0.68909145190557797</v>
      </c>
      <c r="BS86" s="60"/>
      <c r="BT86" s="60"/>
      <c r="BU86" s="60">
        <v>0.480646540454504</v>
      </c>
      <c r="BV86" s="60">
        <v>0.25798432785609798</v>
      </c>
      <c r="BW86" s="60">
        <v>0.29064800831253801</v>
      </c>
      <c r="BX86" s="60"/>
      <c r="BY86" s="60"/>
      <c r="BZ86" s="60"/>
      <c r="CA86" s="60"/>
      <c r="CB86" s="60"/>
      <c r="CC86" s="60"/>
      <c r="CD86" s="60">
        <v>0.24522926460699301</v>
      </c>
      <c r="CE86" s="60">
        <v>0.22206220307852301</v>
      </c>
      <c r="CF86" s="60">
        <v>0.366869943895892</v>
      </c>
      <c r="CG86" s="60"/>
      <c r="CH86" s="60"/>
      <c r="CI86" s="60"/>
      <c r="CJ86" s="60"/>
      <c r="CK86" s="60"/>
      <c r="CL86" s="60"/>
      <c r="CM86" s="60"/>
      <c r="CN86" s="60"/>
      <c r="CO86" s="60">
        <v>0.6865</v>
      </c>
      <c r="CP86" s="62">
        <v>123100</v>
      </c>
      <c r="CQ86" s="63">
        <v>-8.61114509627708E-2</v>
      </c>
      <c r="CR86" s="63">
        <v>-0.121640679288899</v>
      </c>
      <c r="CS86" s="63">
        <v>-0.22266221259840599</v>
      </c>
      <c r="CT86" s="63">
        <v>-0.34829023649273599</v>
      </c>
      <c r="CU86" s="163"/>
      <c r="CV86" s="163"/>
      <c r="CW86" s="163"/>
      <c r="CX86" s="158">
        <v>0.14960000000000001</v>
      </c>
    </row>
    <row r="87" spans="1:102" hidden="1" x14ac:dyDescent="0.2">
      <c r="A87" s="59" t="s">
        <v>116</v>
      </c>
      <c r="B87" s="59" t="s">
        <v>39</v>
      </c>
      <c r="C87" s="60">
        <v>0.59520581722215804</v>
      </c>
      <c r="D87" s="61">
        <v>106800</v>
      </c>
      <c r="E87" s="60">
        <v>0.65711417223425705</v>
      </c>
      <c r="F87" s="60">
        <v>0.53682471132897402</v>
      </c>
      <c r="G87" s="60">
        <v>0.63970081383105104</v>
      </c>
      <c r="H87" s="60">
        <v>0.665531491511965</v>
      </c>
      <c r="I87" s="60">
        <v>0.55720764347612595</v>
      </c>
      <c r="J87" s="60"/>
      <c r="K87" s="60">
        <v>0.65401363533212398</v>
      </c>
      <c r="L87" s="60">
        <v>0.48665818269183198</v>
      </c>
      <c r="M87" s="60">
        <v>0.45983632204049801</v>
      </c>
      <c r="N87" s="60">
        <v>0.62979145202873499</v>
      </c>
      <c r="O87" s="60">
        <v>0.614462722261363</v>
      </c>
      <c r="P87" s="60"/>
      <c r="Q87" s="60"/>
      <c r="R87" s="60"/>
      <c r="S87" s="60"/>
      <c r="T87" s="60"/>
      <c r="U87" s="60"/>
      <c r="V87" s="60">
        <v>0.66646497369755697</v>
      </c>
      <c r="W87" s="60">
        <v>0.60278313423452401</v>
      </c>
      <c r="X87" s="60">
        <v>0.57291779028805001</v>
      </c>
      <c r="Y87" s="60">
        <v>0.69424385452049797</v>
      </c>
      <c r="Z87" s="60"/>
      <c r="AA87" s="60"/>
      <c r="AB87" s="60"/>
      <c r="AC87" s="60"/>
      <c r="AD87" s="60"/>
      <c r="AE87" s="60"/>
      <c r="AF87" s="60"/>
      <c r="AG87" s="60">
        <v>0.125126593472935</v>
      </c>
      <c r="AH87" s="61">
        <v>22400</v>
      </c>
      <c r="AI87" s="60">
        <v>9.5259675486789194E-2</v>
      </c>
      <c r="AJ87" s="60">
        <v>0.15329183387241599</v>
      </c>
      <c r="AK87" s="60"/>
      <c r="AL87" s="60">
        <v>0.13573397766451401</v>
      </c>
      <c r="AM87" s="60">
        <v>0.15051012311644099</v>
      </c>
      <c r="AN87" s="60"/>
      <c r="AO87" s="60">
        <v>0.118660860460027</v>
      </c>
      <c r="AP87" s="60">
        <v>0.13640414404847401</v>
      </c>
      <c r="AQ87" s="60"/>
      <c r="AR87" s="60">
        <v>0.133016678175883</v>
      </c>
      <c r="AS87" s="60">
        <v>0.135866326429015</v>
      </c>
      <c r="AT87" s="60"/>
      <c r="AU87" s="60"/>
      <c r="AV87" s="60"/>
      <c r="AW87" s="60"/>
      <c r="AX87" s="60"/>
      <c r="AY87" s="60"/>
      <c r="AZ87" s="60">
        <v>0.114749494206106</v>
      </c>
      <c r="BA87" s="60">
        <v>0.15678014411251301</v>
      </c>
      <c r="BB87" s="60"/>
      <c r="BC87" s="60"/>
      <c r="BD87" s="60"/>
      <c r="BE87" s="60"/>
      <c r="BF87" s="60"/>
      <c r="BG87" s="60"/>
      <c r="BH87" s="60"/>
      <c r="BI87" s="60"/>
      <c r="BJ87" s="60"/>
      <c r="BK87" s="60">
        <v>0.27966758930490798</v>
      </c>
      <c r="BL87" s="61">
        <v>50200</v>
      </c>
      <c r="BM87" s="60">
        <v>0.24762615227895399</v>
      </c>
      <c r="BN87" s="60">
        <v>0.30988345479861001</v>
      </c>
      <c r="BO87" s="60">
        <v>0.262854468296502</v>
      </c>
      <c r="BP87" s="60">
        <v>0.19873453082352099</v>
      </c>
      <c r="BQ87" s="60">
        <v>0.29228223340743398</v>
      </c>
      <c r="BR87" s="60">
        <v>0.68242039925768205</v>
      </c>
      <c r="BS87" s="60">
        <v>0.227325504207849</v>
      </c>
      <c r="BT87" s="60">
        <v>0.37693767325969502</v>
      </c>
      <c r="BU87" s="60">
        <v>0.42125364541237498</v>
      </c>
      <c r="BV87" s="60">
        <v>0.23719186979538101</v>
      </c>
      <c r="BW87" s="60">
        <v>0.249670951309623</v>
      </c>
      <c r="BX87" s="60"/>
      <c r="BY87" s="60"/>
      <c r="BZ87" s="60"/>
      <c r="CA87" s="60"/>
      <c r="CB87" s="60"/>
      <c r="CC87" s="60"/>
      <c r="CD87" s="60">
        <v>0.218785532096336</v>
      </c>
      <c r="CE87" s="60">
        <v>0.24043672165296301</v>
      </c>
      <c r="CF87" s="60">
        <v>0.30018335683334302</v>
      </c>
      <c r="CG87" s="60"/>
      <c r="CH87" s="60"/>
      <c r="CI87" s="60"/>
      <c r="CJ87" s="60"/>
      <c r="CK87" s="60"/>
      <c r="CL87" s="60"/>
      <c r="CM87" s="60"/>
      <c r="CN87" s="60"/>
      <c r="CO87" s="60">
        <v>0.72033241069509302</v>
      </c>
      <c r="CP87" s="62">
        <v>129200</v>
      </c>
      <c r="CQ87" s="63">
        <v>-6.22573025196562E-2</v>
      </c>
      <c r="CR87" s="63">
        <v>-8.1397824737007005E-2</v>
      </c>
      <c r="CS87" s="63">
        <v>-0.184061775616993</v>
      </c>
      <c r="CT87" s="63">
        <v>-0.41956593096118</v>
      </c>
      <c r="CU87" s="163">
        <v>0.37809962053260499</v>
      </c>
      <c r="CV87" s="163">
        <v>0.31789354596244901</v>
      </c>
      <c r="CW87" s="163">
        <v>0.57087545613289004</v>
      </c>
      <c r="CX87" s="158">
        <v>0.14360000000000001</v>
      </c>
    </row>
    <row r="88" spans="1:102" hidden="1" x14ac:dyDescent="0.2">
      <c r="A88" s="59" t="s">
        <v>116</v>
      </c>
      <c r="B88" s="59" t="s">
        <v>40</v>
      </c>
      <c r="C88" s="60">
        <v>0.61170000000000002</v>
      </c>
      <c r="D88" s="61">
        <v>110100</v>
      </c>
      <c r="E88" s="60">
        <v>0.65269999999999995</v>
      </c>
      <c r="F88" s="60">
        <v>0.56969999999999998</v>
      </c>
      <c r="G88" s="60">
        <v>0.67910000000000004</v>
      </c>
      <c r="H88" s="60">
        <v>0.66600000000000004</v>
      </c>
      <c r="I88" s="60">
        <v>0.55369999999999997</v>
      </c>
      <c r="J88" s="60"/>
      <c r="K88" s="60">
        <v>0.67279999999999995</v>
      </c>
      <c r="L88" s="60">
        <v>0.50139999999999996</v>
      </c>
      <c r="M88" s="60">
        <v>0.51129999999999998</v>
      </c>
      <c r="N88" s="60">
        <v>0.64129999999999998</v>
      </c>
      <c r="O88" s="60">
        <v>0.62739999999999996</v>
      </c>
      <c r="P88" s="60"/>
      <c r="Q88" s="60"/>
      <c r="R88" s="60"/>
      <c r="S88" s="60"/>
      <c r="T88" s="60"/>
      <c r="U88" s="60"/>
      <c r="V88" s="60">
        <v>0.68369999999999997</v>
      </c>
      <c r="W88" s="60">
        <v>0.6018</v>
      </c>
      <c r="X88" s="60">
        <v>0.62470000000000003</v>
      </c>
      <c r="Y88" s="60"/>
      <c r="Z88" s="60">
        <v>0.64610000000000001</v>
      </c>
      <c r="AA88" s="60"/>
      <c r="AB88" s="60">
        <v>0.49619999999999997</v>
      </c>
      <c r="AC88" s="60"/>
      <c r="AD88" s="60"/>
      <c r="AE88" s="60"/>
      <c r="AF88" s="60"/>
      <c r="AG88" s="60">
        <v>0.1249</v>
      </c>
      <c r="AH88" s="61">
        <v>22500</v>
      </c>
      <c r="AI88" s="60">
        <v>0.1094</v>
      </c>
      <c r="AJ88" s="60">
        <v>0.14169999999999999</v>
      </c>
      <c r="AK88" s="60"/>
      <c r="AL88" s="60">
        <v>0.12920000000000001</v>
      </c>
      <c r="AM88" s="60">
        <v>0.1308</v>
      </c>
      <c r="AN88" s="60"/>
      <c r="AO88" s="60">
        <v>0.1215</v>
      </c>
      <c r="AP88" s="60">
        <v>0.12870000000000001</v>
      </c>
      <c r="AQ88" s="60"/>
      <c r="AR88" s="60">
        <v>0.12720000000000001</v>
      </c>
      <c r="AS88" s="60">
        <v>0.13</v>
      </c>
      <c r="AT88" s="60"/>
      <c r="AU88" s="60"/>
      <c r="AV88" s="60"/>
      <c r="AW88" s="60"/>
      <c r="AX88" s="60"/>
      <c r="AY88" s="60"/>
      <c r="AZ88" s="60">
        <v>0.113</v>
      </c>
      <c r="BA88" s="60"/>
      <c r="BB88" s="60"/>
      <c r="BC88" s="60"/>
      <c r="BD88" s="60">
        <v>0.1212</v>
      </c>
      <c r="BE88" s="60"/>
      <c r="BF88" s="60"/>
      <c r="BG88" s="60"/>
      <c r="BH88" s="60"/>
      <c r="BI88" s="60"/>
      <c r="BJ88" s="60"/>
      <c r="BK88" s="60">
        <v>0.26340000000000002</v>
      </c>
      <c r="BL88" s="61">
        <v>47400</v>
      </c>
      <c r="BM88" s="60">
        <v>0.2379</v>
      </c>
      <c r="BN88" s="60">
        <v>0.28860000000000002</v>
      </c>
      <c r="BO88" s="60">
        <v>0.2064</v>
      </c>
      <c r="BP88" s="60">
        <v>0.20480000000000001</v>
      </c>
      <c r="BQ88" s="60">
        <v>0.3155</v>
      </c>
      <c r="BR88" s="60">
        <v>0.54200000000000004</v>
      </c>
      <c r="BS88" s="60">
        <v>0.20569999999999999</v>
      </c>
      <c r="BT88" s="60">
        <v>0.37</v>
      </c>
      <c r="BU88" s="60">
        <v>0.3931</v>
      </c>
      <c r="BV88" s="60">
        <v>0.23150000000000001</v>
      </c>
      <c r="BW88" s="60">
        <v>0.24260000000000001</v>
      </c>
      <c r="BX88" s="60"/>
      <c r="BY88" s="60"/>
      <c r="BZ88" s="60"/>
      <c r="CA88" s="60"/>
      <c r="CB88" s="60"/>
      <c r="CC88" s="60"/>
      <c r="CD88" s="60">
        <v>0.2034</v>
      </c>
      <c r="CE88" s="60">
        <v>0.28210000000000002</v>
      </c>
      <c r="CF88" s="60">
        <v>0.26240000000000002</v>
      </c>
      <c r="CG88" s="60"/>
      <c r="CH88" s="60">
        <v>0.23269999999999999</v>
      </c>
      <c r="CI88" s="60"/>
      <c r="CJ88" s="60">
        <v>0.38600000000000001</v>
      </c>
      <c r="CK88" s="60"/>
      <c r="CL88" s="60"/>
      <c r="CM88" s="60"/>
      <c r="CN88" s="60"/>
      <c r="CO88" s="60">
        <v>0.73660000000000003</v>
      </c>
      <c r="CP88" s="62">
        <v>132600</v>
      </c>
      <c r="CQ88" s="63">
        <v>-5.0700000000000002E-2</v>
      </c>
      <c r="CR88" s="63">
        <v>-5.8999999999999997E-2</v>
      </c>
      <c r="CS88" s="63">
        <v>-0.16159999999999999</v>
      </c>
      <c r="CT88" s="63">
        <v>-0.33560000000000001</v>
      </c>
      <c r="CU88" s="163">
        <v>0.41049999999999998</v>
      </c>
      <c r="CV88" s="163">
        <v>0.33160000000000001</v>
      </c>
      <c r="CW88" s="163">
        <v>0.59009999999999996</v>
      </c>
      <c r="CX88" s="158">
        <v>0.1012</v>
      </c>
    </row>
    <row r="89" spans="1:102" hidden="1" x14ac:dyDescent="0.2">
      <c r="A89" s="59" t="s">
        <v>116</v>
      </c>
      <c r="B89" s="59" t="s">
        <v>41</v>
      </c>
      <c r="C89" s="60">
        <v>0.60130594649264402</v>
      </c>
      <c r="D89" s="61">
        <v>108200</v>
      </c>
      <c r="E89" s="60">
        <v>0.62559414018927795</v>
      </c>
      <c r="F89" s="60">
        <v>0.58001962049210998</v>
      </c>
      <c r="G89" s="60">
        <v>0.68016604719142104</v>
      </c>
      <c r="H89" s="60">
        <v>0.63651425447636301</v>
      </c>
      <c r="I89" s="60">
        <v>0.53865954025085205</v>
      </c>
      <c r="J89" s="60">
        <v>0.40780378119859001</v>
      </c>
      <c r="K89" s="60">
        <v>0.65732521750060802</v>
      </c>
      <c r="L89" s="60">
        <v>0.51123011270043495</v>
      </c>
      <c r="M89" s="60">
        <v>0.44220081892362301</v>
      </c>
      <c r="N89" s="60">
        <v>0.64718803973198602</v>
      </c>
      <c r="O89" s="60">
        <v>0.626259190988811</v>
      </c>
      <c r="P89" s="60"/>
      <c r="Q89" s="60"/>
      <c r="R89" s="60"/>
      <c r="S89" s="60"/>
      <c r="T89" s="60"/>
      <c r="U89" s="60"/>
      <c r="V89" s="60">
        <v>0.68100249493244003</v>
      </c>
      <c r="W89" s="60">
        <v>0.60041126111614695</v>
      </c>
      <c r="X89" s="60">
        <v>0.58612432770569101</v>
      </c>
      <c r="Y89" s="60"/>
      <c r="Z89" s="60">
        <v>0.64216449324884906</v>
      </c>
      <c r="AA89" s="60"/>
      <c r="AB89" s="60">
        <v>0.50264840556516799</v>
      </c>
      <c r="AC89" s="60"/>
      <c r="AD89" s="60"/>
      <c r="AE89" s="60"/>
      <c r="AF89" s="60"/>
      <c r="AG89" s="60">
        <v>0.12574083471325401</v>
      </c>
      <c r="AH89" s="61">
        <v>22600</v>
      </c>
      <c r="AI89" s="60">
        <v>0.114970830815463</v>
      </c>
      <c r="AJ89" s="60">
        <v>0.13602143197730199</v>
      </c>
      <c r="AK89" s="60"/>
      <c r="AL89" s="60">
        <v>0.11847764497809</v>
      </c>
      <c r="AM89" s="60">
        <v>0.156748157934605</v>
      </c>
      <c r="AN89" s="60"/>
      <c r="AO89" s="60">
        <v>0.106443126738855</v>
      </c>
      <c r="AP89" s="60">
        <v>0.15238060114676899</v>
      </c>
      <c r="AQ89" s="60">
        <v>0.107341717764212</v>
      </c>
      <c r="AR89" s="60">
        <v>0.124693253422675</v>
      </c>
      <c r="AS89" s="60">
        <v>0.11927136070849</v>
      </c>
      <c r="AT89" s="60"/>
      <c r="AU89" s="60"/>
      <c r="AV89" s="60"/>
      <c r="AW89" s="60"/>
      <c r="AX89" s="60"/>
      <c r="AY89" s="60"/>
      <c r="AZ89" s="60">
        <v>0.115855246458188</v>
      </c>
      <c r="BA89" s="60">
        <v>0.11796228184466701</v>
      </c>
      <c r="BB89" s="60"/>
      <c r="BC89" s="60"/>
      <c r="BD89" s="60">
        <v>0.120509866684538</v>
      </c>
      <c r="BE89" s="60"/>
      <c r="BF89" s="60">
        <v>0.14661179950598799</v>
      </c>
      <c r="BG89" s="60"/>
      <c r="BH89" s="60"/>
      <c r="BI89" s="60"/>
      <c r="BJ89" s="60"/>
      <c r="BK89" s="60">
        <v>0.272953218794102</v>
      </c>
      <c r="BL89" s="61">
        <v>49100</v>
      </c>
      <c r="BM89" s="60">
        <v>0.259435028995259</v>
      </c>
      <c r="BN89" s="60">
        <v>0.28395894753058998</v>
      </c>
      <c r="BO89" s="60">
        <v>0.22659917117096401</v>
      </c>
      <c r="BP89" s="60">
        <v>0.245008100545547</v>
      </c>
      <c r="BQ89" s="60">
        <v>0.304592301814542</v>
      </c>
      <c r="BR89" s="60">
        <v>0.45628407567702101</v>
      </c>
      <c r="BS89" s="60">
        <v>0.23623165576053801</v>
      </c>
      <c r="BT89" s="60">
        <v>0.33638928615279701</v>
      </c>
      <c r="BU89" s="60">
        <v>0.45045746331216402</v>
      </c>
      <c r="BV89" s="60">
        <v>0.22811870684534</v>
      </c>
      <c r="BW89" s="60">
        <v>0.25446944830269902</v>
      </c>
      <c r="BX89" s="60"/>
      <c r="BY89" s="60"/>
      <c r="BZ89" s="60"/>
      <c r="CA89" s="60"/>
      <c r="CB89" s="60"/>
      <c r="CC89" s="60"/>
      <c r="CD89" s="60">
        <v>0.20314225860937199</v>
      </c>
      <c r="CE89" s="60">
        <v>0.28162645703918598</v>
      </c>
      <c r="CF89" s="60">
        <v>0.29234471687892899</v>
      </c>
      <c r="CG89" s="60"/>
      <c r="CH89" s="60">
        <v>0.237325640066614</v>
      </c>
      <c r="CI89" s="60"/>
      <c r="CJ89" s="60">
        <v>0.350739794928844</v>
      </c>
      <c r="CK89" s="60"/>
      <c r="CL89" s="60"/>
      <c r="CM89" s="60"/>
      <c r="CN89" s="60"/>
      <c r="CO89" s="60">
        <v>0.72704678120589805</v>
      </c>
      <c r="CP89" s="62">
        <v>130800</v>
      </c>
      <c r="CQ89" s="63">
        <v>-2.4523918535330799E-2</v>
      </c>
      <c r="CR89" s="63">
        <v>-8.9202458269557403E-2</v>
      </c>
      <c r="CS89" s="63">
        <v>-0.22233875646682499</v>
      </c>
      <c r="CT89" s="63">
        <v>-0.229684904506057</v>
      </c>
      <c r="CU89" s="163">
        <v>0.41417399505331898</v>
      </c>
      <c r="CV89" s="163">
        <v>0.327812151673748</v>
      </c>
      <c r="CW89" s="163">
        <v>0.60477491649849302</v>
      </c>
      <c r="CX89" s="158">
        <v>8.1299999999999997E-2</v>
      </c>
    </row>
    <row r="90" spans="1:102" hidden="1" x14ac:dyDescent="0.2">
      <c r="A90" s="59" t="s">
        <v>116</v>
      </c>
      <c r="B90" s="59" t="s">
        <v>155</v>
      </c>
      <c r="C90" s="60">
        <v>0.57750000000000001</v>
      </c>
      <c r="D90" s="61">
        <v>104400</v>
      </c>
      <c r="E90" s="60">
        <v>0.60053479053175196</v>
      </c>
      <c r="F90" s="60">
        <v>0.56270141293073395</v>
      </c>
      <c r="G90" s="60">
        <v>0.67819428754273903</v>
      </c>
      <c r="H90" s="60">
        <v>0.59486852864834405</v>
      </c>
      <c r="I90" s="60">
        <v>0.52294941024326302</v>
      </c>
      <c r="J90" s="60"/>
      <c r="K90" s="60">
        <v>0.63212402856375305</v>
      </c>
      <c r="L90" s="60">
        <v>0.48318692410058101</v>
      </c>
      <c r="M90" s="60">
        <v>0.40541390657384901</v>
      </c>
      <c r="N90" s="60">
        <v>0.63719137518815105</v>
      </c>
      <c r="O90" s="60">
        <v>0.592856338602892</v>
      </c>
      <c r="P90" s="60"/>
      <c r="Q90" s="60"/>
      <c r="R90" s="60"/>
      <c r="S90" s="60"/>
      <c r="T90" s="60"/>
      <c r="U90" s="60"/>
      <c r="V90" s="60">
        <v>0.68643616370499605</v>
      </c>
      <c r="W90" s="60">
        <v>0.549229169110246</v>
      </c>
      <c r="X90" s="60">
        <v>0.50473478636493896</v>
      </c>
      <c r="Y90" s="60">
        <v>0.67855318421404698</v>
      </c>
      <c r="Z90" s="60">
        <v>0.62314514063377302</v>
      </c>
      <c r="AA90" s="60"/>
      <c r="AB90" s="60">
        <v>0.46218548368401302</v>
      </c>
      <c r="AC90" s="60"/>
      <c r="AD90" s="60"/>
      <c r="AE90" s="60"/>
      <c r="AF90" s="60"/>
      <c r="AG90" s="60">
        <v>0.1268</v>
      </c>
      <c r="AH90" s="61">
        <v>22900</v>
      </c>
      <c r="AI90" s="60">
        <v>0.103088086740152</v>
      </c>
      <c r="AJ90" s="60">
        <v>0.14730584968992599</v>
      </c>
      <c r="AK90" s="60"/>
      <c r="AL90" s="60">
        <v>0.112177844840713</v>
      </c>
      <c r="AM90" s="60">
        <v>0.15623607850129101</v>
      </c>
      <c r="AN90" s="60"/>
      <c r="AO90" s="60">
        <v>0.1101224797135</v>
      </c>
      <c r="AP90" s="60">
        <v>0.15305659968799801</v>
      </c>
      <c r="AQ90" s="60">
        <v>0.15028249328063301</v>
      </c>
      <c r="AR90" s="60">
        <v>0.109293122566318</v>
      </c>
      <c r="AS90" s="60">
        <v>0.13200812038713999</v>
      </c>
      <c r="AT90" s="60"/>
      <c r="AU90" s="60"/>
      <c r="AV90" s="60"/>
      <c r="AW90" s="60"/>
      <c r="AX90" s="60"/>
      <c r="AY90" s="60"/>
      <c r="AZ90" s="60">
        <v>0.105240672050673</v>
      </c>
      <c r="BA90" s="60">
        <v>0.18653119262253301</v>
      </c>
      <c r="BB90" s="60"/>
      <c r="BC90" s="60"/>
      <c r="BD90" s="60">
        <v>0.13879251393724901</v>
      </c>
      <c r="BE90" s="60"/>
      <c r="BF90" s="60">
        <v>0.13525598501129901</v>
      </c>
      <c r="BG90" s="60"/>
      <c r="BH90" s="60"/>
      <c r="BI90" s="60"/>
      <c r="BJ90" s="60"/>
      <c r="BK90" s="60">
        <v>0.29570000000000002</v>
      </c>
      <c r="BL90" s="61">
        <v>53400</v>
      </c>
      <c r="BM90" s="60">
        <v>0.29637712272809502</v>
      </c>
      <c r="BN90" s="60">
        <v>0.28999273737933901</v>
      </c>
      <c r="BO90" s="60">
        <v>0.214224903206433</v>
      </c>
      <c r="BP90" s="60">
        <v>0.29295362651094198</v>
      </c>
      <c r="BQ90" s="60">
        <v>0.32081451125544602</v>
      </c>
      <c r="BR90" s="60">
        <v>0.53003407583027295</v>
      </c>
      <c r="BS90" s="60">
        <v>0.25775349172274697</v>
      </c>
      <c r="BT90" s="60">
        <v>0.36375647621142199</v>
      </c>
      <c r="BU90" s="60">
        <v>0.44430360014551601</v>
      </c>
      <c r="BV90" s="60">
        <v>0.25351550224552999</v>
      </c>
      <c r="BW90" s="60">
        <v>0.27513554100996901</v>
      </c>
      <c r="BX90" s="60"/>
      <c r="BY90" s="60"/>
      <c r="BZ90" s="60"/>
      <c r="CA90" s="60"/>
      <c r="CB90" s="60"/>
      <c r="CC90" s="60"/>
      <c r="CD90" s="60">
        <v>0.208323164244332</v>
      </c>
      <c r="CE90" s="60">
        <v>0.26423963826722002</v>
      </c>
      <c r="CF90" s="60">
        <v>0.38372875484602098</v>
      </c>
      <c r="CG90" s="60"/>
      <c r="CH90" s="60">
        <v>0.238062345428978</v>
      </c>
      <c r="CI90" s="60"/>
      <c r="CJ90" s="60">
        <v>0.402558531304687</v>
      </c>
      <c r="CK90" s="60"/>
      <c r="CL90" s="60"/>
      <c r="CM90" s="60"/>
      <c r="CN90" s="60"/>
      <c r="CO90" s="60"/>
      <c r="CP90" s="62">
        <v>127300</v>
      </c>
      <c r="CQ90" s="63">
        <v>6.38438534875602E-3</v>
      </c>
      <c r="CR90" s="63">
        <v>-0.175405590601689</v>
      </c>
      <c r="CS90" s="63">
        <v>-0.19078809789998499</v>
      </c>
      <c r="CT90" s="63">
        <v>-0.31580917262384001</v>
      </c>
      <c r="CU90" s="163">
        <v>0.401629777781144</v>
      </c>
      <c r="CV90" s="163">
        <v>0.283325051275304</v>
      </c>
      <c r="CW90" s="163">
        <v>0.56483660877747899</v>
      </c>
      <c r="CX90" s="158"/>
    </row>
    <row r="91" spans="1:102" hidden="1" x14ac:dyDescent="0.2">
      <c r="A91" s="59" t="s">
        <v>116</v>
      </c>
      <c r="B91" s="59" t="s">
        <v>42</v>
      </c>
      <c r="C91" s="60">
        <v>-3.99999999999956E-4</v>
      </c>
      <c r="D91" s="61"/>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v>9.2999999999999992E-3</v>
      </c>
      <c r="AH91" s="61"/>
      <c r="AI91" s="60">
        <v>-2.5877125166825499E-2</v>
      </c>
      <c r="AJ91" s="60">
        <v>3.9828623689023603E-2</v>
      </c>
      <c r="AK91" s="60">
        <v>0</v>
      </c>
      <c r="AL91" s="60">
        <v>1.2100131089076999E-2</v>
      </c>
      <c r="AM91" s="60">
        <v>3.9509769532598799E-2</v>
      </c>
      <c r="AN91" s="60">
        <v>0</v>
      </c>
      <c r="AO91" s="60">
        <v>0.1101224797135</v>
      </c>
      <c r="AP91" s="60">
        <v>0.15305659968799801</v>
      </c>
      <c r="AQ91" s="60">
        <v>-1.7099232652617299E-2</v>
      </c>
      <c r="AR91" s="60">
        <v>-1.1399004785977999E-4</v>
      </c>
      <c r="AS91" s="60">
        <v>1.7603794178644399E-3</v>
      </c>
      <c r="AT91" s="60">
        <v>0</v>
      </c>
      <c r="AU91" s="60">
        <v>0</v>
      </c>
      <c r="AV91" s="60">
        <v>0</v>
      </c>
      <c r="AW91" s="60">
        <v>0</v>
      </c>
      <c r="AX91" s="60">
        <v>0</v>
      </c>
      <c r="AY91" s="60">
        <v>0</v>
      </c>
      <c r="AZ91" s="60">
        <v>1.0867669991185E-2</v>
      </c>
      <c r="BA91" s="60">
        <v>6.0527370870442201E-2</v>
      </c>
      <c r="BB91" s="60">
        <v>0</v>
      </c>
      <c r="BC91" s="60">
        <v>0</v>
      </c>
      <c r="BD91" s="60">
        <v>0.13879251393724901</v>
      </c>
      <c r="BE91" s="60">
        <v>0</v>
      </c>
      <c r="BF91" s="60">
        <v>0.13525598501129901</v>
      </c>
      <c r="BG91" s="60">
        <v>0</v>
      </c>
      <c r="BH91" s="60">
        <v>0</v>
      </c>
      <c r="BI91" s="60">
        <v>0</v>
      </c>
      <c r="BJ91" s="60">
        <v>0</v>
      </c>
      <c r="BK91" s="60">
        <v>-8.89999999999996E-3</v>
      </c>
      <c r="BL91" s="61"/>
      <c r="BM91" s="60">
        <v>7.6110904653259304E-4</v>
      </c>
      <c r="BN91" s="60">
        <v>-1.7937903296723099E-2</v>
      </c>
      <c r="BO91" s="60">
        <v>6.0552006199097704E-3</v>
      </c>
      <c r="BP91" s="60">
        <v>4.3740216316691199E-2</v>
      </c>
      <c r="BQ91" s="60">
        <v>-8.9628635470301796E-2</v>
      </c>
      <c r="BR91" s="60">
        <v>3.91805312699156E-3</v>
      </c>
      <c r="BS91" s="60">
        <v>0.25775349172274697</v>
      </c>
      <c r="BT91" s="60">
        <v>0.36375647621142199</v>
      </c>
      <c r="BU91" s="60">
        <v>-7.7291623293666206E-2</v>
      </c>
      <c r="BV91" s="60">
        <v>1.05327036570126E-2</v>
      </c>
      <c r="BW91" s="60">
        <v>-1.0193538884545401E-2</v>
      </c>
      <c r="BX91" s="60">
        <v>0</v>
      </c>
      <c r="BY91" s="60">
        <v>0</v>
      </c>
      <c r="BZ91" s="60">
        <v>0</v>
      </c>
      <c r="CA91" s="60">
        <v>0</v>
      </c>
      <c r="CB91" s="60">
        <v>0</v>
      </c>
      <c r="CC91" s="60">
        <v>0</v>
      </c>
      <c r="CD91" s="60">
        <v>-8.3993334124610707E-3</v>
      </c>
      <c r="CE91" s="60">
        <v>-1.11036985159279E-2</v>
      </c>
      <c r="CF91" s="60">
        <v>2.4123082867229102E-2</v>
      </c>
      <c r="CG91" s="60">
        <v>0</v>
      </c>
      <c r="CH91" s="60">
        <v>0.238062345428978</v>
      </c>
      <c r="CI91" s="60">
        <v>0</v>
      </c>
      <c r="CJ91" s="60">
        <v>0.402558531304687</v>
      </c>
      <c r="CK91" s="60">
        <v>0</v>
      </c>
      <c r="CL91" s="60">
        <v>0</v>
      </c>
      <c r="CM91" s="60">
        <v>0</v>
      </c>
      <c r="CN91" s="60">
        <v>0</v>
      </c>
      <c r="CO91" s="60">
        <v>-0.69540000000000002</v>
      </c>
      <c r="CP91" s="62">
        <v>3700</v>
      </c>
      <c r="CQ91" s="63">
        <v>1.8699012343255699E-2</v>
      </c>
      <c r="CR91" s="63">
        <v>-3.25224162796902E-2</v>
      </c>
      <c r="CS91" s="63">
        <v>8.7824326950678794E-2</v>
      </c>
      <c r="CT91" s="63">
        <v>2.13714749291821E-3</v>
      </c>
      <c r="CU91" s="163">
        <v>2.3530157248539501E-2</v>
      </c>
      <c r="CV91" s="163">
        <v>-3.4568494687144603E-2</v>
      </c>
      <c r="CW91" s="163">
        <v>-6.0388473554111597E-3</v>
      </c>
      <c r="CX91" s="158"/>
    </row>
    <row r="92" spans="1:102" hidden="1" x14ac:dyDescent="0.2">
      <c r="A92" s="59" t="s">
        <v>117</v>
      </c>
      <c r="B92" s="59" t="s">
        <v>35</v>
      </c>
      <c r="C92" s="60">
        <v>0.60160000000000002</v>
      </c>
      <c r="D92" s="61">
        <v>111000</v>
      </c>
      <c r="E92" s="60">
        <v>0.65487674692125297</v>
      </c>
      <c r="F92" s="60">
        <v>0.55308644515263505</v>
      </c>
      <c r="G92" s="60">
        <v>0.66654217410977001</v>
      </c>
      <c r="H92" s="60">
        <v>0.68626177646626496</v>
      </c>
      <c r="I92" s="60">
        <v>0.54667715418362195</v>
      </c>
      <c r="J92" s="60">
        <v>0.32938707397813699</v>
      </c>
      <c r="K92" s="60"/>
      <c r="L92" s="60"/>
      <c r="M92" s="60">
        <v>0.389472173580862</v>
      </c>
      <c r="N92" s="60">
        <v>0.64846659562303999</v>
      </c>
      <c r="O92" s="60">
        <v>0.61563982719369803</v>
      </c>
      <c r="P92" s="60"/>
      <c r="Q92" s="60"/>
      <c r="R92" s="60"/>
      <c r="S92" s="60"/>
      <c r="T92" s="60"/>
      <c r="U92" s="60"/>
      <c r="V92" s="60">
        <v>0.72654885734517205</v>
      </c>
      <c r="W92" s="60">
        <v>0.53724513757993597</v>
      </c>
      <c r="X92" s="60">
        <v>0.55893794590110302</v>
      </c>
      <c r="Y92" s="60"/>
      <c r="Z92" s="60"/>
      <c r="AA92" s="60"/>
      <c r="AB92" s="60"/>
      <c r="AC92" s="60"/>
      <c r="AD92" s="60"/>
      <c r="AE92" s="60"/>
      <c r="AF92" s="60"/>
      <c r="AG92" s="60">
        <v>0.12609999999999999</v>
      </c>
      <c r="AH92" s="61">
        <v>23300</v>
      </c>
      <c r="AI92" s="60">
        <v>0.13684125102040001</v>
      </c>
      <c r="AJ92" s="60">
        <v>0.11637001547921599</v>
      </c>
      <c r="AK92" s="60"/>
      <c r="AL92" s="60">
        <v>0.13928058365080101</v>
      </c>
      <c r="AM92" s="60">
        <v>0.14073764107179201</v>
      </c>
      <c r="AN92" s="60"/>
      <c r="AO92" s="60"/>
      <c r="AP92" s="60"/>
      <c r="AQ92" s="60"/>
      <c r="AR92" s="60">
        <v>0.12752463797181099</v>
      </c>
      <c r="AS92" s="60">
        <v>0.12155870606147801</v>
      </c>
      <c r="AT92" s="60"/>
      <c r="AU92" s="60"/>
      <c r="AV92" s="60"/>
      <c r="AW92" s="60"/>
      <c r="AX92" s="60"/>
      <c r="AY92" s="60"/>
      <c r="AZ92" s="60">
        <v>0.111946128851796</v>
      </c>
      <c r="BA92" s="60"/>
      <c r="BB92" s="60"/>
      <c r="BC92" s="60"/>
      <c r="BD92" s="60"/>
      <c r="BE92" s="60"/>
      <c r="BF92" s="60"/>
      <c r="BG92" s="60"/>
      <c r="BH92" s="60"/>
      <c r="BI92" s="60"/>
      <c r="BJ92" s="60"/>
      <c r="BK92" s="60">
        <v>0.27229999999999999</v>
      </c>
      <c r="BL92" s="61">
        <v>50300</v>
      </c>
      <c r="BM92" s="60">
        <v>0.20828200205834699</v>
      </c>
      <c r="BN92" s="60">
        <v>0.33054353936814901</v>
      </c>
      <c r="BO92" s="60">
        <v>0.243353226255003</v>
      </c>
      <c r="BP92" s="60">
        <v>0.174457639882935</v>
      </c>
      <c r="BQ92" s="60">
        <v>0.31258520474458701</v>
      </c>
      <c r="BR92" s="60">
        <v>0.52889890982941401</v>
      </c>
      <c r="BS92" s="60"/>
      <c r="BT92" s="60"/>
      <c r="BU92" s="60">
        <v>0.488421815020809</v>
      </c>
      <c r="BV92" s="60">
        <v>0.224008766405147</v>
      </c>
      <c r="BW92" s="60">
        <v>0.26280146674482302</v>
      </c>
      <c r="BX92" s="60"/>
      <c r="BY92" s="60"/>
      <c r="BZ92" s="60"/>
      <c r="CA92" s="60"/>
      <c r="CB92" s="60"/>
      <c r="CC92" s="60"/>
      <c r="CD92" s="60">
        <v>0.161505013803032</v>
      </c>
      <c r="CE92" s="60">
        <v>0.32882437335999398</v>
      </c>
      <c r="CF92" s="60"/>
      <c r="CG92" s="60"/>
      <c r="CH92" s="60"/>
      <c r="CI92" s="60"/>
      <c r="CJ92" s="60"/>
      <c r="CK92" s="60"/>
      <c r="CL92" s="60"/>
      <c r="CM92" s="60"/>
      <c r="CN92" s="60"/>
      <c r="CO92" s="60">
        <v>0.72770000000000001</v>
      </c>
      <c r="CP92" s="62">
        <v>134300</v>
      </c>
      <c r="CQ92" s="63">
        <v>-0.12226153730980199</v>
      </c>
      <c r="CR92" s="63">
        <v>0.161505013803032</v>
      </c>
      <c r="CS92" s="63">
        <v>-0.26441304861566101</v>
      </c>
      <c r="CT92" s="63">
        <v>-0.28554568357441101</v>
      </c>
      <c r="CU92" s="163"/>
      <c r="CV92" s="163"/>
      <c r="CW92" s="163"/>
      <c r="CX92" s="158"/>
    </row>
    <row r="93" spans="1:102" hidden="1" x14ac:dyDescent="0.2">
      <c r="A93" s="59" t="s">
        <v>117</v>
      </c>
      <c r="B93" s="59" t="s">
        <v>36</v>
      </c>
      <c r="C93" s="60">
        <v>0.64300000000000002</v>
      </c>
      <c r="D93" s="61">
        <v>118900</v>
      </c>
      <c r="E93" s="60">
        <v>0.71109604802841897</v>
      </c>
      <c r="F93" s="60">
        <v>0.56769991469065695</v>
      </c>
      <c r="G93" s="60">
        <v>0.71582881389354103</v>
      </c>
      <c r="H93" s="60">
        <v>0.70881345022280695</v>
      </c>
      <c r="I93" s="60">
        <v>0.57089100424679096</v>
      </c>
      <c r="J93" s="60">
        <v>0.37882778923044902</v>
      </c>
      <c r="K93" s="60"/>
      <c r="L93" s="60"/>
      <c r="M93" s="60">
        <v>0.32691608580836801</v>
      </c>
      <c r="N93" s="60">
        <v>0.69489218486827697</v>
      </c>
      <c r="O93" s="60">
        <v>0.64679057602316803</v>
      </c>
      <c r="P93" s="60">
        <v>0.64464527316370601</v>
      </c>
      <c r="Q93" s="60">
        <v>0.622196025973206</v>
      </c>
      <c r="R93" s="60"/>
      <c r="S93" s="60"/>
      <c r="T93" s="60"/>
      <c r="U93" s="60"/>
      <c r="V93" s="60">
        <v>0.73523357959494895</v>
      </c>
      <c r="W93" s="60">
        <v>0.58465945273067998</v>
      </c>
      <c r="X93" s="60">
        <v>0.58680973286167804</v>
      </c>
      <c r="Y93" s="60"/>
      <c r="Z93" s="60"/>
      <c r="AA93" s="60"/>
      <c r="AB93" s="60"/>
      <c r="AC93" s="60"/>
      <c r="AD93" s="60"/>
      <c r="AE93" s="60"/>
      <c r="AF93" s="60"/>
      <c r="AG93" s="60">
        <v>0.1144</v>
      </c>
      <c r="AH93" s="61">
        <v>21200</v>
      </c>
      <c r="AI93" s="60">
        <v>0.108534884193736</v>
      </c>
      <c r="AJ93" s="60">
        <v>0.135574361004933</v>
      </c>
      <c r="AK93" s="60"/>
      <c r="AL93" s="60">
        <v>0.13054448760870499</v>
      </c>
      <c r="AM93" s="60">
        <v>0.12582304061795599</v>
      </c>
      <c r="AN93" s="60"/>
      <c r="AO93" s="60"/>
      <c r="AP93" s="60"/>
      <c r="AQ93" s="60"/>
      <c r="AR93" s="60">
        <v>0.115660243235193</v>
      </c>
      <c r="AS93" s="60">
        <v>0.120158603038833</v>
      </c>
      <c r="AT93" s="60"/>
      <c r="AU93" s="60"/>
      <c r="AV93" s="60"/>
      <c r="AW93" s="60"/>
      <c r="AX93" s="60"/>
      <c r="AY93" s="60"/>
      <c r="AZ93" s="60">
        <v>0.107777161494543</v>
      </c>
      <c r="BA93" s="60"/>
      <c r="BB93" s="60"/>
      <c r="BC93" s="60"/>
      <c r="BD93" s="60"/>
      <c r="BE93" s="60"/>
      <c r="BF93" s="60"/>
      <c r="BG93" s="60"/>
      <c r="BH93" s="60"/>
      <c r="BI93" s="60"/>
      <c r="BJ93" s="60"/>
      <c r="BK93" s="60">
        <v>0.24256358125472299</v>
      </c>
      <c r="BL93" s="61">
        <v>44900</v>
      </c>
      <c r="BM93" s="60">
        <v>0.18036906777784401</v>
      </c>
      <c r="BN93" s="60">
        <v>0.29672572430441002</v>
      </c>
      <c r="BO93" s="60">
        <v>0.20090250027675499</v>
      </c>
      <c r="BP93" s="60">
        <v>0.160642062168488</v>
      </c>
      <c r="BQ93" s="60">
        <v>0.30328595513525203</v>
      </c>
      <c r="BR93" s="60">
        <v>0.42828417721976503</v>
      </c>
      <c r="BS93" s="60"/>
      <c r="BT93" s="60"/>
      <c r="BU93" s="60">
        <v>0.49720496500297501</v>
      </c>
      <c r="BV93" s="60">
        <v>0.189447571896529</v>
      </c>
      <c r="BW93" s="60">
        <v>0.233050820937999</v>
      </c>
      <c r="BX93" s="60"/>
      <c r="BY93" s="60"/>
      <c r="BZ93" s="60"/>
      <c r="CA93" s="60"/>
      <c r="CB93" s="60"/>
      <c r="CC93" s="60"/>
      <c r="CD93" s="60">
        <v>0.15698925891050899</v>
      </c>
      <c r="CE93" s="60">
        <v>0.30387340822745201</v>
      </c>
      <c r="CF93" s="60"/>
      <c r="CG93" s="60"/>
      <c r="CH93" s="60"/>
      <c r="CI93" s="60"/>
      <c r="CJ93" s="60"/>
      <c r="CK93" s="60"/>
      <c r="CL93" s="60"/>
      <c r="CM93" s="60"/>
      <c r="CN93" s="60"/>
      <c r="CO93" s="60">
        <v>0.75739999999999996</v>
      </c>
      <c r="CP93" s="62">
        <v>140100</v>
      </c>
      <c r="CQ93" s="63">
        <v>-0.116356656526566</v>
      </c>
      <c r="CR93" s="63">
        <v>0.15698925891050899</v>
      </c>
      <c r="CS93" s="63">
        <v>-0.30775739310644601</v>
      </c>
      <c r="CT93" s="63">
        <v>-0.22738167694301101</v>
      </c>
      <c r="CU93" s="163"/>
      <c r="CV93" s="163"/>
      <c r="CW93" s="163"/>
      <c r="CX93" s="158">
        <v>0.1527</v>
      </c>
    </row>
    <row r="94" spans="1:102" hidden="1" x14ac:dyDescent="0.2">
      <c r="A94" s="59" t="s">
        <v>117</v>
      </c>
      <c r="B94" s="59" t="s">
        <v>37</v>
      </c>
      <c r="C94" s="60">
        <v>0.6462</v>
      </c>
      <c r="D94" s="61">
        <v>119800</v>
      </c>
      <c r="E94" s="60">
        <v>0.69427581243883696</v>
      </c>
      <c r="F94" s="60">
        <v>0.60134260265839401</v>
      </c>
      <c r="G94" s="60">
        <v>0.78999703149957901</v>
      </c>
      <c r="H94" s="60">
        <v>0.67615634318663098</v>
      </c>
      <c r="I94" s="60">
        <v>0.61120513035385804</v>
      </c>
      <c r="J94" s="60"/>
      <c r="K94" s="60"/>
      <c r="L94" s="60"/>
      <c r="M94" s="60">
        <v>0.40311574930101102</v>
      </c>
      <c r="N94" s="60">
        <v>0.70350486857224004</v>
      </c>
      <c r="O94" s="60">
        <v>0.65163266008881504</v>
      </c>
      <c r="P94" s="60">
        <v>0.77343904521957896</v>
      </c>
      <c r="Q94" s="60">
        <v>0.617486262091827</v>
      </c>
      <c r="R94" s="60"/>
      <c r="S94" s="60"/>
      <c r="T94" s="60"/>
      <c r="U94" s="60"/>
      <c r="V94" s="60">
        <v>0.72922259945437196</v>
      </c>
      <c r="W94" s="60">
        <v>0.59699936838317602</v>
      </c>
      <c r="X94" s="60">
        <v>0.60864854995923401</v>
      </c>
      <c r="Y94" s="60"/>
      <c r="Z94" s="60"/>
      <c r="AA94" s="60"/>
      <c r="AB94" s="60"/>
      <c r="AC94" s="60"/>
      <c r="AD94" s="60"/>
      <c r="AE94" s="60"/>
      <c r="AF94" s="60"/>
      <c r="AG94" s="60">
        <v>0.1101</v>
      </c>
      <c r="AH94" s="61">
        <v>20400</v>
      </c>
      <c r="AI94" s="60">
        <v>8.24559263470762E-2</v>
      </c>
      <c r="AJ94" s="60">
        <v>0.13588413030032401</v>
      </c>
      <c r="AK94" s="60"/>
      <c r="AL94" s="60">
        <v>0.117620798905647</v>
      </c>
      <c r="AM94" s="60">
        <v>0.119259246700956</v>
      </c>
      <c r="AN94" s="60"/>
      <c r="AO94" s="60"/>
      <c r="AP94" s="60"/>
      <c r="AQ94" s="60"/>
      <c r="AR94" s="60">
        <v>0.10959108795914101</v>
      </c>
      <c r="AS94" s="60">
        <v>0.119313403159944</v>
      </c>
      <c r="AT94" s="60"/>
      <c r="AU94" s="60"/>
      <c r="AV94" s="60"/>
      <c r="AW94" s="60"/>
      <c r="AX94" s="60"/>
      <c r="AY94" s="60"/>
      <c r="AZ94" s="60">
        <v>8.8081263616236194E-2</v>
      </c>
      <c r="BA94" s="60"/>
      <c r="BB94" s="60"/>
      <c r="BC94" s="60"/>
      <c r="BD94" s="60"/>
      <c r="BE94" s="60"/>
      <c r="BF94" s="60"/>
      <c r="BG94" s="60"/>
      <c r="BH94" s="60"/>
      <c r="BI94" s="60"/>
      <c r="BJ94" s="60"/>
      <c r="BK94" s="60">
        <v>0.2437</v>
      </c>
      <c r="BL94" s="61">
        <v>45200</v>
      </c>
      <c r="BM94" s="60">
        <v>0.22326826121408699</v>
      </c>
      <c r="BN94" s="60">
        <v>0.26277326704128201</v>
      </c>
      <c r="BO94" s="60">
        <v>0.14117725944520501</v>
      </c>
      <c r="BP94" s="60">
        <v>0.20622285790772299</v>
      </c>
      <c r="BQ94" s="60">
        <v>0.26953562294518602</v>
      </c>
      <c r="BR94" s="60">
        <v>0.52583902817398198</v>
      </c>
      <c r="BS94" s="60"/>
      <c r="BT94" s="60"/>
      <c r="BU94" s="60">
        <v>0.46096748207608301</v>
      </c>
      <c r="BV94" s="60">
        <v>0.186904043468618</v>
      </c>
      <c r="BW94" s="60">
        <v>0.229053936751241</v>
      </c>
      <c r="BX94" s="60"/>
      <c r="BY94" s="60"/>
      <c r="BZ94" s="60"/>
      <c r="CA94" s="60"/>
      <c r="CB94" s="60"/>
      <c r="CC94" s="60"/>
      <c r="CD94" s="60">
        <v>0.18269613692939099</v>
      </c>
      <c r="CE94" s="60">
        <v>0.27353836270070703</v>
      </c>
      <c r="CF94" s="60">
        <v>0.24604857872441999</v>
      </c>
      <c r="CG94" s="60"/>
      <c r="CH94" s="60"/>
      <c r="CI94" s="60"/>
      <c r="CJ94" s="60"/>
      <c r="CK94" s="60"/>
      <c r="CL94" s="60"/>
      <c r="CM94" s="60"/>
      <c r="CN94" s="60"/>
      <c r="CO94" s="60">
        <v>0.75629999999999997</v>
      </c>
      <c r="CP94" s="62">
        <v>140200</v>
      </c>
      <c r="CQ94" s="63">
        <v>-3.9505005827194697E-2</v>
      </c>
      <c r="CR94" s="63">
        <v>-6.3352441795028705E-2</v>
      </c>
      <c r="CS94" s="63">
        <v>-0.27406343860746502</v>
      </c>
      <c r="CT94" s="63">
        <v>-0.384661768728777</v>
      </c>
      <c r="CU94" s="163"/>
      <c r="CV94" s="163"/>
      <c r="CW94" s="163"/>
      <c r="CX94" s="158">
        <v>0.1648</v>
      </c>
    </row>
    <row r="95" spans="1:102" hidden="1" x14ac:dyDescent="0.2">
      <c r="A95" s="59" t="s">
        <v>117</v>
      </c>
      <c r="B95" s="59" t="s">
        <v>38</v>
      </c>
      <c r="C95" s="60">
        <v>0.60451370986298203</v>
      </c>
      <c r="D95" s="61">
        <v>112100</v>
      </c>
      <c r="E95" s="60">
        <v>0.62363986201460297</v>
      </c>
      <c r="F95" s="60">
        <v>0.59032277236047603</v>
      </c>
      <c r="G95" s="60">
        <v>0.73776836957059799</v>
      </c>
      <c r="H95" s="60">
        <v>0.59322979801379705</v>
      </c>
      <c r="I95" s="60">
        <v>0.64252064658159103</v>
      </c>
      <c r="J95" s="60"/>
      <c r="K95" s="60"/>
      <c r="L95" s="60"/>
      <c r="M95" s="60">
        <v>0.36307125785496802</v>
      </c>
      <c r="N95" s="60">
        <v>0.65760636326132504</v>
      </c>
      <c r="O95" s="60">
        <v>0.59384296581420803</v>
      </c>
      <c r="P95" s="60"/>
      <c r="Q95" s="60">
        <v>0.67172932882687697</v>
      </c>
      <c r="R95" s="60"/>
      <c r="S95" s="60"/>
      <c r="T95" s="60"/>
      <c r="U95" s="60"/>
      <c r="V95" s="60">
        <v>0.72532112305028995</v>
      </c>
      <c r="W95" s="60">
        <v>0.52746021998752102</v>
      </c>
      <c r="X95" s="60">
        <v>0.43371961301464901</v>
      </c>
      <c r="Y95" s="60"/>
      <c r="Z95" s="60"/>
      <c r="AA95" s="60"/>
      <c r="AB95" s="60"/>
      <c r="AC95" s="60"/>
      <c r="AD95" s="60"/>
      <c r="AE95" s="60"/>
      <c r="AF95" s="60"/>
      <c r="AG95" s="60">
        <v>0.13685452698529901</v>
      </c>
      <c r="AH95" s="61">
        <v>25400</v>
      </c>
      <c r="AI95" s="60">
        <v>0.116802343521295</v>
      </c>
      <c r="AJ95" s="60">
        <v>0.155524070309871</v>
      </c>
      <c r="AK95" s="60"/>
      <c r="AL95" s="60">
        <v>0.12832294028567801</v>
      </c>
      <c r="AM95" s="60">
        <v>0.14977217099503901</v>
      </c>
      <c r="AN95" s="60"/>
      <c r="AO95" s="60"/>
      <c r="AP95" s="60"/>
      <c r="AQ95" s="60"/>
      <c r="AR95" s="60">
        <v>0.138226624012567</v>
      </c>
      <c r="AS95" s="60">
        <v>0.14952683753818699</v>
      </c>
      <c r="AT95" s="60"/>
      <c r="AU95" s="60"/>
      <c r="AV95" s="60"/>
      <c r="AW95" s="60"/>
      <c r="AX95" s="60"/>
      <c r="AY95" s="60"/>
      <c r="AZ95" s="60">
        <v>0.10983651303068399</v>
      </c>
      <c r="BA95" s="60">
        <v>0.175625020994196</v>
      </c>
      <c r="BB95" s="60">
        <v>0.15359178688490699</v>
      </c>
      <c r="BC95" s="60"/>
      <c r="BD95" s="60"/>
      <c r="BE95" s="60"/>
      <c r="BF95" s="60"/>
      <c r="BG95" s="60"/>
      <c r="BH95" s="60"/>
      <c r="BI95" s="60"/>
      <c r="BJ95" s="60"/>
      <c r="BK95" s="60">
        <v>0.25863176315171799</v>
      </c>
      <c r="BL95" s="61">
        <v>48000</v>
      </c>
      <c r="BM95" s="60">
        <v>0.25955779446410199</v>
      </c>
      <c r="BN95" s="60">
        <v>0.25415315732965299</v>
      </c>
      <c r="BO95" s="60"/>
      <c r="BP95" s="60">
        <v>0.27844726170052497</v>
      </c>
      <c r="BQ95" s="60">
        <v>0.207707182423369</v>
      </c>
      <c r="BR95" s="60">
        <v>0.60871024358015602</v>
      </c>
      <c r="BS95" s="60"/>
      <c r="BT95" s="60"/>
      <c r="BU95" s="60">
        <v>0.485052670322904</v>
      </c>
      <c r="BV95" s="60">
        <v>0.20416701272610799</v>
      </c>
      <c r="BW95" s="60">
        <v>0.256630196647605</v>
      </c>
      <c r="BX95" s="60"/>
      <c r="BY95" s="60"/>
      <c r="BZ95" s="60"/>
      <c r="CA95" s="60"/>
      <c r="CB95" s="60"/>
      <c r="CC95" s="60"/>
      <c r="CD95" s="60">
        <v>0.16484236391902499</v>
      </c>
      <c r="CE95" s="60">
        <v>0.29691475901828301</v>
      </c>
      <c r="CF95" s="60">
        <v>0.412688600100444</v>
      </c>
      <c r="CG95" s="60"/>
      <c r="CH95" s="60"/>
      <c r="CI95" s="60"/>
      <c r="CJ95" s="60"/>
      <c r="CK95" s="60"/>
      <c r="CL95" s="60"/>
      <c r="CM95" s="60"/>
      <c r="CN95" s="60"/>
      <c r="CO95" s="60">
        <v>0.74136823684828101</v>
      </c>
      <c r="CP95" s="62">
        <v>137500</v>
      </c>
      <c r="CQ95" s="63">
        <v>5.4046371344487797E-3</v>
      </c>
      <c r="CR95" s="63">
        <v>-0.24784623618141899</v>
      </c>
      <c r="CS95" s="63">
        <v>-0.28088565759679701</v>
      </c>
      <c r="CT95" s="63">
        <v>-0.60871024358015602</v>
      </c>
      <c r="CU95" s="163"/>
      <c r="CV95" s="163"/>
      <c r="CW95" s="163"/>
      <c r="CX95" s="158">
        <v>0.1414</v>
      </c>
    </row>
    <row r="96" spans="1:102" hidden="1" x14ac:dyDescent="0.2">
      <c r="A96" s="59" t="s">
        <v>117</v>
      </c>
      <c r="B96" s="59" t="s">
        <v>39</v>
      </c>
      <c r="C96" s="60">
        <v>0.64070000000000005</v>
      </c>
      <c r="D96" s="61">
        <v>118800</v>
      </c>
      <c r="E96" s="60">
        <v>0.65478937931007397</v>
      </c>
      <c r="F96" s="60">
        <v>0.62857534769409495</v>
      </c>
      <c r="G96" s="60">
        <v>0.728619742200452</v>
      </c>
      <c r="H96" s="60">
        <v>0.65561278437403303</v>
      </c>
      <c r="I96" s="60">
        <v>0.65363602524454001</v>
      </c>
      <c r="J96" s="60"/>
      <c r="K96" s="60">
        <v>0.68995886549607</v>
      </c>
      <c r="L96" s="60">
        <v>0.54973809155614195</v>
      </c>
      <c r="M96" s="60">
        <v>0.39758750474712101</v>
      </c>
      <c r="N96" s="60">
        <v>0.67990566247143303</v>
      </c>
      <c r="O96" s="60">
        <v>0.64187704929854705</v>
      </c>
      <c r="P96" s="60">
        <v>0.69408631760154604</v>
      </c>
      <c r="Q96" s="60">
        <v>0.58371786477730903</v>
      </c>
      <c r="R96" s="60"/>
      <c r="S96" s="60"/>
      <c r="T96" s="60"/>
      <c r="U96" s="60"/>
      <c r="V96" s="60">
        <v>0.74540869839948198</v>
      </c>
      <c r="W96" s="60">
        <v>0.60763160252918602</v>
      </c>
      <c r="X96" s="60">
        <v>0.49922995731657599</v>
      </c>
      <c r="Y96" s="60">
        <v>0.71383960549097702</v>
      </c>
      <c r="Z96" s="60"/>
      <c r="AA96" s="60"/>
      <c r="AB96" s="60"/>
      <c r="AC96" s="60"/>
      <c r="AD96" s="60"/>
      <c r="AE96" s="60"/>
      <c r="AF96" s="60"/>
      <c r="AG96" s="60">
        <v>0.13133148737804701</v>
      </c>
      <c r="AH96" s="61">
        <v>24400</v>
      </c>
      <c r="AI96" s="60">
        <v>0.124740731326913</v>
      </c>
      <c r="AJ96" s="60">
        <v>0.13801163233789199</v>
      </c>
      <c r="AK96" s="60"/>
      <c r="AL96" s="60">
        <v>0.14173138265628801</v>
      </c>
      <c r="AM96" s="60">
        <v>0.12625010077103599</v>
      </c>
      <c r="AN96" s="60"/>
      <c r="AO96" s="60">
        <v>0.136504052064469</v>
      </c>
      <c r="AP96" s="60">
        <v>0.124858138014615</v>
      </c>
      <c r="AQ96" s="60">
        <v>8.8130261171615501E-2</v>
      </c>
      <c r="AR96" s="60">
        <v>0.14139020060469601</v>
      </c>
      <c r="AS96" s="60">
        <v>0.129207999282934</v>
      </c>
      <c r="AT96" s="60"/>
      <c r="AU96" s="60"/>
      <c r="AV96" s="60"/>
      <c r="AW96" s="60"/>
      <c r="AX96" s="60"/>
      <c r="AY96" s="60"/>
      <c r="AZ96" s="60">
        <v>0.11200562232787301</v>
      </c>
      <c r="BA96" s="60">
        <v>0.17651463233905401</v>
      </c>
      <c r="BB96" s="60"/>
      <c r="BC96" s="60"/>
      <c r="BD96" s="60"/>
      <c r="BE96" s="60"/>
      <c r="BF96" s="60"/>
      <c r="BG96" s="60"/>
      <c r="BH96" s="60"/>
      <c r="BI96" s="60"/>
      <c r="BJ96" s="60"/>
      <c r="BK96" s="60">
        <v>0.22800000000000001</v>
      </c>
      <c r="BL96" s="61">
        <v>42300</v>
      </c>
      <c r="BM96" s="60">
        <v>0.22046988936301301</v>
      </c>
      <c r="BN96" s="60">
        <v>0.233413019968012</v>
      </c>
      <c r="BO96" s="60"/>
      <c r="BP96" s="60">
        <v>0.20265583296967801</v>
      </c>
      <c r="BQ96" s="60">
        <v>0.220113873984425</v>
      </c>
      <c r="BR96" s="60">
        <v>0.59146166248500198</v>
      </c>
      <c r="BS96" s="60">
        <v>0.173537082439461</v>
      </c>
      <c r="BT96" s="60">
        <v>0.32540377042924401</v>
      </c>
      <c r="BU96" s="60">
        <v>0.51428223408126295</v>
      </c>
      <c r="BV96" s="60">
        <v>0.17870413692387299</v>
      </c>
      <c r="BW96" s="60">
        <v>0.22891495141852</v>
      </c>
      <c r="BX96" s="60"/>
      <c r="BY96" s="60"/>
      <c r="BZ96" s="60"/>
      <c r="CA96" s="60"/>
      <c r="CB96" s="60"/>
      <c r="CC96" s="60"/>
      <c r="CD96" s="60">
        <v>0.14258567927264201</v>
      </c>
      <c r="CE96" s="60">
        <v>0.215853765131759</v>
      </c>
      <c r="CF96" s="60"/>
      <c r="CG96" s="60"/>
      <c r="CH96" s="60"/>
      <c r="CI96" s="60"/>
      <c r="CJ96" s="60"/>
      <c r="CK96" s="60"/>
      <c r="CL96" s="60"/>
      <c r="CM96" s="60"/>
      <c r="CN96" s="60"/>
      <c r="CO96" s="60">
        <v>0.77203148737804705</v>
      </c>
      <c r="CP96" s="62">
        <v>143200</v>
      </c>
      <c r="CQ96" s="63">
        <v>-1.2943130604998399E-2</v>
      </c>
      <c r="CR96" s="63">
        <v>0.14258567927264201</v>
      </c>
      <c r="CS96" s="63">
        <v>-0.33557809715739001</v>
      </c>
      <c r="CT96" s="63">
        <v>-0.59146166248500198</v>
      </c>
      <c r="CU96" s="163">
        <v>0.39796431651446101</v>
      </c>
      <c r="CV96" s="163">
        <v>0.34292158005444601</v>
      </c>
      <c r="CW96" s="163">
        <v>0.56400418430195098</v>
      </c>
      <c r="CX96" s="158">
        <v>0.152</v>
      </c>
    </row>
    <row r="97" spans="1:102" hidden="1" x14ac:dyDescent="0.2">
      <c r="A97" s="59" t="s">
        <v>117</v>
      </c>
      <c r="B97" s="59" t="s">
        <v>40</v>
      </c>
      <c r="C97" s="60">
        <v>0.65790000000000004</v>
      </c>
      <c r="D97" s="61">
        <v>122300</v>
      </c>
      <c r="E97" s="60">
        <v>0.67379999999999995</v>
      </c>
      <c r="F97" s="60">
        <v>0.64380000000000004</v>
      </c>
      <c r="G97" s="60">
        <v>0.71909999999999996</v>
      </c>
      <c r="H97" s="60">
        <v>0.70540000000000003</v>
      </c>
      <c r="I97" s="60">
        <v>0.64300000000000002</v>
      </c>
      <c r="J97" s="60">
        <v>0.33410000000000001</v>
      </c>
      <c r="K97" s="60">
        <v>0.71150000000000002</v>
      </c>
      <c r="L97" s="60">
        <v>0.55249999999999999</v>
      </c>
      <c r="M97" s="60">
        <v>0.44309999999999999</v>
      </c>
      <c r="N97" s="60">
        <v>0.69479999999999997</v>
      </c>
      <c r="O97" s="60">
        <v>0.67669999999999997</v>
      </c>
      <c r="P97" s="60">
        <v>0.64539999999999997</v>
      </c>
      <c r="Q97" s="60">
        <v>0.54249999999999998</v>
      </c>
      <c r="R97" s="60"/>
      <c r="S97" s="60"/>
      <c r="T97" s="60"/>
      <c r="U97" s="60"/>
      <c r="V97" s="60">
        <v>0.70750000000000002</v>
      </c>
      <c r="W97" s="60">
        <v>0.69330000000000003</v>
      </c>
      <c r="X97" s="60">
        <v>0.69830000000000003</v>
      </c>
      <c r="Y97" s="60">
        <v>0.64270000000000005</v>
      </c>
      <c r="Z97" s="60">
        <v>0.70889999999999997</v>
      </c>
      <c r="AA97" s="60"/>
      <c r="AB97" s="60">
        <v>0.55000000000000004</v>
      </c>
      <c r="AC97" s="60"/>
      <c r="AD97" s="60"/>
      <c r="AE97" s="60"/>
      <c r="AF97" s="60"/>
      <c r="AG97" s="60">
        <v>0.11219999999999999</v>
      </c>
      <c r="AH97" s="61">
        <v>20900</v>
      </c>
      <c r="AI97" s="60">
        <v>0.1036</v>
      </c>
      <c r="AJ97" s="60">
        <v>0.1206</v>
      </c>
      <c r="AK97" s="60"/>
      <c r="AL97" s="60">
        <v>0.1191</v>
      </c>
      <c r="AM97" s="60">
        <v>0.13950000000000001</v>
      </c>
      <c r="AN97" s="60"/>
      <c r="AO97" s="60">
        <v>0.111</v>
      </c>
      <c r="AP97" s="60">
        <v>0.1164</v>
      </c>
      <c r="AQ97" s="60"/>
      <c r="AR97" s="60">
        <v>0.1176</v>
      </c>
      <c r="AS97" s="60">
        <v>0.1104</v>
      </c>
      <c r="AT97" s="60"/>
      <c r="AU97" s="60"/>
      <c r="AV97" s="60"/>
      <c r="AW97" s="60"/>
      <c r="AX97" s="60"/>
      <c r="AY97" s="60"/>
      <c r="AZ97" s="60">
        <v>0.1246</v>
      </c>
      <c r="BA97" s="60">
        <v>0.14269999999999999</v>
      </c>
      <c r="BB97" s="60"/>
      <c r="BC97" s="60"/>
      <c r="BD97" s="60">
        <v>0.1258</v>
      </c>
      <c r="BE97" s="60"/>
      <c r="BF97" s="60"/>
      <c r="BG97" s="60"/>
      <c r="BH97" s="60"/>
      <c r="BI97" s="60"/>
      <c r="BJ97" s="60"/>
      <c r="BK97" s="60">
        <v>0.2298</v>
      </c>
      <c r="BL97" s="61">
        <v>42700</v>
      </c>
      <c r="BM97" s="60">
        <v>0.22259999999999999</v>
      </c>
      <c r="BN97" s="60">
        <v>0.23569999999999999</v>
      </c>
      <c r="BO97" s="60">
        <v>0.18</v>
      </c>
      <c r="BP97" s="60">
        <v>0.17560000000000001</v>
      </c>
      <c r="BQ97" s="60">
        <v>0.2175</v>
      </c>
      <c r="BR97" s="60">
        <v>0.60529999999999995</v>
      </c>
      <c r="BS97" s="60">
        <v>0.17749999999999999</v>
      </c>
      <c r="BT97" s="60">
        <v>0.33110000000000001</v>
      </c>
      <c r="BU97" s="60">
        <v>0.46989999999999998</v>
      </c>
      <c r="BV97" s="60">
        <v>0.18759999999999999</v>
      </c>
      <c r="BW97" s="60">
        <v>0.21299999999999999</v>
      </c>
      <c r="BX97" s="60"/>
      <c r="BY97" s="60"/>
      <c r="BZ97" s="60"/>
      <c r="CA97" s="60"/>
      <c r="CB97" s="60"/>
      <c r="CC97" s="60"/>
      <c r="CD97" s="60">
        <v>0.16800000000000001</v>
      </c>
      <c r="CE97" s="60">
        <v>0.16400000000000001</v>
      </c>
      <c r="CF97" s="60"/>
      <c r="CG97" s="60"/>
      <c r="CH97" s="60">
        <v>0.1653</v>
      </c>
      <c r="CI97" s="60"/>
      <c r="CJ97" s="60">
        <v>0.36</v>
      </c>
      <c r="CK97" s="60"/>
      <c r="CL97" s="60"/>
      <c r="CM97" s="60"/>
      <c r="CN97" s="60"/>
      <c r="CO97" s="60">
        <v>0.77010000000000001</v>
      </c>
      <c r="CP97" s="62">
        <v>143200</v>
      </c>
      <c r="CQ97" s="63">
        <v>-1.3100000000000001E-2</v>
      </c>
      <c r="CR97" s="63">
        <v>0.16800000000000001</v>
      </c>
      <c r="CS97" s="63">
        <v>-0.2823</v>
      </c>
      <c r="CT97" s="63">
        <v>-0.42530000000000001</v>
      </c>
      <c r="CU97" s="163">
        <v>0.435</v>
      </c>
      <c r="CV97" s="163">
        <v>0.33560000000000001</v>
      </c>
      <c r="CW97" s="163">
        <v>0.60089999999999999</v>
      </c>
      <c r="CX97" s="158">
        <v>0.17069999999999999</v>
      </c>
    </row>
    <row r="98" spans="1:102" hidden="1" x14ac:dyDescent="0.2">
      <c r="A98" s="59" t="s">
        <v>117</v>
      </c>
      <c r="B98" s="59" t="s">
        <v>41</v>
      </c>
      <c r="C98" s="160">
        <v>0.65993900791366999</v>
      </c>
      <c r="D98" s="59">
        <v>122700</v>
      </c>
      <c r="E98" s="160">
        <v>0.68743223291904898</v>
      </c>
      <c r="F98" s="160">
        <v>0.63899259881704196</v>
      </c>
      <c r="G98" s="160">
        <v>0.73698129016942004</v>
      </c>
      <c r="H98" s="160">
        <v>0.69241781813111003</v>
      </c>
      <c r="I98" s="160">
        <v>0.64644534729748204</v>
      </c>
      <c r="J98" s="160">
        <v>0.37508605045627502</v>
      </c>
      <c r="K98" s="160">
        <v>0.71120751044764297</v>
      </c>
      <c r="L98" s="160">
        <v>0.56423019781296802</v>
      </c>
      <c r="M98" s="160">
        <v>0.41131240435190503</v>
      </c>
      <c r="N98" s="160">
        <v>0.70439920641620402</v>
      </c>
      <c r="O98" s="160">
        <v>0.66666792950078402</v>
      </c>
      <c r="P98" s="160">
        <v>0.74921354720242495</v>
      </c>
      <c r="Q98" s="160"/>
      <c r="R98" s="160"/>
      <c r="S98" s="160"/>
      <c r="T98" s="160"/>
      <c r="U98" s="160"/>
      <c r="V98" s="160">
        <v>0.68561635335671001</v>
      </c>
      <c r="W98" s="160">
        <v>0.70514995397703095</v>
      </c>
      <c r="X98" s="160">
        <v>0.73217733650794203</v>
      </c>
      <c r="Y98" s="160">
        <v>0.66963883723175599</v>
      </c>
      <c r="Z98" s="160">
        <v>0.71308867982016499</v>
      </c>
      <c r="AA98" s="160"/>
      <c r="AB98" s="160">
        <v>0.54146786518479595</v>
      </c>
      <c r="AC98" s="160"/>
      <c r="AD98" s="160"/>
      <c r="AE98" s="160"/>
      <c r="AF98" s="160"/>
      <c r="AG98" s="160">
        <v>0.109130641567388</v>
      </c>
      <c r="AH98" s="59">
        <v>20300</v>
      </c>
      <c r="AI98" s="160">
        <v>9.9324903988372001E-2</v>
      </c>
      <c r="AJ98" s="160">
        <v>0.118479915298005</v>
      </c>
      <c r="AK98" s="160"/>
      <c r="AL98" s="160">
        <v>0.11253014513625199</v>
      </c>
      <c r="AM98" s="160">
        <v>0.13693612272563399</v>
      </c>
      <c r="AN98" s="160"/>
      <c r="AO98" s="160">
        <v>0.105550494296557</v>
      </c>
      <c r="AP98" s="160">
        <v>0.11502675994101701</v>
      </c>
      <c r="AQ98" s="160">
        <v>0.144500536617758</v>
      </c>
      <c r="AR98" s="160">
        <v>0.10663987972793899</v>
      </c>
      <c r="AS98" s="160">
        <v>0.11452236822425201</v>
      </c>
      <c r="AT98" s="160"/>
      <c r="AU98" s="160"/>
      <c r="AV98" s="160"/>
      <c r="AW98" s="160"/>
      <c r="AX98" s="160"/>
      <c r="AY98" s="160"/>
      <c r="AZ98" s="160">
        <v>0.141929967981164</v>
      </c>
      <c r="BA98" s="160"/>
      <c r="BB98" s="160"/>
      <c r="BC98" s="160"/>
      <c r="BD98" s="160">
        <v>0.12695264450413399</v>
      </c>
      <c r="BE98" s="160"/>
      <c r="BF98" s="160"/>
      <c r="BG98" s="160"/>
      <c r="BH98" s="160"/>
      <c r="BI98" s="160"/>
      <c r="BJ98" s="160"/>
      <c r="BK98" s="160">
        <v>0.23093035051894301</v>
      </c>
      <c r="BL98" s="59">
        <v>42900</v>
      </c>
      <c r="BM98" s="160">
        <v>0.21324286309258</v>
      </c>
      <c r="BN98" s="160">
        <v>0.24252748588495199</v>
      </c>
      <c r="BO98" s="160"/>
      <c r="BP98" s="160">
        <v>0.19505203673263799</v>
      </c>
      <c r="BQ98" s="160">
        <v>0.21661852997688499</v>
      </c>
      <c r="BR98" s="160">
        <v>0.560291862816924</v>
      </c>
      <c r="BS98" s="160">
        <v>0.18324199525580101</v>
      </c>
      <c r="BT98" s="160">
        <v>0.32074304224601602</v>
      </c>
      <c r="BU98" s="160">
        <v>0.44418705903033801</v>
      </c>
      <c r="BV98" s="160">
        <v>0.188960913855858</v>
      </c>
      <c r="BW98" s="160">
        <v>0.21880970227496499</v>
      </c>
      <c r="BX98" s="160"/>
      <c r="BY98" s="160"/>
      <c r="BZ98" s="160"/>
      <c r="CA98" s="160"/>
      <c r="CB98" s="160"/>
      <c r="CC98" s="160"/>
      <c r="CD98" s="160">
        <v>0.17245367866212699</v>
      </c>
      <c r="CE98" s="160">
        <v>0.19769708834209099</v>
      </c>
      <c r="CF98" s="160"/>
      <c r="CG98" s="160"/>
      <c r="CH98" s="160">
        <v>0.15995867567570199</v>
      </c>
      <c r="CI98" s="160"/>
      <c r="CJ98" s="160">
        <v>0.376366043872356</v>
      </c>
      <c r="CK98" s="160"/>
      <c r="CL98" s="160"/>
      <c r="CM98" s="160"/>
      <c r="CN98" s="160"/>
      <c r="CO98" s="160">
        <v>0.76906964948105705</v>
      </c>
      <c r="CP98" s="161">
        <v>143000</v>
      </c>
      <c r="CQ98" s="160">
        <v>-2.92846227923724E-2</v>
      </c>
      <c r="CR98" s="160">
        <v>0.17245367866212699</v>
      </c>
      <c r="CS98" s="160">
        <v>-0.25522614517448</v>
      </c>
      <c r="CT98" s="160">
        <v>-0.560291862816924</v>
      </c>
      <c r="CU98" s="160">
        <v>0.45104743897048299</v>
      </c>
      <c r="CV98" s="160">
        <v>0.33863119704511702</v>
      </c>
      <c r="CW98" s="160">
        <v>0.62288761035542595</v>
      </c>
      <c r="CX98" s="59">
        <v>0.12280000000000001</v>
      </c>
    </row>
    <row r="99" spans="1:102" hidden="1" x14ac:dyDescent="0.2">
      <c r="A99" s="59" t="s">
        <v>117</v>
      </c>
      <c r="B99" s="59" t="s">
        <v>155</v>
      </c>
      <c r="C99" s="160">
        <v>0.67110000000000003</v>
      </c>
      <c r="D99" s="59">
        <v>125300</v>
      </c>
      <c r="E99" s="160">
        <v>0.71992302768879401</v>
      </c>
      <c r="F99" s="160">
        <v>0.631465296696755</v>
      </c>
      <c r="G99" s="160">
        <v>0.76631759266770105</v>
      </c>
      <c r="H99" s="160">
        <v>0.71196115226886203</v>
      </c>
      <c r="I99" s="160">
        <v>0.64419994051489204</v>
      </c>
      <c r="J99" s="160">
        <v>0.38694107665731098</v>
      </c>
      <c r="K99" s="160">
        <v>0.73368065495795198</v>
      </c>
      <c r="L99" s="160">
        <v>0.57296564199411004</v>
      </c>
      <c r="M99" s="160">
        <v>0.41149990630283501</v>
      </c>
      <c r="N99" s="160">
        <v>0.710406830146459</v>
      </c>
      <c r="O99" s="160">
        <v>0.68688751838256601</v>
      </c>
      <c r="P99" s="160">
        <v>0.68242944135051598</v>
      </c>
      <c r="Q99" s="160"/>
      <c r="R99" s="160"/>
      <c r="S99" s="160"/>
      <c r="T99" s="160"/>
      <c r="U99" s="160"/>
      <c r="V99" s="160">
        <v>0.70720306920869602</v>
      </c>
      <c r="W99" s="160">
        <v>0.67380608952407395</v>
      </c>
      <c r="X99" s="160">
        <v>0.67558958149215997</v>
      </c>
      <c r="Y99" s="160">
        <v>0.79928712771779797</v>
      </c>
      <c r="Z99" s="160">
        <v>0.72446151367612099</v>
      </c>
      <c r="AA99" s="160">
        <v>0.58869624128197673</v>
      </c>
      <c r="AB99" s="160">
        <v>0.52023762569203602</v>
      </c>
      <c r="AC99" s="160"/>
      <c r="AD99" s="160"/>
      <c r="AE99" s="160"/>
      <c r="AF99" s="160"/>
      <c r="AG99" s="160">
        <v>0.1226</v>
      </c>
      <c r="AH99" s="59">
        <v>22900</v>
      </c>
      <c r="AI99" s="160">
        <v>0.10072845350791799</v>
      </c>
      <c r="AJ99" s="160">
        <v>0.14205913686499699</v>
      </c>
      <c r="AK99" s="160"/>
      <c r="AL99" s="160">
        <v>0.136811510167926</v>
      </c>
      <c r="AM99" s="160">
        <v>9.6400083536884604E-2</v>
      </c>
      <c r="AN99" s="160"/>
      <c r="AO99" s="160">
        <v>0.127667127909733</v>
      </c>
      <c r="AP99" s="160">
        <v>0.108735151879621</v>
      </c>
      <c r="AQ99" s="160"/>
      <c r="AR99" s="160">
        <v>0.11673772311919201</v>
      </c>
      <c r="AS99" s="160">
        <v>0.111535346801241</v>
      </c>
      <c r="AT99" s="160">
        <v>0.16669856489101001</v>
      </c>
      <c r="AU99" s="160"/>
      <c r="AV99" s="160"/>
      <c r="AW99" s="160"/>
      <c r="AX99" s="160"/>
      <c r="AY99" s="160"/>
      <c r="AZ99" s="160">
        <v>0.13512070208555099</v>
      </c>
      <c r="BA99" s="160"/>
      <c r="BB99" s="160"/>
      <c r="BC99" s="160"/>
      <c r="BD99" s="160">
        <v>0.12227424125842</v>
      </c>
      <c r="BE99" s="160"/>
      <c r="BF99" s="160"/>
      <c r="BG99" s="160"/>
      <c r="BH99" s="160"/>
      <c r="BI99" s="160"/>
      <c r="BJ99" s="160"/>
      <c r="BK99" s="160">
        <v>0.20630000000000001</v>
      </c>
      <c r="BL99" s="59">
        <v>38500</v>
      </c>
      <c r="BM99" s="160">
        <v>0.179348518803288</v>
      </c>
      <c r="BN99" s="160">
        <v>0.22647556643824701</v>
      </c>
      <c r="BO99" s="160"/>
      <c r="BP99" s="160">
        <v>0.15122733756321199</v>
      </c>
      <c r="BQ99" s="160">
        <v>0.259399975948225</v>
      </c>
      <c r="BR99" s="160">
        <v>0.47211139941046998</v>
      </c>
      <c r="BS99" s="160">
        <v>0.13865221713231601</v>
      </c>
      <c r="BT99" s="160">
        <v>0.318299206126269</v>
      </c>
      <c r="BU99" s="160">
        <v>0.38435147980088002</v>
      </c>
      <c r="BV99" s="160">
        <v>0.17285544673434899</v>
      </c>
      <c r="BW99" s="160">
        <v>0.20157713481619399</v>
      </c>
      <c r="BX99" s="160">
        <v>0.15087199375847399</v>
      </c>
      <c r="BY99" s="160"/>
      <c r="BZ99" s="160"/>
      <c r="CA99" s="160"/>
      <c r="CB99" s="160"/>
      <c r="CC99" s="160"/>
      <c r="CD99" s="160">
        <v>0.15767622870575199</v>
      </c>
      <c r="CE99" s="160">
        <v>0.23392550635960499</v>
      </c>
      <c r="CF99" s="160"/>
      <c r="CG99" s="160"/>
      <c r="CH99" s="160">
        <v>0.15326424506545899</v>
      </c>
      <c r="CI99" s="160"/>
      <c r="CJ99" s="160">
        <v>0.3616661279126</v>
      </c>
      <c r="CK99" s="160"/>
      <c r="CL99" s="160"/>
      <c r="CM99" s="160"/>
      <c r="CN99" s="160"/>
      <c r="CO99" s="160"/>
      <c r="CP99" s="161">
        <v>148200</v>
      </c>
      <c r="CQ99" s="160">
        <v>-4.7127047634959097E-2</v>
      </c>
      <c r="CR99" s="160">
        <v>0.15767622870575199</v>
      </c>
      <c r="CS99" s="160">
        <v>-0.211496033066531</v>
      </c>
      <c r="CT99" s="160">
        <v>-0.47211139941046998</v>
      </c>
      <c r="CU99" s="160">
        <v>0.42634043950601103</v>
      </c>
      <c r="CV99" s="160">
        <v>0.32463662348681099</v>
      </c>
      <c r="CW99" s="160">
        <v>0.57884585841441605</v>
      </c>
      <c r="CX99" s="59"/>
    </row>
    <row r="100" spans="1:102" hidden="1" x14ac:dyDescent="0.2">
      <c r="A100" s="59" t="s">
        <v>117</v>
      </c>
      <c r="B100" s="59" t="s">
        <v>42</v>
      </c>
      <c r="C100" s="160">
        <v>6.9500000000000006E-2</v>
      </c>
      <c r="D100" s="59"/>
      <c r="E100" s="160"/>
      <c r="F100" s="160"/>
      <c r="G100" s="160"/>
      <c r="H100" s="160"/>
      <c r="I100" s="160"/>
      <c r="J100" s="160"/>
      <c r="K100" s="160"/>
      <c r="L100" s="160"/>
      <c r="M100" s="160"/>
      <c r="N100" s="160"/>
      <c r="O100" s="160"/>
      <c r="P100" s="160"/>
      <c r="Q100" s="160"/>
      <c r="R100" s="160"/>
      <c r="S100" s="160"/>
      <c r="T100" s="160"/>
      <c r="U100" s="160"/>
      <c r="V100" s="160"/>
      <c r="W100" s="160"/>
      <c r="X100" s="160"/>
      <c r="Y100" s="160"/>
      <c r="Z100" s="160"/>
      <c r="AA100" s="160"/>
      <c r="AB100" s="160"/>
      <c r="AC100" s="160"/>
      <c r="AD100" s="160"/>
      <c r="AE100" s="160"/>
      <c r="AF100" s="160"/>
      <c r="AG100" s="160">
        <v>-3.4999999999999901E-3</v>
      </c>
      <c r="AH100" s="59"/>
      <c r="AI100" s="160">
        <v>-3.6112797512482302E-2</v>
      </c>
      <c r="AJ100" s="160">
        <v>2.56891213857811E-2</v>
      </c>
      <c r="AK100" s="160">
        <v>0</v>
      </c>
      <c r="AL100" s="160">
        <v>-2.4690734828744501E-3</v>
      </c>
      <c r="AM100" s="160">
        <v>-4.4337557534906903E-2</v>
      </c>
      <c r="AN100" s="160">
        <v>0</v>
      </c>
      <c r="AO100" s="160">
        <v>0.127667127909733</v>
      </c>
      <c r="AP100" s="160">
        <v>0.108735151879621</v>
      </c>
      <c r="AQ100" s="160">
        <v>0</v>
      </c>
      <c r="AR100" s="160">
        <v>-1.07869148526188E-2</v>
      </c>
      <c r="AS100" s="160">
        <v>-1.00233592602368E-2</v>
      </c>
      <c r="AT100" s="160">
        <v>0.16669856489101001</v>
      </c>
      <c r="AU100" s="160">
        <v>0</v>
      </c>
      <c r="AV100" s="160">
        <v>0</v>
      </c>
      <c r="AW100" s="160">
        <v>0</v>
      </c>
      <c r="AX100" s="160">
        <v>0</v>
      </c>
      <c r="AY100" s="160">
        <v>0</v>
      </c>
      <c r="AZ100" s="160">
        <v>2.31745732337552E-2</v>
      </c>
      <c r="BA100" s="160">
        <v>0</v>
      </c>
      <c r="BB100" s="160">
        <v>0</v>
      </c>
      <c r="BC100" s="160">
        <v>0</v>
      </c>
      <c r="BD100" s="160">
        <v>0.12227424125842</v>
      </c>
      <c r="BE100" s="160">
        <v>0</v>
      </c>
      <c r="BF100" s="160">
        <v>0</v>
      </c>
      <c r="BG100" s="160">
        <v>0</v>
      </c>
      <c r="BH100" s="160">
        <v>0</v>
      </c>
      <c r="BI100" s="160">
        <v>0</v>
      </c>
      <c r="BJ100" s="160">
        <v>0</v>
      </c>
      <c r="BK100" s="160">
        <v>-6.6000000000000003E-2</v>
      </c>
      <c r="BL100" s="59"/>
      <c r="BM100" s="160">
        <v>-2.8933483255058901E-2</v>
      </c>
      <c r="BN100" s="160">
        <v>-0.104067972929902</v>
      </c>
      <c r="BO100" s="160">
        <v>-0.243353226255003</v>
      </c>
      <c r="BP100" s="160">
        <v>-2.32303023197225E-2</v>
      </c>
      <c r="BQ100" s="160">
        <v>-5.3185228796362401E-2</v>
      </c>
      <c r="BR100" s="160">
        <v>-5.6787510418943497E-2</v>
      </c>
      <c r="BS100" s="160">
        <v>0.13865221713231601</v>
      </c>
      <c r="BT100" s="160">
        <v>0.318299206126269</v>
      </c>
      <c r="BU100" s="160">
        <v>-0.10407033521992801</v>
      </c>
      <c r="BV100" s="160">
        <v>-5.1153319670798399E-2</v>
      </c>
      <c r="BW100" s="160">
        <v>-6.1224331928629597E-2</v>
      </c>
      <c r="BX100" s="160">
        <v>0.15087199375847399</v>
      </c>
      <c r="BY100" s="160">
        <v>0</v>
      </c>
      <c r="BZ100" s="160">
        <v>0</v>
      </c>
      <c r="CA100" s="160">
        <v>0</v>
      </c>
      <c r="CB100" s="160">
        <v>0</v>
      </c>
      <c r="CC100" s="160">
        <v>0</v>
      </c>
      <c r="CD100" s="160">
        <v>-3.8287850972794899E-3</v>
      </c>
      <c r="CE100" s="160">
        <v>-9.4898867000388396E-2</v>
      </c>
      <c r="CF100" s="160">
        <v>0</v>
      </c>
      <c r="CG100" s="160">
        <v>0</v>
      </c>
      <c r="CH100" s="160">
        <v>0.15326424506545899</v>
      </c>
      <c r="CI100" s="160">
        <v>0</v>
      </c>
      <c r="CJ100" s="160">
        <v>0.3616661279126</v>
      </c>
      <c r="CK100" s="160">
        <v>0</v>
      </c>
      <c r="CL100" s="160">
        <v>0</v>
      </c>
      <c r="CM100" s="160">
        <v>0</v>
      </c>
      <c r="CN100" s="160">
        <v>0</v>
      </c>
      <c r="CO100" s="160">
        <v>-0.72770000000000001</v>
      </c>
      <c r="CP100" s="161">
        <v>13900</v>
      </c>
      <c r="CQ100" s="160">
        <v>7.5134489674843402E-2</v>
      </c>
      <c r="CR100" s="160">
        <v>-3.8287850972794899E-3</v>
      </c>
      <c r="CS100" s="160">
        <v>5.2917015549130003E-2</v>
      </c>
      <c r="CT100" s="160">
        <v>-0.18656571583605899</v>
      </c>
      <c r="CU100" s="160">
        <v>2.83761229915497E-2</v>
      </c>
      <c r="CV100" s="160">
        <v>-1.8284956567635E-2</v>
      </c>
      <c r="CW100" s="160">
        <v>1.4841674112465101E-2</v>
      </c>
      <c r="CX100" s="59"/>
    </row>
    <row r="101" spans="1:102" hidden="1" x14ac:dyDescent="0.2">
      <c r="A101" s="59" t="s">
        <v>118</v>
      </c>
      <c r="B101" s="59" t="s">
        <v>35</v>
      </c>
      <c r="C101" s="160">
        <v>0.57189999999999996</v>
      </c>
      <c r="D101" s="59">
        <v>149800</v>
      </c>
      <c r="E101" s="160">
        <v>0.617368295472287</v>
      </c>
      <c r="F101" s="160">
        <v>0.52935246657262303</v>
      </c>
      <c r="G101" s="160">
        <v>0.72278205139936302</v>
      </c>
      <c r="H101" s="160">
        <v>0.56938280033716204</v>
      </c>
      <c r="I101" s="160">
        <v>0.52381088838003598</v>
      </c>
      <c r="J101" s="160"/>
      <c r="K101" s="160"/>
      <c r="L101" s="160"/>
      <c r="M101" s="160">
        <v>0.41209582157270502</v>
      </c>
      <c r="N101" s="160">
        <v>0.61361621041353798</v>
      </c>
      <c r="O101" s="160">
        <v>0.57389965207709404</v>
      </c>
      <c r="P101" s="160"/>
      <c r="Q101" s="160"/>
      <c r="R101" s="160"/>
      <c r="S101" s="160"/>
      <c r="T101" s="160"/>
      <c r="U101" s="160"/>
      <c r="V101" s="160">
        <v>0.66841762579587005</v>
      </c>
      <c r="W101" s="160">
        <v>0.56350387329386198</v>
      </c>
      <c r="X101" s="160">
        <v>0.48196162921893798</v>
      </c>
      <c r="Y101" s="160"/>
      <c r="Z101" s="160"/>
      <c r="AA101" s="160"/>
      <c r="AB101" s="160"/>
      <c r="AC101" s="160"/>
      <c r="AD101" s="160"/>
      <c r="AE101" s="160"/>
      <c r="AF101" s="160"/>
      <c r="AG101" s="160">
        <v>0.1021</v>
      </c>
      <c r="AH101" s="59">
        <v>26700</v>
      </c>
      <c r="AI101" s="160">
        <v>0.102829495879306</v>
      </c>
      <c r="AJ101" s="160">
        <v>0.101485262490354</v>
      </c>
      <c r="AK101" s="160"/>
      <c r="AL101" s="160">
        <v>0.13586847886148201</v>
      </c>
      <c r="AM101" s="160">
        <v>8.9847276224058803E-2</v>
      </c>
      <c r="AN101" s="160"/>
      <c r="AO101" s="160"/>
      <c r="AP101" s="160"/>
      <c r="AQ101" s="160"/>
      <c r="AR101" s="160">
        <v>0.105051390694469</v>
      </c>
      <c r="AS101" s="160">
        <v>0.10275165076049</v>
      </c>
      <c r="AT101" s="160"/>
      <c r="AU101" s="160"/>
      <c r="AV101" s="160"/>
      <c r="AW101" s="160"/>
      <c r="AX101" s="160"/>
      <c r="AY101" s="160"/>
      <c r="AZ101" s="160">
        <v>8.5971850168543903E-2</v>
      </c>
      <c r="BA101" s="160">
        <v>0.13635681062101301</v>
      </c>
      <c r="BB101" s="160"/>
      <c r="BC101" s="160"/>
      <c r="BD101" s="160"/>
      <c r="BE101" s="160"/>
      <c r="BF101" s="160"/>
      <c r="BG101" s="160"/>
      <c r="BH101" s="160"/>
      <c r="BI101" s="160"/>
      <c r="BJ101" s="160"/>
      <c r="BK101" s="160">
        <v>0.3261</v>
      </c>
      <c r="BL101" s="59">
        <v>85400</v>
      </c>
      <c r="BM101" s="160">
        <v>0.27980220864840699</v>
      </c>
      <c r="BN101" s="160">
        <v>0.36916227093702197</v>
      </c>
      <c r="BO101" s="160">
        <v>0.202442253591365</v>
      </c>
      <c r="BP101" s="160">
        <v>0.294748720801357</v>
      </c>
      <c r="BQ101" s="160">
        <v>0.386341835395905</v>
      </c>
      <c r="BR101" s="160">
        <v>0.656758304432977</v>
      </c>
      <c r="BS101" s="160"/>
      <c r="BT101" s="160"/>
      <c r="BU101" s="160">
        <v>0.51575276949011595</v>
      </c>
      <c r="BV101" s="160">
        <v>0.28133239889199302</v>
      </c>
      <c r="BW101" s="160">
        <v>0.32334869716241399</v>
      </c>
      <c r="BX101" s="160"/>
      <c r="BY101" s="160"/>
      <c r="BZ101" s="160"/>
      <c r="CA101" s="160"/>
      <c r="CB101" s="160"/>
      <c r="CC101" s="160"/>
      <c r="CD101" s="160">
        <v>0.245610524035586</v>
      </c>
      <c r="CE101" s="160">
        <v>0.30013931608512601</v>
      </c>
      <c r="CF101" s="160">
        <v>0.41532766026486201</v>
      </c>
      <c r="CG101" s="160"/>
      <c r="CH101" s="160"/>
      <c r="CI101" s="160"/>
      <c r="CJ101" s="160"/>
      <c r="CK101" s="160"/>
      <c r="CL101" s="160"/>
      <c r="CM101" s="160"/>
      <c r="CN101" s="160"/>
      <c r="CO101" s="160">
        <v>0.67400000000000004</v>
      </c>
      <c r="CP101" s="161">
        <v>176500</v>
      </c>
      <c r="CQ101" s="160">
        <v>-8.9360062288615205E-2</v>
      </c>
      <c r="CR101" s="160">
        <v>-0.16971713622927601</v>
      </c>
      <c r="CS101" s="160">
        <v>-0.23442037059812201</v>
      </c>
      <c r="CT101" s="160">
        <v>-0.45431605084161197</v>
      </c>
      <c r="CU101" s="160"/>
      <c r="CV101" s="160"/>
      <c r="CW101" s="160"/>
      <c r="CX101" s="59"/>
    </row>
    <row r="102" spans="1:102" hidden="1" x14ac:dyDescent="0.2">
      <c r="A102" s="59" t="s">
        <v>118</v>
      </c>
      <c r="B102" s="59" t="s">
        <v>36</v>
      </c>
      <c r="C102" s="160">
        <v>0.58079999999999998</v>
      </c>
      <c r="D102" s="59">
        <v>152700</v>
      </c>
      <c r="E102" s="160">
        <v>0.60516279959278496</v>
      </c>
      <c r="F102" s="160">
        <v>0.53231784404910398</v>
      </c>
      <c r="G102" s="160">
        <v>0.66370179402115304</v>
      </c>
      <c r="H102" s="160">
        <v>0.61066852387290105</v>
      </c>
      <c r="I102" s="160">
        <v>0.50057056512405196</v>
      </c>
      <c r="J102" s="160"/>
      <c r="K102" s="160"/>
      <c r="L102" s="160"/>
      <c r="M102" s="160">
        <v>0.36487015054768601</v>
      </c>
      <c r="N102" s="160">
        <v>0.62862821708088401</v>
      </c>
      <c r="O102" s="160">
        <v>0.55566950064922205</v>
      </c>
      <c r="P102" s="160"/>
      <c r="Q102" s="160"/>
      <c r="R102" s="160"/>
      <c r="S102" s="160"/>
      <c r="T102" s="160"/>
      <c r="U102" s="160"/>
      <c r="V102" s="160">
        <v>0.64942418535592705</v>
      </c>
      <c r="W102" s="160">
        <v>0.61785492279768295</v>
      </c>
      <c r="X102" s="160">
        <v>0.46735258746672498</v>
      </c>
      <c r="Y102" s="160"/>
      <c r="Z102" s="160"/>
      <c r="AA102" s="160"/>
      <c r="AB102" s="160"/>
      <c r="AC102" s="160"/>
      <c r="AD102" s="160"/>
      <c r="AE102" s="160"/>
      <c r="AF102" s="160"/>
      <c r="AG102" s="160">
        <v>9.4200000000000006E-2</v>
      </c>
      <c r="AH102" s="59">
        <v>24800</v>
      </c>
      <c r="AI102" s="160">
        <v>9.3700742835470002E-2</v>
      </c>
      <c r="AJ102" s="160">
        <v>0.122393617775384</v>
      </c>
      <c r="AK102" s="160"/>
      <c r="AL102" s="160">
        <v>0.10545096587857999</v>
      </c>
      <c r="AM102" s="160">
        <v>0.12582651800059999</v>
      </c>
      <c r="AN102" s="160"/>
      <c r="AO102" s="160"/>
      <c r="AP102" s="160"/>
      <c r="AQ102" s="160"/>
      <c r="AR102" s="160">
        <v>0.11968126182501</v>
      </c>
      <c r="AS102" s="160">
        <v>0.112973142592104</v>
      </c>
      <c r="AT102" s="160"/>
      <c r="AU102" s="160"/>
      <c r="AV102" s="160"/>
      <c r="AW102" s="160"/>
      <c r="AX102" s="160"/>
      <c r="AY102" s="160"/>
      <c r="AZ102" s="160">
        <v>0.111596844957013</v>
      </c>
      <c r="BA102" s="160">
        <v>0.121089395578427</v>
      </c>
      <c r="BB102" s="160"/>
      <c r="BC102" s="160"/>
      <c r="BD102" s="160"/>
      <c r="BE102" s="160"/>
      <c r="BF102" s="160"/>
      <c r="BG102" s="160"/>
      <c r="BH102" s="160"/>
      <c r="BI102" s="160"/>
      <c r="BJ102" s="160"/>
      <c r="BK102" s="160">
        <v>0.32500000000000001</v>
      </c>
      <c r="BL102" s="59">
        <v>85500</v>
      </c>
      <c r="BM102" s="160">
        <v>0.30113645757174601</v>
      </c>
      <c r="BN102" s="160">
        <v>0.34528853817551403</v>
      </c>
      <c r="BO102" s="160">
        <v>0.24038737747387801</v>
      </c>
      <c r="BP102" s="160">
        <v>0.28388051024852001</v>
      </c>
      <c r="BQ102" s="160">
        <v>0.37360291687534802</v>
      </c>
      <c r="BR102" s="160">
        <v>0.655810711764923</v>
      </c>
      <c r="BS102" s="160"/>
      <c r="BT102" s="160"/>
      <c r="BU102" s="160">
        <v>0.56728448088723205</v>
      </c>
      <c r="BV102" s="160">
        <v>0.251690521094106</v>
      </c>
      <c r="BW102" s="160">
        <v>0.33135735675867201</v>
      </c>
      <c r="BX102" s="160"/>
      <c r="BY102" s="160"/>
      <c r="BZ102" s="160"/>
      <c r="CA102" s="160"/>
      <c r="CB102" s="160"/>
      <c r="CC102" s="160"/>
      <c r="CD102" s="160">
        <v>0.23897896968706001</v>
      </c>
      <c r="CE102" s="160">
        <v>0.26105568162388898</v>
      </c>
      <c r="CF102" s="160">
        <v>0.44293424749948501</v>
      </c>
      <c r="CG102" s="160"/>
      <c r="CH102" s="160"/>
      <c r="CI102" s="160"/>
      <c r="CJ102" s="160"/>
      <c r="CK102" s="160"/>
      <c r="CL102" s="160"/>
      <c r="CM102" s="160"/>
      <c r="CN102" s="160"/>
      <c r="CO102" s="160">
        <v>0.67500000000000004</v>
      </c>
      <c r="CP102" s="161">
        <v>177500</v>
      </c>
      <c r="CQ102" s="160">
        <v>-4.4152080603768101E-2</v>
      </c>
      <c r="CR102" s="160">
        <v>-0.20395527781242401</v>
      </c>
      <c r="CS102" s="160">
        <v>-0.31559395979312699</v>
      </c>
      <c r="CT102" s="160">
        <v>-0.415423334291045</v>
      </c>
      <c r="CU102" s="160"/>
      <c r="CV102" s="160"/>
      <c r="CW102" s="160"/>
      <c r="CX102" s="59">
        <v>0.128</v>
      </c>
    </row>
    <row r="103" spans="1:102" hidden="1" x14ac:dyDescent="0.2">
      <c r="A103" s="59" t="s">
        <v>118</v>
      </c>
      <c r="B103" s="59" t="s">
        <v>37</v>
      </c>
      <c r="C103" s="160">
        <v>0.5887</v>
      </c>
      <c r="D103" s="59">
        <v>154600</v>
      </c>
      <c r="E103" s="160">
        <v>0.62476804745479197</v>
      </c>
      <c r="F103" s="160">
        <v>0.55309224271100599</v>
      </c>
      <c r="G103" s="160">
        <v>0.69151771566610098</v>
      </c>
      <c r="H103" s="160">
        <v>0.67250464718699299</v>
      </c>
      <c r="I103" s="160">
        <v>0.50322825577993802</v>
      </c>
      <c r="J103" s="160"/>
      <c r="K103" s="160"/>
      <c r="L103" s="160"/>
      <c r="M103" s="160">
        <v>0.34645273031686202</v>
      </c>
      <c r="N103" s="160">
        <v>0.66067596899593894</v>
      </c>
      <c r="O103" s="160">
        <v>0.58502683705199798</v>
      </c>
      <c r="P103" s="160"/>
      <c r="Q103" s="160"/>
      <c r="R103" s="160"/>
      <c r="S103" s="160"/>
      <c r="T103" s="160"/>
      <c r="U103" s="160"/>
      <c r="V103" s="160">
        <v>0.69663317872313701</v>
      </c>
      <c r="W103" s="160">
        <v>0.65550922322502303</v>
      </c>
      <c r="X103" s="160">
        <v>0.45409261061526202</v>
      </c>
      <c r="Y103" s="160"/>
      <c r="Z103" s="160"/>
      <c r="AA103" s="160"/>
      <c r="AB103" s="160"/>
      <c r="AC103" s="160"/>
      <c r="AD103" s="160"/>
      <c r="AE103" s="160"/>
      <c r="AF103" s="160"/>
      <c r="AG103" s="160">
        <v>8.6400000000000005E-2</v>
      </c>
      <c r="AH103" s="59">
        <v>22700</v>
      </c>
      <c r="AI103" s="160">
        <v>7.4374382485478202E-2</v>
      </c>
      <c r="AJ103" s="160">
        <v>9.8045336197875102E-2</v>
      </c>
      <c r="AK103" s="160"/>
      <c r="AL103" s="160"/>
      <c r="AM103" s="160">
        <v>0.14789221699866101</v>
      </c>
      <c r="AN103" s="160"/>
      <c r="AO103" s="160"/>
      <c r="AP103" s="160"/>
      <c r="AQ103" s="160"/>
      <c r="AR103" s="160">
        <v>9.1310208731474093E-2</v>
      </c>
      <c r="AS103" s="160">
        <v>8.9388938166798798E-2</v>
      </c>
      <c r="AT103" s="160"/>
      <c r="AU103" s="160"/>
      <c r="AV103" s="160"/>
      <c r="AW103" s="160"/>
      <c r="AX103" s="160"/>
      <c r="AY103" s="160"/>
      <c r="AZ103" s="160">
        <v>0.10159526448223501</v>
      </c>
      <c r="BA103" s="160"/>
      <c r="BB103" s="160"/>
      <c r="BC103" s="160"/>
      <c r="BD103" s="160"/>
      <c r="BE103" s="160"/>
      <c r="BF103" s="160"/>
      <c r="BG103" s="160"/>
      <c r="BH103" s="160"/>
      <c r="BI103" s="160"/>
      <c r="BJ103" s="160"/>
      <c r="BK103" s="160">
        <v>0.32500000000000001</v>
      </c>
      <c r="BL103" s="59">
        <v>85300</v>
      </c>
      <c r="BM103" s="160">
        <v>0.30085757005973102</v>
      </c>
      <c r="BN103" s="160">
        <v>0.34886242109111898</v>
      </c>
      <c r="BO103" s="160">
        <v>0.243910644597503</v>
      </c>
      <c r="BP103" s="160">
        <v>0.27399426657593201</v>
      </c>
      <c r="BQ103" s="160">
        <v>0.34887952722140098</v>
      </c>
      <c r="BR103" s="160">
        <v>0.67596762927423504</v>
      </c>
      <c r="BS103" s="160"/>
      <c r="BT103" s="160"/>
      <c r="BU103" s="160">
        <v>0.57188964691201005</v>
      </c>
      <c r="BV103" s="160">
        <v>0.248013822272587</v>
      </c>
      <c r="BW103" s="160">
        <v>0.32558422478120302</v>
      </c>
      <c r="BX103" s="160"/>
      <c r="BY103" s="160"/>
      <c r="BZ103" s="160"/>
      <c r="CA103" s="160"/>
      <c r="CB103" s="160"/>
      <c r="CC103" s="160"/>
      <c r="CD103" s="160">
        <v>0.20177155679462799</v>
      </c>
      <c r="CE103" s="160">
        <v>0.25306203488187801</v>
      </c>
      <c r="CF103" s="160">
        <v>0.47265517645565203</v>
      </c>
      <c r="CG103" s="160"/>
      <c r="CH103" s="160"/>
      <c r="CI103" s="160"/>
      <c r="CJ103" s="160"/>
      <c r="CK103" s="160"/>
      <c r="CL103" s="160"/>
      <c r="CM103" s="160"/>
      <c r="CN103" s="160"/>
      <c r="CO103" s="160">
        <v>0.67510000000000003</v>
      </c>
      <c r="CP103" s="161">
        <v>177300</v>
      </c>
      <c r="CQ103" s="160">
        <v>-4.8004851031388199E-2</v>
      </c>
      <c r="CR103" s="160">
        <v>-0.27088361966102298</v>
      </c>
      <c r="CS103" s="160">
        <v>-0.32387582463942299</v>
      </c>
      <c r="CT103" s="160">
        <v>-0.43205698467673298</v>
      </c>
      <c r="CU103" s="160"/>
      <c r="CV103" s="160"/>
      <c r="CW103" s="160"/>
      <c r="CX103" s="59">
        <v>0.13469999999999999</v>
      </c>
    </row>
    <row r="104" spans="1:102" hidden="1" x14ac:dyDescent="0.2">
      <c r="A104" s="59" t="s">
        <v>118</v>
      </c>
      <c r="B104" s="59" t="s">
        <v>38</v>
      </c>
      <c r="C104" s="160">
        <v>0.57279999999999998</v>
      </c>
      <c r="D104" s="59">
        <v>151100</v>
      </c>
      <c r="E104" s="160">
        <v>0.58552755231753095</v>
      </c>
      <c r="F104" s="160">
        <v>0.55751826234961899</v>
      </c>
      <c r="G104" s="160">
        <v>0.72491239994453704</v>
      </c>
      <c r="H104" s="160">
        <v>0.57915924455644696</v>
      </c>
      <c r="I104" s="160">
        <v>0.54274766749839498</v>
      </c>
      <c r="J104" s="160">
        <v>0.29195549638240298</v>
      </c>
      <c r="K104" s="160"/>
      <c r="L104" s="160"/>
      <c r="M104" s="160">
        <v>0.31026637282835601</v>
      </c>
      <c r="N104" s="160">
        <v>0.63273664939257701</v>
      </c>
      <c r="O104" s="160">
        <v>0.58407754803085199</v>
      </c>
      <c r="P104" s="160"/>
      <c r="Q104" s="160"/>
      <c r="R104" s="160"/>
      <c r="S104" s="160"/>
      <c r="T104" s="160"/>
      <c r="U104" s="160"/>
      <c r="V104" s="160">
        <v>0.72721507448032996</v>
      </c>
      <c r="W104" s="160">
        <v>0.61268687373770003</v>
      </c>
      <c r="X104" s="160">
        <v>0.436883928681843</v>
      </c>
      <c r="Y104" s="160"/>
      <c r="Z104" s="160"/>
      <c r="AA104" s="160"/>
      <c r="AB104" s="160"/>
      <c r="AC104" s="160"/>
      <c r="AD104" s="160"/>
      <c r="AE104" s="160"/>
      <c r="AF104" s="160"/>
      <c r="AG104" s="160">
        <v>0.126489962346063</v>
      </c>
      <c r="AH104" s="59">
        <v>33400</v>
      </c>
      <c r="AI104" s="160">
        <v>0.11898083369777999</v>
      </c>
      <c r="AJ104" s="160">
        <v>0.134595986887137</v>
      </c>
      <c r="AK104" s="160"/>
      <c r="AL104" s="160">
        <v>0.13735875103884301</v>
      </c>
      <c r="AM104" s="160">
        <v>0.15899090042797201</v>
      </c>
      <c r="AN104" s="160"/>
      <c r="AO104" s="160"/>
      <c r="AP104" s="160"/>
      <c r="AQ104" s="160"/>
      <c r="AR104" s="160">
        <v>0.127250114224985</v>
      </c>
      <c r="AS104" s="160">
        <v>0.13029812049957801</v>
      </c>
      <c r="AT104" s="160"/>
      <c r="AU104" s="160"/>
      <c r="AV104" s="160"/>
      <c r="AW104" s="160"/>
      <c r="AX104" s="160"/>
      <c r="AY104" s="160"/>
      <c r="AZ104" s="160">
        <v>0.13506821342908501</v>
      </c>
      <c r="BA104" s="160">
        <v>0.13059806870667301</v>
      </c>
      <c r="BB104" s="160">
        <v>0.14386873282844301</v>
      </c>
      <c r="BC104" s="160"/>
      <c r="BD104" s="160"/>
      <c r="BE104" s="160"/>
      <c r="BF104" s="160"/>
      <c r="BG104" s="160"/>
      <c r="BH104" s="160"/>
      <c r="BI104" s="160"/>
      <c r="BJ104" s="160"/>
      <c r="BK104" s="160">
        <v>0.30067030570245001</v>
      </c>
      <c r="BL104" s="59">
        <v>79300</v>
      </c>
      <c r="BM104" s="160">
        <v>0.29549161398468898</v>
      </c>
      <c r="BN104" s="160">
        <v>0.30788575076324498</v>
      </c>
      <c r="BO104" s="160"/>
      <c r="BP104" s="160">
        <v>0.28348200440471</v>
      </c>
      <c r="BQ104" s="160">
        <v>0.29826143207363298</v>
      </c>
      <c r="BR104" s="160">
        <v>0.62827662632361003</v>
      </c>
      <c r="BS104" s="160"/>
      <c r="BT104" s="160"/>
      <c r="BU104" s="160">
        <v>0.55611541756917504</v>
      </c>
      <c r="BV104" s="160">
        <v>0.24001323638243899</v>
      </c>
      <c r="BW104" s="160">
        <v>0.28562433146957</v>
      </c>
      <c r="BX104" s="160"/>
      <c r="BY104" s="160"/>
      <c r="BZ104" s="160"/>
      <c r="CA104" s="160"/>
      <c r="CB104" s="160"/>
      <c r="CC104" s="160"/>
      <c r="CD104" s="160">
        <v>0.137716712090585</v>
      </c>
      <c r="CE104" s="160">
        <v>0.25671505755562601</v>
      </c>
      <c r="CF104" s="160">
        <v>0.41924733848971402</v>
      </c>
      <c r="CG104" s="160"/>
      <c r="CH104" s="160"/>
      <c r="CI104" s="160"/>
      <c r="CJ104" s="160"/>
      <c r="CK104" s="160"/>
      <c r="CL104" s="160"/>
      <c r="CM104" s="160"/>
      <c r="CN104" s="160"/>
      <c r="CO104" s="160">
        <v>0.699289962346063</v>
      </c>
      <c r="CP104" s="161">
        <v>184500</v>
      </c>
      <c r="CQ104" s="160">
        <v>-1.23941367785559E-2</v>
      </c>
      <c r="CR104" s="160">
        <v>-0.28153062639912901</v>
      </c>
      <c r="CS104" s="160">
        <v>-0.316102181186736</v>
      </c>
      <c r="CT104" s="160">
        <v>-0.62827662632361003</v>
      </c>
      <c r="CU104" s="160"/>
      <c r="CV104" s="160"/>
      <c r="CW104" s="160"/>
      <c r="CX104" s="59">
        <v>0.1371</v>
      </c>
    </row>
    <row r="105" spans="1:102" hidden="1" x14ac:dyDescent="0.2">
      <c r="A105" s="59" t="s">
        <v>118</v>
      </c>
      <c r="B105" s="59" t="s">
        <v>39</v>
      </c>
      <c r="C105" s="160">
        <v>0.56850342081974503</v>
      </c>
      <c r="D105" s="59">
        <v>150000</v>
      </c>
      <c r="E105" s="160">
        <v>0.53901093722860005</v>
      </c>
      <c r="F105" s="160">
        <v>0.596302628154736</v>
      </c>
      <c r="G105" s="160">
        <v>0.68220183343456198</v>
      </c>
      <c r="H105" s="160">
        <v>0.53952415480516103</v>
      </c>
      <c r="I105" s="160">
        <v>0.55704798804154299</v>
      </c>
      <c r="J105" s="160">
        <v>0.42069796365616702</v>
      </c>
      <c r="K105" s="160">
        <v>0.59899634603544905</v>
      </c>
      <c r="L105" s="160">
        <v>0.52247954429897503</v>
      </c>
      <c r="M105" s="160">
        <v>0.38126229785141103</v>
      </c>
      <c r="N105" s="160">
        <v>0.62218668518042697</v>
      </c>
      <c r="O105" s="160">
        <v>0.57239742400327498</v>
      </c>
      <c r="P105" s="160"/>
      <c r="Q105" s="160"/>
      <c r="R105" s="160"/>
      <c r="S105" s="160"/>
      <c r="T105" s="160"/>
      <c r="U105" s="160"/>
      <c r="V105" s="160">
        <v>0.70556669196168598</v>
      </c>
      <c r="W105" s="160">
        <v>0.61201254316340603</v>
      </c>
      <c r="X105" s="160">
        <v>0.41858567820157899</v>
      </c>
      <c r="Y105" s="160">
        <v>0.64110515637072196</v>
      </c>
      <c r="Z105" s="160"/>
      <c r="AA105" s="160"/>
      <c r="AB105" s="160"/>
      <c r="AC105" s="160"/>
      <c r="AD105" s="160"/>
      <c r="AE105" s="160"/>
      <c r="AF105" s="160"/>
      <c r="AG105" s="160">
        <v>0.149834761171484</v>
      </c>
      <c r="AH105" s="59">
        <v>39500</v>
      </c>
      <c r="AI105" s="160">
        <v>0.15331629429531499</v>
      </c>
      <c r="AJ105" s="160">
        <v>0.146699129131554</v>
      </c>
      <c r="AK105" s="160"/>
      <c r="AL105" s="160">
        <v>0.157861433142126</v>
      </c>
      <c r="AM105" s="160">
        <v>0.16875346634919899</v>
      </c>
      <c r="AN105" s="160"/>
      <c r="AO105" s="160">
        <v>0.14901510998954001</v>
      </c>
      <c r="AP105" s="160">
        <v>0.152482792153915</v>
      </c>
      <c r="AQ105" s="160"/>
      <c r="AR105" s="160">
        <v>0.14564019823279301</v>
      </c>
      <c r="AS105" s="160">
        <v>0.15487028481859499</v>
      </c>
      <c r="AT105" s="160"/>
      <c r="AU105" s="160"/>
      <c r="AV105" s="160"/>
      <c r="AW105" s="160"/>
      <c r="AX105" s="160"/>
      <c r="AY105" s="160"/>
      <c r="AZ105" s="160">
        <v>0.14929670680624099</v>
      </c>
      <c r="BA105" s="160">
        <v>0.15438640688920399</v>
      </c>
      <c r="BB105" s="160"/>
      <c r="BC105" s="160"/>
      <c r="BD105" s="160"/>
      <c r="BE105" s="160"/>
      <c r="BF105" s="160"/>
      <c r="BG105" s="160"/>
      <c r="BH105" s="160"/>
      <c r="BI105" s="160"/>
      <c r="BJ105" s="160"/>
      <c r="BK105" s="160">
        <v>0.28166181800877299</v>
      </c>
      <c r="BL105" s="59">
        <v>74300</v>
      </c>
      <c r="BM105" s="160">
        <v>0.30767276847608499</v>
      </c>
      <c r="BN105" s="160">
        <v>0.25699824271370902</v>
      </c>
      <c r="BO105" s="160"/>
      <c r="BP105" s="160">
        <v>0.302614412052713</v>
      </c>
      <c r="BQ105" s="160">
        <v>0.27419854560925799</v>
      </c>
      <c r="BR105" s="160">
        <v>0.474725795900861</v>
      </c>
      <c r="BS105" s="160">
        <v>0.25198854397501103</v>
      </c>
      <c r="BT105" s="160">
        <v>0.325037663547111</v>
      </c>
      <c r="BU105" s="160">
        <v>0.47866169227711802</v>
      </c>
      <c r="BV105" s="160">
        <v>0.232173116586781</v>
      </c>
      <c r="BW105" s="160">
        <v>0.27273229117813103</v>
      </c>
      <c r="BX105" s="160"/>
      <c r="BY105" s="160"/>
      <c r="BZ105" s="160"/>
      <c r="CA105" s="160"/>
      <c r="CB105" s="160"/>
      <c r="CC105" s="160"/>
      <c r="CD105" s="160">
        <v>0.145136601232072</v>
      </c>
      <c r="CE105" s="160">
        <v>0.233601049947391</v>
      </c>
      <c r="CF105" s="160">
        <v>0.42761637899104199</v>
      </c>
      <c r="CG105" s="160"/>
      <c r="CH105" s="160"/>
      <c r="CI105" s="160"/>
      <c r="CJ105" s="160"/>
      <c r="CK105" s="160"/>
      <c r="CL105" s="160"/>
      <c r="CM105" s="160"/>
      <c r="CN105" s="160"/>
      <c r="CO105" s="160">
        <v>0.71833818199122901</v>
      </c>
      <c r="CP105" s="161">
        <v>189500</v>
      </c>
      <c r="CQ105" s="160">
        <v>5.0674525762375598E-2</v>
      </c>
      <c r="CR105" s="160">
        <v>-0.28247977775896899</v>
      </c>
      <c r="CS105" s="160">
        <v>-0.246488575690337</v>
      </c>
      <c r="CT105" s="160">
        <v>-0.474725795900861</v>
      </c>
      <c r="CU105" s="160">
        <v>0.417873420719716</v>
      </c>
      <c r="CV105" s="160">
        <v>0.26344334738709901</v>
      </c>
      <c r="CW105" s="160">
        <v>0.55837493189738596</v>
      </c>
      <c r="CX105" s="59">
        <v>0.1225</v>
      </c>
    </row>
    <row r="106" spans="1:102" hidden="1" x14ac:dyDescent="0.2">
      <c r="A106" s="59" t="s">
        <v>118</v>
      </c>
      <c r="B106" s="59" t="s">
        <v>40</v>
      </c>
      <c r="C106" s="160">
        <v>0.57950000000000002</v>
      </c>
      <c r="D106" s="59">
        <v>153500</v>
      </c>
      <c r="E106" s="160">
        <v>0.57279999999999998</v>
      </c>
      <c r="F106" s="160">
        <v>0.58679999999999999</v>
      </c>
      <c r="G106" s="160">
        <v>0.65590000000000004</v>
      </c>
      <c r="H106" s="160">
        <v>0.61419999999999997</v>
      </c>
      <c r="I106" s="160">
        <v>0.51270000000000004</v>
      </c>
      <c r="J106" s="160"/>
      <c r="K106" s="160">
        <v>0.63219999999999998</v>
      </c>
      <c r="L106" s="160">
        <v>0.49299999999999999</v>
      </c>
      <c r="M106" s="160">
        <v>0.42630000000000001</v>
      </c>
      <c r="N106" s="160">
        <v>0.63009999999999999</v>
      </c>
      <c r="O106" s="160">
        <v>0.58520000000000005</v>
      </c>
      <c r="P106" s="160"/>
      <c r="Q106" s="160"/>
      <c r="R106" s="160"/>
      <c r="S106" s="160"/>
      <c r="T106" s="160"/>
      <c r="U106" s="160"/>
      <c r="V106" s="160">
        <v>0.67220000000000002</v>
      </c>
      <c r="W106" s="160">
        <v>0.60309999999999997</v>
      </c>
      <c r="X106" s="160">
        <v>0.44850000000000001</v>
      </c>
      <c r="Y106" s="160">
        <v>0.70030000000000003</v>
      </c>
      <c r="Z106" s="160">
        <v>0.63770000000000004</v>
      </c>
      <c r="AA106" s="160"/>
      <c r="AB106" s="160">
        <v>0.51290000000000002</v>
      </c>
      <c r="AC106" s="160"/>
      <c r="AD106" s="160"/>
      <c r="AE106" s="160"/>
      <c r="AF106" s="160"/>
      <c r="AG106" s="160">
        <v>0.1231</v>
      </c>
      <c r="AH106" s="59">
        <v>32600</v>
      </c>
      <c r="AI106" s="160">
        <v>0.11749999999999999</v>
      </c>
      <c r="AJ106" s="160">
        <v>0.12920000000000001</v>
      </c>
      <c r="AK106" s="160"/>
      <c r="AL106" s="160">
        <v>9.1399999999999995E-2</v>
      </c>
      <c r="AM106" s="160">
        <v>0.16789999999999999</v>
      </c>
      <c r="AN106" s="160"/>
      <c r="AO106" s="160">
        <v>0.10390000000000001</v>
      </c>
      <c r="AP106" s="160">
        <v>0.1578</v>
      </c>
      <c r="AQ106" s="160"/>
      <c r="AR106" s="160">
        <v>0.1226</v>
      </c>
      <c r="AS106" s="160">
        <v>0.1241</v>
      </c>
      <c r="AT106" s="160"/>
      <c r="AU106" s="160"/>
      <c r="AV106" s="160"/>
      <c r="AW106" s="160"/>
      <c r="AX106" s="160"/>
      <c r="AY106" s="160"/>
      <c r="AZ106" s="160">
        <v>0.12189999999999999</v>
      </c>
      <c r="BA106" s="160">
        <v>0.13320000000000001</v>
      </c>
      <c r="BB106" s="160"/>
      <c r="BC106" s="160"/>
      <c r="BD106" s="160">
        <v>0.1179</v>
      </c>
      <c r="BE106" s="160"/>
      <c r="BF106" s="160">
        <v>0.11940000000000001</v>
      </c>
      <c r="BG106" s="160"/>
      <c r="BH106" s="160"/>
      <c r="BI106" s="160"/>
      <c r="BJ106" s="160"/>
      <c r="BK106" s="160">
        <v>0.29730000000000001</v>
      </c>
      <c r="BL106" s="59">
        <v>78700</v>
      </c>
      <c r="BM106" s="160">
        <v>0.30980000000000002</v>
      </c>
      <c r="BN106" s="160">
        <v>0.28410000000000002</v>
      </c>
      <c r="BO106" s="160">
        <v>0.224</v>
      </c>
      <c r="BP106" s="160">
        <v>0.29449999999999998</v>
      </c>
      <c r="BQ106" s="160">
        <v>0.31940000000000002</v>
      </c>
      <c r="BR106" s="160">
        <v>0.4819</v>
      </c>
      <c r="BS106" s="160">
        <v>0.26390000000000002</v>
      </c>
      <c r="BT106" s="160">
        <v>0.34920000000000001</v>
      </c>
      <c r="BU106" s="160">
        <v>0.46479999999999999</v>
      </c>
      <c r="BV106" s="160">
        <v>0.24729999999999999</v>
      </c>
      <c r="BW106" s="160">
        <v>0.29070000000000001</v>
      </c>
      <c r="BX106" s="160"/>
      <c r="BY106" s="160"/>
      <c r="BZ106" s="160"/>
      <c r="CA106" s="160"/>
      <c r="CB106" s="160"/>
      <c r="CC106" s="160"/>
      <c r="CD106" s="160">
        <v>0.2059</v>
      </c>
      <c r="CE106" s="160">
        <v>0.26379999999999998</v>
      </c>
      <c r="CF106" s="160">
        <v>0.43099999999999999</v>
      </c>
      <c r="CG106" s="160"/>
      <c r="CH106" s="160">
        <v>0.24440000000000001</v>
      </c>
      <c r="CI106" s="160"/>
      <c r="CJ106" s="160">
        <v>0.36780000000000002</v>
      </c>
      <c r="CK106" s="160"/>
      <c r="CL106" s="160"/>
      <c r="CM106" s="160"/>
      <c r="CN106" s="160"/>
      <c r="CO106" s="160">
        <v>0.7026</v>
      </c>
      <c r="CP106" s="161">
        <v>186100</v>
      </c>
      <c r="CQ106" s="160">
        <v>2.5700000000000001E-2</v>
      </c>
      <c r="CR106" s="160">
        <v>-0.22509999999999999</v>
      </c>
      <c r="CS106" s="160">
        <v>-0.2175</v>
      </c>
      <c r="CT106" s="160">
        <v>-0.25790000000000002</v>
      </c>
      <c r="CU106" s="160">
        <v>0.40150000000000002</v>
      </c>
      <c r="CV106" s="160">
        <v>0.27300000000000002</v>
      </c>
      <c r="CW106" s="160">
        <v>0.54810000000000003</v>
      </c>
      <c r="CX106" s="59">
        <v>0.1103</v>
      </c>
    </row>
    <row r="107" spans="1:102" hidden="1" x14ac:dyDescent="0.2">
      <c r="A107" s="59" t="s">
        <v>118</v>
      </c>
      <c r="B107" s="59" t="s">
        <v>41</v>
      </c>
      <c r="C107" s="160">
        <v>0.61340467413022604</v>
      </c>
      <c r="D107" s="59">
        <v>162500</v>
      </c>
      <c r="E107" s="160">
        <v>0.655457413801387</v>
      </c>
      <c r="F107" s="160">
        <v>0.56290838703531898</v>
      </c>
      <c r="G107" s="160">
        <v>0.68285994731507405</v>
      </c>
      <c r="H107" s="160">
        <v>0.67514122928222298</v>
      </c>
      <c r="I107" s="160">
        <v>0.52971621190066398</v>
      </c>
      <c r="J107" s="160"/>
      <c r="K107" s="160">
        <v>0.678754540188093</v>
      </c>
      <c r="L107" s="160">
        <v>0.50039088593609604</v>
      </c>
      <c r="M107" s="160">
        <v>0.40248663479447</v>
      </c>
      <c r="N107" s="160">
        <v>0.67330567419793796</v>
      </c>
      <c r="O107" s="160">
        <v>0.62854190126533105</v>
      </c>
      <c r="P107" s="160"/>
      <c r="Q107" s="160"/>
      <c r="R107" s="160"/>
      <c r="S107" s="160"/>
      <c r="T107" s="160"/>
      <c r="U107" s="160"/>
      <c r="V107" s="160">
        <v>0.66388512658600796</v>
      </c>
      <c r="W107" s="160">
        <v>0.64126151009389398</v>
      </c>
      <c r="X107" s="160">
        <v>0.54403300987478398</v>
      </c>
      <c r="Y107" s="160">
        <v>0.74894057533218195</v>
      </c>
      <c r="Z107" s="160">
        <v>0.64610305401086798</v>
      </c>
      <c r="AA107" s="160"/>
      <c r="AB107" s="160">
        <v>0.50728005501499196</v>
      </c>
      <c r="AC107" s="160"/>
      <c r="AD107" s="160"/>
      <c r="AE107" s="160"/>
      <c r="AF107" s="160"/>
      <c r="AG107" s="160">
        <v>0.108285206131919</v>
      </c>
      <c r="AH107" s="59">
        <v>28700</v>
      </c>
      <c r="AI107" s="160">
        <v>0.103788832325251</v>
      </c>
      <c r="AJ107" s="160">
        <v>0.113995790790145</v>
      </c>
      <c r="AK107" s="160"/>
      <c r="AL107" s="160">
        <v>6.4728911288799595E-2</v>
      </c>
      <c r="AM107" s="160">
        <v>0.14532308706345801</v>
      </c>
      <c r="AN107" s="160"/>
      <c r="AO107" s="160">
        <v>9.1544962473580696E-2</v>
      </c>
      <c r="AP107" s="160">
        <v>0.13964893823435001</v>
      </c>
      <c r="AQ107" s="160">
        <v>9.9055282079270099E-2</v>
      </c>
      <c r="AR107" s="160">
        <v>0.113860870413141</v>
      </c>
      <c r="AS107" s="160">
        <v>0.101976319366111</v>
      </c>
      <c r="AT107" s="160"/>
      <c r="AU107" s="160"/>
      <c r="AV107" s="160"/>
      <c r="AW107" s="160"/>
      <c r="AX107" s="160"/>
      <c r="AY107" s="160"/>
      <c r="AZ107" s="160">
        <v>0.109216195821821</v>
      </c>
      <c r="BA107" s="160"/>
      <c r="BB107" s="160"/>
      <c r="BC107" s="160"/>
      <c r="BD107" s="160">
        <v>0.114315152796844</v>
      </c>
      <c r="BE107" s="160"/>
      <c r="BF107" s="160">
        <v>0.115622536341937</v>
      </c>
      <c r="BG107" s="160"/>
      <c r="BH107" s="160"/>
      <c r="BI107" s="160"/>
      <c r="BJ107" s="160"/>
      <c r="BK107" s="160">
        <v>0.27831011973785602</v>
      </c>
      <c r="BL107" s="59">
        <v>73700</v>
      </c>
      <c r="BM107" s="160">
        <v>0.24075375387336201</v>
      </c>
      <c r="BN107" s="160">
        <v>0.32309582217453597</v>
      </c>
      <c r="BO107" s="160">
        <v>0.195126965402973</v>
      </c>
      <c r="BP107" s="160">
        <v>0.26012985942897798</v>
      </c>
      <c r="BQ107" s="160">
        <v>0.32496070103587699</v>
      </c>
      <c r="BR107" s="160">
        <v>0.49969208196868098</v>
      </c>
      <c r="BS107" s="160">
        <v>0.22970049733832701</v>
      </c>
      <c r="BT107" s="160">
        <v>0.35996017582955298</v>
      </c>
      <c r="BU107" s="160">
        <v>0.49845808312626</v>
      </c>
      <c r="BV107" s="160">
        <v>0.21283345538892001</v>
      </c>
      <c r="BW107" s="160">
        <v>0.26948177936855999</v>
      </c>
      <c r="BX107" s="160"/>
      <c r="BY107" s="160"/>
      <c r="BZ107" s="160"/>
      <c r="CA107" s="160"/>
      <c r="CB107" s="160"/>
      <c r="CC107" s="160"/>
      <c r="CD107" s="160">
        <v>0.226898677592172</v>
      </c>
      <c r="CE107" s="160">
        <v>0.25868362460689098</v>
      </c>
      <c r="CF107" s="160">
        <v>0.32152673846566199</v>
      </c>
      <c r="CG107" s="160"/>
      <c r="CH107" s="160">
        <v>0.23958179319228801</v>
      </c>
      <c r="CI107" s="160"/>
      <c r="CJ107" s="160">
        <v>0.37709740864307001</v>
      </c>
      <c r="CK107" s="160"/>
      <c r="CL107" s="160"/>
      <c r="CM107" s="160"/>
      <c r="CN107" s="160"/>
      <c r="CO107" s="160">
        <v>0.72168988026214498</v>
      </c>
      <c r="CP107" s="161">
        <v>191200</v>
      </c>
      <c r="CQ107" s="160">
        <v>-8.2342068301173202E-2</v>
      </c>
      <c r="CR107" s="160">
        <v>-9.4628060873490003E-2</v>
      </c>
      <c r="CS107" s="160">
        <v>-0.28562462773733999</v>
      </c>
      <c r="CT107" s="160">
        <v>-0.304565116565709</v>
      </c>
      <c r="CU107" s="160">
        <v>0.419388511851287</v>
      </c>
      <c r="CV107" s="160">
        <v>0.30937441630808499</v>
      </c>
      <c r="CW107" s="160">
        <v>0.58133326651061601</v>
      </c>
      <c r="CX107" s="59">
        <v>0.1056</v>
      </c>
    </row>
    <row r="108" spans="1:102" hidden="1" x14ac:dyDescent="0.2">
      <c r="A108" s="59" t="s">
        <v>118</v>
      </c>
      <c r="B108" s="59" t="s">
        <v>155</v>
      </c>
      <c r="C108" s="160">
        <v>0.5917</v>
      </c>
      <c r="D108" s="59">
        <v>157900</v>
      </c>
      <c r="E108" s="160">
        <v>0.64209900895560201</v>
      </c>
      <c r="F108" s="160">
        <v>0.53580302335437202</v>
      </c>
      <c r="G108" s="160">
        <v>0.66277793303495403</v>
      </c>
      <c r="H108" s="160">
        <v>0.64269554278781504</v>
      </c>
      <c r="I108" s="160">
        <v>0.55127290469275303</v>
      </c>
      <c r="J108" s="160">
        <v>0.33459875583745302</v>
      </c>
      <c r="K108" s="160">
        <v>0.65170997899215599</v>
      </c>
      <c r="L108" s="160">
        <v>0.49994312894705101</v>
      </c>
      <c r="M108" s="160">
        <v>0.39239318840490001</v>
      </c>
      <c r="N108" s="160">
        <v>0.65423311460083</v>
      </c>
      <c r="O108" s="160">
        <v>0.59632785783884101</v>
      </c>
      <c r="P108" s="160"/>
      <c r="Q108" s="160"/>
      <c r="R108" s="160"/>
      <c r="S108" s="160"/>
      <c r="T108" s="160"/>
      <c r="U108" s="160"/>
      <c r="V108" s="160">
        <v>0.70395885421722904</v>
      </c>
      <c r="W108" s="160">
        <v>0.56934219845822798</v>
      </c>
      <c r="X108" s="160">
        <v>0.54061006129343503</v>
      </c>
      <c r="Y108" s="160">
        <v>0.71275946943496005</v>
      </c>
      <c r="Z108" s="160">
        <v>0.63198164639024301</v>
      </c>
      <c r="AA108" s="160"/>
      <c r="AB108" s="160">
        <v>0.48452719133831801</v>
      </c>
      <c r="AC108" s="160"/>
      <c r="AD108" s="160"/>
      <c r="AE108" s="160"/>
      <c r="AF108" s="160"/>
      <c r="AG108" s="160">
        <v>0.1095</v>
      </c>
      <c r="AH108" s="59">
        <v>29200</v>
      </c>
      <c r="AI108" s="160">
        <v>9.9224218502552294E-2</v>
      </c>
      <c r="AJ108" s="160">
        <v>0.121454096742992</v>
      </c>
      <c r="AK108" s="160"/>
      <c r="AL108" s="160">
        <v>8.4562330621930804E-2</v>
      </c>
      <c r="AM108" s="160">
        <v>0.14068989116401301</v>
      </c>
      <c r="AN108" s="160"/>
      <c r="AO108" s="160">
        <v>9.4806336314493603E-2</v>
      </c>
      <c r="AP108" s="160">
        <v>0.133332098769603</v>
      </c>
      <c r="AQ108" s="160"/>
      <c r="AR108" s="160">
        <v>0.110977302483645</v>
      </c>
      <c r="AS108" s="160">
        <v>0.111901809748698</v>
      </c>
      <c r="AT108" s="160"/>
      <c r="AU108" s="160"/>
      <c r="AV108" s="160"/>
      <c r="AW108" s="160"/>
      <c r="AX108" s="160"/>
      <c r="AY108" s="160"/>
      <c r="AZ108" s="160">
        <v>0.111407576892121</v>
      </c>
      <c r="BA108" s="160">
        <v>0.15130752593423499</v>
      </c>
      <c r="BB108" s="160"/>
      <c r="BC108" s="160"/>
      <c r="BD108" s="160">
        <v>0.11702525731491201</v>
      </c>
      <c r="BE108" s="160"/>
      <c r="BF108" s="160">
        <v>0.122842971075036</v>
      </c>
      <c r="BG108" s="160"/>
      <c r="BH108" s="160"/>
      <c r="BI108" s="160"/>
      <c r="BJ108" s="160"/>
      <c r="BK108" s="160">
        <v>0.29880000000000001</v>
      </c>
      <c r="BL108" s="59">
        <v>79700</v>
      </c>
      <c r="BM108" s="160">
        <v>0.25867677254184701</v>
      </c>
      <c r="BN108" s="160">
        <v>0.34274287990263602</v>
      </c>
      <c r="BO108" s="160">
        <v>0.229838107197535</v>
      </c>
      <c r="BP108" s="160">
        <v>0.27274212659025399</v>
      </c>
      <c r="BQ108" s="160">
        <v>0.30803720414323299</v>
      </c>
      <c r="BR108" s="160">
        <v>0.55577019518812498</v>
      </c>
      <c r="BS108" s="160">
        <v>0.25348368469335097</v>
      </c>
      <c r="BT108" s="160">
        <v>0.36672477228334899</v>
      </c>
      <c r="BU108" s="160">
        <v>0.48477749014502097</v>
      </c>
      <c r="BV108" s="160">
        <v>0.23478958291552399</v>
      </c>
      <c r="BW108" s="160">
        <v>0.29177033241245998</v>
      </c>
      <c r="BX108" s="160"/>
      <c r="BY108" s="160"/>
      <c r="BZ108" s="160"/>
      <c r="CA108" s="160"/>
      <c r="CB108" s="160"/>
      <c r="CC108" s="160"/>
      <c r="CD108" s="160">
        <v>0.184633568890649</v>
      </c>
      <c r="CE108" s="160">
        <v>0.279350275607536</v>
      </c>
      <c r="CF108" s="160">
        <v>0.37840839414492</v>
      </c>
      <c r="CG108" s="160"/>
      <c r="CH108" s="160">
        <v>0.25099309629484501</v>
      </c>
      <c r="CI108" s="160"/>
      <c r="CJ108" s="160">
        <v>0.39262983758664399</v>
      </c>
      <c r="CK108" s="160"/>
      <c r="CL108" s="160"/>
      <c r="CM108" s="160"/>
      <c r="CN108" s="160"/>
      <c r="CO108" s="160"/>
      <c r="CP108" s="161">
        <v>187100</v>
      </c>
      <c r="CQ108" s="160">
        <v>-8.4066107360789594E-2</v>
      </c>
      <c r="CR108" s="160">
        <v>-0.193774825254271</v>
      </c>
      <c r="CS108" s="160">
        <v>-0.24998790722949599</v>
      </c>
      <c r="CT108" s="160">
        <v>-0.32593208799058998</v>
      </c>
      <c r="CU108" s="160">
        <v>0.41806585939142998</v>
      </c>
      <c r="CV108" s="160">
        <v>0.264807122097036</v>
      </c>
      <c r="CW108" s="160">
        <v>0.549950584815456</v>
      </c>
      <c r="CX108" s="59"/>
    </row>
    <row r="109" spans="1:102" hidden="1" x14ac:dyDescent="0.2">
      <c r="A109" s="59" t="s">
        <v>118</v>
      </c>
      <c r="B109" s="59" t="s">
        <v>42</v>
      </c>
      <c r="C109" s="160">
        <v>1.9800000000000002E-2</v>
      </c>
      <c r="D109" s="59"/>
      <c r="E109" s="160"/>
      <c r="F109" s="160"/>
      <c r="G109" s="160"/>
      <c r="H109" s="160"/>
      <c r="I109" s="160"/>
      <c r="J109" s="160"/>
      <c r="K109" s="160"/>
      <c r="L109" s="160"/>
      <c r="M109" s="160"/>
      <c r="N109" s="160"/>
      <c r="O109" s="160"/>
      <c r="P109" s="160"/>
      <c r="Q109" s="160"/>
      <c r="R109" s="160"/>
      <c r="S109" s="160"/>
      <c r="T109" s="160"/>
      <c r="U109" s="160"/>
      <c r="V109" s="160"/>
      <c r="W109" s="160"/>
      <c r="X109" s="160"/>
      <c r="Y109" s="160"/>
      <c r="Z109" s="160"/>
      <c r="AA109" s="160"/>
      <c r="AB109" s="160"/>
      <c r="AC109" s="160"/>
      <c r="AD109" s="160"/>
      <c r="AE109" s="160"/>
      <c r="AF109" s="160"/>
      <c r="AG109" s="160">
        <v>7.4000000000000003E-3</v>
      </c>
      <c r="AH109" s="59"/>
      <c r="AI109" s="160">
        <v>-3.6052773767536002E-3</v>
      </c>
      <c r="AJ109" s="160">
        <v>1.9968834252638599E-2</v>
      </c>
      <c r="AK109" s="160">
        <v>0</v>
      </c>
      <c r="AL109" s="160">
        <v>-5.1306148239551E-2</v>
      </c>
      <c r="AM109" s="160">
        <v>5.0842614939954303E-2</v>
      </c>
      <c r="AN109" s="160">
        <v>0</v>
      </c>
      <c r="AO109" s="160">
        <v>9.4806336314493603E-2</v>
      </c>
      <c r="AP109" s="160">
        <v>0.133332098769603</v>
      </c>
      <c r="AQ109" s="160">
        <v>0</v>
      </c>
      <c r="AR109" s="160">
        <v>5.9259117891757003E-3</v>
      </c>
      <c r="AS109" s="160">
        <v>9.1501589882073305E-3</v>
      </c>
      <c r="AT109" s="160">
        <v>0</v>
      </c>
      <c r="AU109" s="160">
        <v>0</v>
      </c>
      <c r="AV109" s="160">
        <v>0</v>
      </c>
      <c r="AW109" s="160">
        <v>0</v>
      </c>
      <c r="AX109" s="160">
        <v>0</v>
      </c>
      <c r="AY109" s="160">
        <v>0</v>
      </c>
      <c r="AZ109" s="160">
        <v>2.5435726723576899E-2</v>
      </c>
      <c r="BA109" s="160">
        <v>1.49507153132225E-2</v>
      </c>
      <c r="BB109" s="160">
        <v>0</v>
      </c>
      <c r="BC109" s="160">
        <v>0</v>
      </c>
      <c r="BD109" s="160">
        <v>0.11702525731491201</v>
      </c>
      <c r="BE109" s="160">
        <v>0</v>
      </c>
      <c r="BF109" s="160">
        <v>0.122842971075036</v>
      </c>
      <c r="BG109" s="160">
        <v>0</v>
      </c>
      <c r="BH109" s="160">
        <v>0</v>
      </c>
      <c r="BI109" s="160">
        <v>0</v>
      </c>
      <c r="BJ109" s="160">
        <v>0</v>
      </c>
      <c r="BK109" s="160">
        <v>-2.7300000000000001E-2</v>
      </c>
      <c r="BL109" s="59"/>
      <c r="BM109" s="160">
        <v>-2.11254361065603E-2</v>
      </c>
      <c r="BN109" s="160">
        <v>-2.64193910343858E-2</v>
      </c>
      <c r="BO109" s="160">
        <v>2.7395853606170001E-2</v>
      </c>
      <c r="BP109" s="160">
        <v>-2.2006594211102699E-2</v>
      </c>
      <c r="BQ109" s="160">
        <v>-7.8304631252672494E-2</v>
      </c>
      <c r="BR109" s="160">
        <v>-0.10098810924485201</v>
      </c>
      <c r="BS109" s="160">
        <v>0.25348368469335097</v>
      </c>
      <c r="BT109" s="160">
        <v>0.36672477228334899</v>
      </c>
      <c r="BU109" s="160">
        <v>-3.0975279345094999E-2</v>
      </c>
      <c r="BV109" s="160">
        <v>-4.6542815976469101E-2</v>
      </c>
      <c r="BW109" s="160">
        <v>-3.1578364749953999E-2</v>
      </c>
      <c r="BX109" s="160">
        <v>0</v>
      </c>
      <c r="BY109" s="160">
        <v>0</v>
      </c>
      <c r="BZ109" s="160">
        <v>0</v>
      </c>
      <c r="CA109" s="160">
        <v>0</v>
      </c>
      <c r="CB109" s="160">
        <v>0</v>
      </c>
      <c r="CC109" s="160">
        <v>0</v>
      </c>
      <c r="CD109" s="160">
        <v>-6.0976955144936902E-2</v>
      </c>
      <c r="CE109" s="160">
        <v>-2.0789040477589501E-2</v>
      </c>
      <c r="CF109" s="160">
        <v>-3.6919266119942402E-2</v>
      </c>
      <c r="CG109" s="160">
        <v>0</v>
      </c>
      <c r="CH109" s="160">
        <v>0.25099309629484501</v>
      </c>
      <c r="CI109" s="160">
        <v>0</v>
      </c>
      <c r="CJ109" s="160">
        <v>0.39262983758664399</v>
      </c>
      <c r="CK109" s="160">
        <v>0</v>
      </c>
      <c r="CL109" s="160">
        <v>0</v>
      </c>
      <c r="CM109" s="160">
        <v>0</v>
      </c>
      <c r="CN109" s="160">
        <v>0</v>
      </c>
      <c r="CO109" s="160">
        <v>-0.67400000000000004</v>
      </c>
      <c r="CP109" s="161">
        <v>10600</v>
      </c>
      <c r="CQ109" s="160">
        <v>5.29395492782553E-3</v>
      </c>
      <c r="CR109" s="160">
        <v>-2.4057689024994399E-2</v>
      </c>
      <c r="CS109" s="160">
        <v>-1.55675366313741E-2</v>
      </c>
      <c r="CT109" s="160">
        <v>0.12838396285102199</v>
      </c>
      <c r="CU109" s="160">
        <v>1.9243867171359099E-4</v>
      </c>
      <c r="CV109" s="160">
        <v>1.3637747099364799E-3</v>
      </c>
      <c r="CW109" s="160">
        <v>-8.4243470819296302E-3</v>
      </c>
      <c r="CX109" s="59"/>
    </row>
  </sheetData>
  <sheetProtection selectLockedCells="1" autoFilter="0"/>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5"/>
  <sheetViews>
    <sheetView tabSelected="1" workbookViewId="0">
      <selection activeCell="A3" sqref="A3"/>
    </sheetView>
  </sheetViews>
  <sheetFormatPr defaultColWidth="8.69921875" defaultRowHeight="14.25" x14ac:dyDescent="0.2"/>
  <cols>
    <col min="1" max="1" width="10.19921875" style="29" bestFit="1" customWidth="1"/>
    <col min="2" max="2" width="10" style="29" bestFit="1" customWidth="1"/>
    <col min="3" max="3" width="8.5" style="48" bestFit="1" customWidth="1"/>
    <col min="4" max="4" width="19" style="29" bestFit="1" customWidth="1"/>
    <col min="5" max="5" width="14.296875" style="48" bestFit="1" customWidth="1"/>
    <col min="6" max="6" width="24.796875" style="29" bestFit="1" customWidth="1"/>
    <col min="7" max="7" width="13.19921875" style="48" bestFit="1" customWidth="1"/>
    <col min="8" max="8" width="23.69921875" style="29" bestFit="1" customWidth="1"/>
    <col min="9" max="9" width="29.5" style="48" bestFit="1" customWidth="1"/>
    <col min="10" max="10" width="41.69921875" style="48" bestFit="1" customWidth="1"/>
    <col min="11" max="11" width="35.19921875" style="48" bestFit="1" customWidth="1"/>
    <col min="12" max="12" width="30.09765625" style="48" bestFit="1" customWidth="1"/>
    <col min="13" max="13" width="40.3984375" style="48" bestFit="1" customWidth="1"/>
    <col min="14" max="14" width="9.5" style="48" bestFit="1" customWidth="1"/>
    <col min="15" max="15" width="19.8984375" style="29" bestFit="1" customWidth="1"/>
    <col min="16" max="16" width="13.8984375" style="29" bestFit="1" customWidth="1"/>
    <col min="17" max="17" width="13.69921875" style="29" bestFit="1" customWidth="1"/>
    <col min="18" max="18" width="23.796875" style="29" bestFit="1" customWidth="1"/>
    <col min="19" max="19" width="27.5" style="29" bestFit="1" customWidth="1"/>
    <col min="20" max="20" width="24.3984375" style="29" bestFit="1" customWidth="1"/>
    <col min="21" max="21" width="22.59765625" style="29" bestFit="1" customWidth="1"/>
    <col min="22" max="22" width="21.69921875" style="29" bestFit="1" customWidth="1"/>
    <col min="23" max="23" width="15.59765625" style="29" bestFit="1" customWidth="1"/>
    <col min="24" max="24" width="15.5" style="29" bestFit="1" customWidth="1"/>
    <col min="25" max="25" width="16" style="29" bestFit="1" customWidth="1"/>
    <col min="26" max="26" width="15.69921875" style="29" bestFit="1" customWidth="1"/>
    <col min="27" max="27" width="19.796875" style="29" bestFit="1" customWidth="1"/>
    <col min="28" max="28" width="19.59765625" style="29" bestFit="1" customWidth="1"/>
    <col min="29" max="29" width="29.59765625" style="29" bestFit="1" customWidth="1"/>
    <col min="30" max="30" width="33.296875" style="29" bestFit="1" customWidth="1"/>
    <col min="31" max="31" width="30.19921875" style="29" bestFit="1" customWidth="1"/>
    <col min="32" max="32" width="28.5" style="29" bestFit="1" customWidth="1"/>
    <col min="33" max="33" width="27.59765625" style="29" bestFit="1" customWidth="1"/>
    <col min="34" max="34" width="21.5" style="29" bestFit="1" customWidth="1"/>
    <col min="35" max="35" width="21.3984375" style="29" bestFit="1" customWidth="1"/>
    <col min="36" max="36" width="21.796875" style="29" bestFit="1" customWidth="1"/>
    <col min="37" max="37" width="21.5" style="29" bestFit="1" customWidth="1"/>
    <col min="38" max="38" width="18.59765625" style="29" bestFit="1" customWidth="1"/>
    <col min="39" max="39" width="18.5" style="29" bestFit="1" customWidth="1"/>
    <col min="40" max="40" width="28.5" style="29" bestFit="1" customWidth="1"/>
    <col min="41" max="41" width="32.19921875" style="29" bestFit="1" customWidth="1"/>
    <col min="42" max="42" width="29.09765625" style="29" bestFit="1" customWidth="1"/>
    <col min="43" max="43" width="27.5" style="29" bestFit="1" customWidth="1"/>
    <col min="44" max="44" width="26.5" style="29" bestFit="1" customWidth="1"/>
    <col min="45" max="45" width="20.3984375" style="29" bestFit="1" customWidth="1"/>
    <col min="46" max="46" width="20.296875" style="29" bestFit="1" customWidth="1"/>
    <col min="47" max="47" width="20.69921875" style="29" bestFit="1" customWidth="1"/>
    <col min="48" max="48" width="20.5" style="29" bestFit="1" customWidth="1"/>
    <col min="49" max="57" width="9.09765625" style="29" bestFit="1" customWidth="1"/>
    <col min="58" max="66" width="10.296875" style="29" bestFit="1" customWidth="1"/>
    <col min="67" max="67" width="10" style="29" bestFit="1" customWidth="1"/>
    <col min="68" max="68" width="8.5" style="29" bestFit="1" customWidth="1"/>
    <col min="69" max="69" width="19" style="29" bestFit="1" customWidth="1"/>
    <col min="70" max="70" width="14.296875" style="29" bestFit="1" customWidth="1"/>
    <col min="71" max="71" width="24.796875" style="29" bestFit="1" customWidth="1"/>
    <col min="72" max="72" width="13.19921875" style="29" bestFit="1" customWidth="1"/>
    <col min="73" max="73" width="23.69921875" style="29" bestFit="1" customWidth="1"/>
    <col min="74" max="74" width="29.5" style="29" bestFit="1" customWidth="1"/>
    <col min="75" max="75" width="41.69921875" style="29" bestFit="1" customWidth="1"/>
    <col min="76" max="76" width="35.19921875" style="29" bestFit="1" customWidth="1"/>
    <col min="77" max="77" width="30.09765625" style="29" bestFit="1" customWidth="1"/>
    <col min="78" max="78" width="40.3984375" style="29" bestFit="1" customWidth="1"/>
    <col min="79" max="79" width="9.5" style="29" bestFit="1" customWidth="1"/>
    <col min="80" max="80" width="19.8984375" style="29" bestFit="1" customWidth="1"/>
    <col min="81" max="16384" width="8.69921875" style="29"/>
  </cols>
  <sheetData>
    <row r="1" spans="1:66" x14ac:dyDescent="0.2">
      <c r="A1" s="55" t="s">
        <v>106</v>
      </c>
      <c r="B1" s="55" t="s">
        <v>0</v>
      </c>
      <c r="C1" s="140" t="s">
        <v>121</v>
      </c>
      <c r="D1" s="55" t="s">
        <v>157</v>
      </c>
      <c r="E1" s="93" t="s">
        <v>120</v>
      </c>
      <c r="F1" s="55" t="s">
        <v>158</v>
      </c>
      <c r="G1" s="93" t="s">
        <v>126</v>
      </c>
      <c r="H1" s="55" t="s">
        <v>160</v>
      </c>
      <c r="I1" s="93" t="s">
        <v>127</v>
      </c>
      <c r="J1" s="93" t="s">
        <v>128</v>
      </c>
      <c r="K1" s="93" t="s">
        <v>129</v>
      </c>
      <c r="L1" s="93" t="s">
        <v>130</v>
      </c>
      <c r="M1" s="93" t="s">
        <v>131</v>
      </c>
      <c r="N1" s="93" t="s">
        <v>99</v>
      </c>
      <c r="O1" s="86" t="s">
        <v>165</v>
      </c>
      <c r="P1" s="86" t="s">
        <v>285</v>
      </c>
      <c r="Q1" s="86" t="s">
        <v>286</v>
      </c>
      <c r="R1" s="86" t="s">
        <v>276</v>
      </c>
      <c r="S1" s="86" t="s">
        <v>277</v>
      </c>
      <c r="T1" s="86" t="s">
        <v>278</v>
      </c>
      <c r="U1" s="86" t="s">
        <v>279</v>
      </c>
      <c r="V1" s="86" t="s">
        <v>280</v>
      </c>
      <c r="W1" s="86" t="s">
        <v>281</v>
      </c>
      <c r="X1" s="86" t="s">
        <v>282</v>
      </c>
      <c r="Y1" s="86" t="s">
        <v>283</v>
      </c>
      <c r="Z1" s="86" t="s">
        <v>284</v>
      </c>
      <c r="AA1" s="86" t="s">
        <v>287</v>
      </c>
      <c r="AB1" s="86" t="s">
        <v>288</v>
      </c>
      <c r="AC1" s="86" t="s">
        <v>258</v>
      </c>
      <c r="AD1" s="86" t="s">
        <v>259</v>
      </c>
      <c r="AE1" s="86" t="s">
        <v>260</v>
      </c>
      <c r="AF1" s="86" t="s">
        <v>261</v>
      </c>
      <c r="AG1" s="86" t="s">
        <v>262</v>
      </c>
      <c r="AH1" s="86" t="s">
        <v>263</v>
      </c>
      <c r="AI1" s="86" t="s">
        <v>264</v>
      </c>
      <c r="AJ1" s="86" t="s">
        <v>265</v>
      </c>
      <c r="AK1" s="86" t="s">
        <v>266</v>
      </c>
      <c r="AL1" s="86" t="s">
        <v>289</v>
      </c>
      <c r="AM1" s="86" t="s">
        <v>290</v>
      </c>
      <c r="AN1" s="86" t="s">
        <v>267</v>
      </c>
      <c r="AO1" s="86" t="s">
        <v>268</v>
      </c>
      <c r="AP1" s="86" t="s">
        <v>269</v>
      </c>
      <c r="AQ1" s="86" t="s">
        <v>270</v>
      </c>
      <c r="AR1" s="86" t="s">
        <v>271</v>
      </c>
      <c r="AS1" s="86" t="s">
        <v>272</v>
      </c>
      <c r="AT1" s="86" t="s">
        <v>273</v>
      </c>
      <c r="AU1" s="86" t="s">
        <v>274</v>
      </c>
      <c r="AV1" s="86" t="s">
        <v>275</v>
      </c>
      <c r="AW1"/>
      <c r="AX1"/>
      <c r="AY1"/>
      <c r="AZ1"/>
      <c r="BA1"/>
      <c r="BB1"/>
      <c r="BC1"/>
      <c r="BD1"/>
      <c r="BE1"/>
      <c r="BF1"/>
      <c r="BG1"/>
      <c r="BH1"/>
      <c r="BI1"/>
      <c r="BJ1"/>
      <c r="BK1"/>
      <c r="BL1"/>
      <c r="BM1"/>
      <c r="BN1"/>
    </row>
    <row r="2" spans="1:66" x14ac:dyDescent="0.2">
      <c r="A2" s="85" t="s">
        <v>107</v>
      </c>
      <c r="B2" s="85" t="s">
        <v>132</v>
      </c>
      <c r="C2" s="141">
        <v>0.43259999999999998</v>
      </c>
      <c r="D2" s="85">
        <v>3040700</v>
      </c>
      <c r="E2" s="94">
        <v>0.23880000000000001</v>
      </c>
      <c r="F2" s="85">
        <v>1678600</v>
      </c>
      <c r="G2" s="94">
        <v>0.32850000000000001</v>
      </c>
      <c r="H2" s="85">
        <v>2309000</v>
      </c>
      <c r="I2" s="94">
        <v>0.1754</v>
      </c>
      <c r="J2" s="94">
        <v>0.32529999999999998</v>
      </c>
      <c r="K2" s="94">
        <v>0.52629999999999999</v>
      </c>
      <c r="L2" s="94">
        <v>0.39539999999999997</v>
      </c>
      <c r="M2" s="94"/>
      <c r="N2" s="94">
        <v>0.6714</v>
      </c>
      <c r="O2" s="84">
        <v>4719300</v>
      </c>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c r="AX2"/>
      <c r="AY2"/>
      <c r="AZ2"/>
      <c r="BA2"/>
      <c r="BB2"/>
      <c r="BC2"/>
      <c r="BD2"/>
      <c r="BE2"/>
      <c r="BF2"/>
      <c r="BG2"/>
      <c r="BH2"/>
      <c r="BI2"/>
      <c r="BJ2"/>
      <c r="BK2"/>
      <c r="BL2"/>
      <c r="BM2"/>
      <c r="BN2"/>
    </row>
    <row r="3" spans="1:66" x14ac:dyDescent="0.2">
      <c r="A3" s="85" t="s">
        <v>107</v>
      </c>
      <c r="B3" s="85" t="s">
        <v>133</v>
      </c>
      <c r="C3" s="141">
        <v>0.46810000000000002</v>
      </c>
      <c r="D3" s="85">
        <v>3320200</v>
      </c>
      <c r="E3" s="94">
        <v>0.24199999999999999</v>
      </c>
      <c r="F3" s="85">
        <v>1716700</v>
      </c>
      <c r="G3" s="94">
        <v>0.2898</v>
      </c>
      <c r="H3" s="85">
        <v>2055700</v>
      </c>
      <c r="I3" s="94">
        <v>0.19600000000000001</v>
      </c>
      <c r="J3" s="94">
        <v>0.33810000000000001</v>
      </c>
      <c r="K3" s="94">
        <v>0.57220000000000004</v>
      </c>
      <c r="L3" s="94">
        <v>0.40389999999999998</v>
      </c>
      <c r="M3" s="94"/>
      <c r="N3" s="94">
        <v>0.71009999999999995</v>
      </c>
      <c r="O3" s="84">
        <v>5036900</v>
      </c>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c r="AX3"/>
      <c r="AY3"/>
      <c r="AZ3"/>
      <c r="BA3"/>
      <c r="BB3"/>
      <c r="BC3"/>
      <c r="BD3"/>
      <c r="BE3"/>
      <c r="BF3"/>
      <c r="BG3"/>
      <c r="BH3"/>
      <c r="BI3"/>
      <c r="BJ3"/>
      <c r="BK3"/>
      <c r="BL3"/>
      <c r="BM3"/>
      <c r="BN3"/>
    </row>
    <row r="4" spans="1:66" x14ac:dyDescent="0.2">
      <c r="A4" s="85" t="s">
        <v>108</v>
      </c>
      <c r="B4" s="85" t="s">
        <v>132</v>
      </c>
      <c r="C4" s="141">
        <v>0.39900000000000002</v>
      </c>
      <c r="D4" s="85">
        <v>153600</v>
      </c>
      <c r="E4" s="94">
        <v>0.2432</v>
      </c>
      <c r="F4" s="85">
        <v>93700</v>
      </c>
      <c r="G4" s="94">
        <v>0.35780000000000001</v>
      </c>
      <c r="H4" s="85">
        <v>137800</v>
      </c>
      <c r="I4" s="94">
        <v>0.16520000000000001</v>
      </c>
      <c r="J4" s="94">
        <v>0.29830000000000001</v>
      </c>
      <c r="K4" s="94">
        <v>0.49370000000000003</v>
      </c>
      <c r="L4" s="94">
        <v>0.36780000000000002</v>
      </c>
      <c r="M4" s="94"/>
      <c r="N4" s="94">
        <v>0.64219999999999999</v>
      </c>
      <c r="O4" s="84">
        <v>247300</v>
      </c>
      <c r="P4" s="139">
        <v>0.443757559586339</v>
      </c>
      <c r="Q4" s="139">
        <v>0.352418774275643</v>
      </c>
      <c r="R4" s="139">
        <v>0.34555191395053497</v>
      </c>
      <c r="S4" s="139">
        <v>0.39267149429452802</v>
      </c>
      <c r="T4" s="139">
        <v>0.53540204462236096</v>
      </c>
      <c r="U4" s="139">
        <v>0.42971390347330402</v>
      </c>
      <c r="V4" s="139">
        <v>0.37652298846992399</v>
      </c>
      <c r="W4" s="139">
        <v>0.303247892143929</v>
      </c>
      <c r="X4" s="139">
        <v>0.28592233963623598</v>
      </c>
      <c r="Y4" s="139">
        <v>0.44379656827999903</v>
      </c>
      <c r="Z4" s="139">
        <v>0.34222915427520201</v>
      </c>
      <c r="AA4" s="139">
        <v>0.21267674680146501</v>
      </c>
      <c r="AB4" s="139">
        <v>0.27481971546662998</v>
      </c>
      <c r="AC4" s="139">
        <v>0.25141665766389698</v>
      </c>
      <c r="AD4" s="139">
        <v>0.25223638689843098</v>
      </c>
      <c r="AE4" s="139">
        <v>0.204808868756132</v>
      </c>
      <c r="AF4" s="139">
        <v>0.244112555946289</v>
      </c>
      <c r="AG4" s="139"/>
      <c r="AH4" s="139">
        <v>0.27615181574290498</v>
      </c>
      <c r="AI4" s="139">
        <v>0.23877223900273001</v>
      </c>
      <c r="AJ4" s="139">
        <v>0.22976442822120699</v>
      </c>
      <c r="AK4" s="139"/>
      <c r="AL4" s="139">
        <v>0.34356569361219902</v>
      </c>
      <c r="AM4" s="139">
        <v>0.37276151025771298</v>
      </c>
      <c r="AN4" s="139">
        <v>0.40303142838556899</v>
      </c>
      <c r="AO4" s="139">
        <v>0.35509211880703601</v>
      </c>
      <c r="AP4" s="139">
        <v>0.25978908662150602</v>
      </c>
      <c r="AQ4" s="139">
        <v>0.32617354058039799</v>
      </c>
      <c r="AR4" s="139">
        <v>0.37162619088998999</v>
      </c>
      <c r="AS4" s="139">
        <v>0.42060029211316402</v>
      </c>
      <c r="AT4" s="139">
        <v>0.47530542136103399</v>
      </c>
      <c r="AU4" s="139">
        <v>0.32643900349879401</v>
      </c>
      <c r="AV4" s="139">
        <v>0.47703841259830998</v>
      </c>
      <c r="AW4"/>
      <c r="AX4"/>
      <c r="AY4"/>
      <c r="AZ4"/>
      <c r="BA4"/>
      <c r="BB4"/>
      <c r="BC4"/>
      <c r="BD4"/>
      <c r="BE4"/>
      <c r="BF4"/>
      <c r="BG4"/>
      <c r="BH4"/>
      <c r="BI4"/>
      <c r="BJ4"/>
      <c r="BK4"/>
      <c r="BL4"/>
      <c r="BM4"/>
      <c r="BN4"/>
    </row>
    <row r="5" spans="1:66" x14ac:dyDescent="0.2">
      <c r="A5" s="85" t="s">
        <v>108</v>
      </c>
      <c r="B5" s="85" t="s">
        <v>133</v>
      </c>
      <c r="C5" s="141">
        <v>0.45150000000000001</v>
      </c>
      <c r="D5" s="85">
        <v>176700</v>
      </c>
      <c r="E5" s="94">
        <v>0.22989999999999999</v>
      </c>
      <c r="F5" s="85">
        <v>90000</v>
      </c>
      <c r="G5" s="94">
        <v>0.31850000000000001</v>
      </c>
      <c r="H5" s="85">
        <v>124700</v>
      </c>
      <c r="I5" s="94">
        <v>0.19420000000000001</v>
      </c>
      <c r="J5" s="94">
        <v>0.33789999999999998</v>
      </c>
      <c r="K5" s="94">
        <v>0.56640000000000001</v>
      </c>
      <c r="L5" s="94">
        <v>0.3886</v>
      </c>
      <c r="M5" s="94"/>
      <c r="N5" s="94">
        <v>0.68140000000000001</v>
      </c>
      <c r="O5" s="84">
        <v>266700</v>
      </c>
      <c r="P5" s="139">
        <v>0.51193692894366605</v>
      </c>
      <c r="Q5" s="139">
        <v>0.394943679354396</v>
      </c>
      <c r="R5" s="139">
        <v>0.39302285610369803</v>
      </c>
      <c r="S5" s="139">
        <v>0.45064776486045699</v>
      </c>
      <c r="T5" s="139">
        <v>0.56490349461845901</v>
      </c>
      <c r="U5" s="139">
        <v>0.47365109665034399</v>
      </c>
      <c r="V5" s="139">
        <v>0.46129570810895199</v>
      </c>
      <c r="W5" s="139">
        <v>0.424370259971522</v>
      </c>
      <c r="X5" s="139">
        <v>0.49867887327648303</v>
      </c>
      <c r="Y5" s="139">
        <v>0.39161607083243399</v>
      </c>
      <c r="Z5" s="139">
        <v>0.37194450878526403</v>
      </c>
      <c r="AA5" s="139">
        <v>0.19291594200857101</v>
      </c>
      <c r="AB5" s="139">
        <v>0.27111435322417399</v>
      </c>
      <c r="AC5" s="139">
        <v>0.246531220541613</v>
      </c>
      <c r="AD5" s="139">
        <v>0.22306791816673399</v>
      </c>
      <c r="AE5" s="139">
        <v>0.207602037453189</v>
      </c>
      <c r="AF5" s="139">
        <v>0.237575651342218</v>
      </c>
      <c r="AG5" s="139"/>
      <c r="AH5" s="139">
        <v>0.21034358625643901</v>
      </c>
      <c r="AI5" s="139"/>
      <c r="AJ5" s="139">
        <v>0.32748326806250999</v>
      </c>
      <c r="AK5" s="139"/>
      <c r="AL5" s="139">
        <v>0.29514712904777102</v>
      </c>
      <c r="AM5" s="139">
        <v>0.333941967421439</v>
      </c>
      <c r="AN5" s="139">
        <v>0.360445923354694</v>
      </c>
      <c r="AO5" s="139">
        <v>0.32628431697281601</v>
      </c>
      <c r="AP5" s="139">
        <v>0.22749446792835101</v>
      </c>
      <c r="AQ5" s="139">
        <v>0.28877325200743997</v>
      </c>
      <c r="AR5" s="139">
        <v>0.40180071487253699</v>
      </c>
      <c r="AS5" s="139">
        <v>0.36528615377203599</v>
      </c>
      <c r="AT5" s="139">
        <v>0.31524927186185497</v>
      </c>
      <c r="AU5" s="139">
        <v>0.28090066110505502</v>
      </c>
      <c r="AV5" s="139">
        <v>0.50240432869392104</v>
      </c>
      <c r="AW5"/>
      <c r="AX5"/>
      <c r="AY5"/>
      <c r="AZ5"/>
      <c r="BA5"/>
      <c r="BB5"/>
      <c r="BC5"/>
      <c r="BD5"/>
      <c r="BE5"/>
      <c r="BF5"/>
      <c r="BG5"/>
      <c r="BH5"/>
      <c r="BI5"/>
      <c r="BJ5"/>
      <c r="BK5"/>
      <c r="BL5"/>
      <c r="BM5"/>
      <c r="BN5"/>
    </row>
    <row r="6" spans="1:66" x14ac:dyDescent="0.2">
      <c r="A6" s="85" t="s">
        <v>109</v>
      </c>
      <c r="B6" s="85" t="s">
        <v>132</v>
      </c>
      <c r="C6" s="141">
        <v>0.4844</v>
      </c>
      <c r="D6" s="85">
        <v>20300</v>
      </c>
      <c r="E6" s="94">
        <v>0.20619999999999999</v>
      </c>
      <c r="F6" s="85">
        <v>8700</v>
      </c>
      <c r="G6" s="94">
        <v>0.30940000000000001</v>
      </c>
      <c r="H6" s="85">
        <v>13000</v>
      </c>
      <c r="I6" s="94">
        <v>0.2467</v>
      </c>
      <c r="J6" s="94">
        <v>0.37030000000000002</v>
      </c>
      <c r="K6" s="94">
        <v>0.59150000000000003</v>
      </c>
      <c r="L6" s="94">
        <v>0.38640000000000002</v>
      </c>
      <c r="M6" s="94"/>
      <c r="N6" s="94">
        <v>0.69059999999999999</v>
      </c>
      <c r="O6" s="84">
        <v>29000</v>
      </c>
      <c r="P6" s="139">
        <v>0.52020178819009</v>
      </c>
      <c r="Q6" s="139">
        <v>0.43130920430296299</v>
      </c>
      <c r="R6" s="139"/>
      <c r="S6" s="139">
        <v>0.48081061994491903</v>
      </c>
      <c r="T6" s="139"/>
      <c r="U6" s="139"/>
      <c r="V6" s="139"/>
      <c r="W6" s="139"/>
      <c r="X6" s="139"/>
      <c r="Y6" s="139"/>
      <c r="Z6" s="139"/>
      <c r="AA6" s="139"/>
      <c r="AB6" s="139">
        <v>0.30175085637153098</v>
      </c>
      <c r="AC6" s="139"/>
      <c r="AD6" s="139">
        <v>0.205676766159932</v>
      </c>
      <c r="AE6" s="139"/>
      <c r="AF6" s="139"/>
      <c r="AG6" s="139"/>
      <c r="AH6" s="139"/>
      <c r="AI6" s="139"/>
      <c r="AJ6" s="139"/>
      <c r="AK6" s="139"/>
      <c r="AL6" s="139">
        <v>0.34131861035701</v>
      </c>
      <c r="AM6" s="139">
        <v>0.26693993932550503</v>
      </c>
      <c r="AN6" s="139"/>
      <c r="AO6" s="139">
        <v>0.31351261389514801</v>
      </c>
      <c r="AP6" s="139"/>
      <c r="AQ6" s="139"/>
      <c r="AR6" s="139"/>
      <c r="AS6" s="139"/>
      <c r="AT6" s="139"/>
      <c r="AU6" s="139"/>
      <c r="AV6" s="139"/>
      <c r="AW6"/>
      <c r="AX6"/>
      <c r="AY6"/>
      <c r="AZ6"/>
      <c r="BA6"/>
      <c r="BB6"/>
      <c r="BC6"/>
      <c r="BD6"/>
      <c r="BE6"/>
      <c r="BF6"/>
      <c r="BG6"/>
      <c r="BH6"/>
      <c r="BI6"/>
      <c r="BJ6"/>
      <c r="BK6"/>
      <c r="BL6"/>
      <c r="BM6"/>
      <c r="BN6"/>
    </row>
    <row r="7" spans="1:66" x14ac:dyDescent="0.2">
      <c r="A7" s="85" t="s">
        <v>109</v>
      </c>
      <c r="B7" s="85" t="s">
        <v>133</v>
      </c>
      <c r="C7" s="141">
        <v>0.45950000000000002</v>
      </c>
      <c r="D7" s="85">
        <v>19600</v>
      </c>
      <c r="E7" s="94">
        <v>0.1802</v>
      </c>
      <c r="F7" s="85">
        <v>7700</v>
      </c>
      <c r="G7" s="94">
        <v>0.3604</v>
      </c>
      <c r="H7" s="85">
        <v>15400</v>
      </c>
      <c r="I7" s="94">
        <v>0.1749</v>
      </c>
      <c r="J7" s="94">
        <v>0.37630000000000002</v>
      </c>
      <c r="K7" s="94">
        <v>0.50639999999999996</v>
      </c>
      <c r="L7" s="94">
        <v>0.46960000000000002</v>
      </c>
      <c r="M7" s="94"/>
      <c r="N7" s="94">
        <v>0.63970000000000005</v>
      </c>
      <c r="O7" s="84">
        <v>27300</v>
      </c>
      <c r="P7" s="139">
        <v>0.47250394417888097</v>
      </c>
      <c r="Q7" s="139">
        <v>0.44512488807157502</v>
      </c>
      <c r="R7" s="139">
        <v>0.43301149700200797</v>
      </c>
      <c r="S7" s="139">
        <v>0.47396226237570999</v>
      </c>
      <c r="T7" s="139"/>
      <c r="U7" s="139"/>
      <c r="V7" s="139"/>
      <c r="W7" s="139"/>
      <c r="X7" s="139"/>
      <c r="Y7" s="139"/>
      <c r="Z7" s="139"/>
      <c r="AA7" s="139"/>
      <c r="AB7" s="139">
        <v>0.22988077347483499</v>
      </c>
      <c r="AC7" s="139"/>
      <c r="AD7" s="139"/>
      <c r="AE7" s="139"/>
      <c r="AF7" s="139"/>
      <c r="AG7" s="139"/>
      <c r="AH7" s="139"/>
      <c r="AI7" s="139"/>
      <c r="AJ7" s="139"/>
      <c r="AK7" s="139"/>
      <c r="AL7" s="139">
        <v>0.39427002120806798</v>
      </c>
      <c r="AM7" s="139">
        <v>0.32499433845358999</v>
      </c>
      <c r="AN7" s="139">
        <v>0.40237972455429499</v>
      </c>
      <c r="AO7" s="139">
        <v>0.33465321482430999</v>
      </c>
      <c r="AP7" s="139"/>
      <c r="AQ7" s="139"/>
      <c r="AR7" s="139"/>
      <c r="AS7" s="139"/>
      <c r="AT7" s="139"/>
      <c r="AU7" s="139"/>
      <c r="AV7" s="139"/>
      <c r="AW7"/>
      <c r="AX7"/>
      <c r="AY7"/>
      <c r="AZ7"/>
      <c r="BA7"/>
      <c r="BB7"/>
      <c r="BC7"/>
      <c r="BD7"/>
      <c r="BE7"/>
      <c r="BF7"/>
      <c r="BG7"/>
      <c r="BH7"/>
      <c r="BI7"/>
      <c r="BJ7"/>
      <c r="BK7"/>
      <c r="BL7"/>
      <c r="BM7"/>
      <c r="BN7"/>
    </row>
    <row r="8" spans="1:66" x14ac:dyDescent="0.2">
      <c r="A8" s="85" t="s">
        <v>110</v>
      </c>
      <c r="B8" s="85" t="s">
        <v>132</v>
      </c>
      <c r="C8" s="141">
        <v>0.42470000000000002</v>
      </c>
      <c r="D8" s="85">
        <v>11300</v>
      </c>
      <c r="E8" s="94">
        <v>0.30590000000000001</v>
      </c>
      <c r="F8" s="85">
        <v>8200</v>
      </c>
      <c r="G8" s="94">
        <v>0.26939999999999997</v>
      </c>
      <c r="H8" s="85">
        <v>7200</v>
      </c>
      <c r="I8" s="94">
        <v>0.21440000000000001</v>
      </c>
      <c r="J8" s="94">
        <v>0.31680000000000003</v>
      </c>
      <c r="K8" s="94">
        <v>0.57099999999999995</v>
      </c>
      <c r="L8" s="94">
        <v>0.39450000000000002</v>
      </c>
      <c r="M8" s="94"/>
      <c r="N8" s="94">
        <v>0.73060000000000003</v>
      </c>
      <c r="O8" s="84">
        <v>19500</v>
      </c>
      <c r="P8" s="139">
        <v>0.42443695490676298</v>
      </c>
      <c r="Q8" s="139">
        <v>0.42897072512145801</v>
      </c>
      <c r="R8" s="139"/>
      <c r="S8" s="139">
        <v>0.447325668674393</v>
      </c>
      <c r="T8" s="139"/>
      <c r="U8" s="139"/>
      <c r="V8" s="139"/>
      <c r="W8" s="139"/>
      <c r="X8" s="139"/>
      <c r="Y8" s="139"/>
      <c r="Z8" s="139"/>
      <c r="AA8" s="139">
        <v>0.35169520659182701</v>
      </c>
      <c r="AB8" s="139">
        <v>0.25112398399435698</v>
      </c>
      <c r="AC8" s="139"/>
      <c r="AD8" s="139">
        <v>0.28920403359914798</v>
      </c>
      <c r="AE8" s="139"/>
      <c r="AF8" s="139"/>
      <c r="AG8" s="139"/>
      <c r="AH8" s="139"/>
      <c r="AI8" s="139"/>
      <c r="AJ8" s="139"/>
      <c r="AK8" s="139"/>
      <c r="AL8" s="139">
        <v>0.22386783850141001</v>
      </c>
      <c r="AM8" s="139">
        <v>0.31990529088418601</v>
      </c>
      <c r="AN8" s="139"/>
      <c r="AO8" s="139">
        <v>0.26347029772646002</v>
      </c>
      <c r="AP8" s="139"/>
      <c r="AQ8" s="139"/>
      <c r="AR8" s="139"/>
      <c r="AS8" s="139"/>
      <c r="AT8" s="139"/>
      <c r="AU8" s="139"/>
      <c r="AV8" s="139"/>
      <c r="AW8"/>
      <c r="AX8"/>
      <c r="AY8"/>
      <c r="AZ8"/>
      <c r="BA8"/>
      <c r="BB8"/>
      <c r="BC8"/>
      <c r="BD8"/>
      <c r="BE8"/>
      <c r="BF8"/>
      <c r="BG8"/>
      <c r="BH8"/>
      <c r="BI8"/>
      <c r="BJ8"/>
      <c r="BK8"/>
      <c r="BL8"/>
      <c r="BM8"/>
      <c r="BN8"/>
    </row>
    <row r="9" spans="1:66" x14ac:dyDescent="0.2">
      <c r="A9" s="85" t="s">
        <v>110</v>
      </c>
      <c r="B9" s="85" t="s">
        <v>133</v>
      </c>
      <c r="C9" s="141">
        <v>0.38569999999999999</v>
      </c>
      <c r="D9" s="85">
        <v>10300</v>
      </c>
      <c r="E9" s="94">
        <v>0.2278</v>
      </c>
      <c r="F9" s="85">
        <v>6100</v>
      </c>
      <c r="G9" s="94">
        <v>0.3866</v>
      </c>
      <c r="H9" s="85">
        <v>10400</v>
      </c>
      <c r="I9" s="94">
        <v>0.17860000000000001</v>
      </c>
      <c r="J9" s="94">
        <v>0.313</v>
      </c>
      <c r="K9" s="94">
        <v>0.4783</v>
      </c>
      <c r="L9" s="94">
        <v>0.37190000000000001</v>
      </c>
      <c r="M9" s="94"/>
      <c r="N9" s="94">
        <v>0.61350000000000005</v>
      </c>
      <c r="O9" s="84">
        <v>16400</v>
      </c>
      <c r="P9" s="139">
        <v>0.40934121332116402</v>
      </c>
      <c r="Q9" s="139">
        <v>0.38625362709135702</v>
      </c>
      <c r="R9" s="139">
        <v>0.50622448075547</v>
      </c>
      <c r="S9" s="139">
        <v>0.322786452793137</v>
      </c>
      <c r="T9" s="139">
        <v>0.473004200266398</v>
      </c>
      <c r="U9" s="139"/>
      <c r="V9" s="139"/>
      <c r="W9" s="139"/>
      <c r="X9" s="139"/>
      <c r="Y9" s="139"/>
      <c r="Z9" s="139"/>
      <c r="AA9" s="139"/>
      <c r="AB9" s="139">
        <v>0.25143955138535201</v>
      </c>
      <c r="AC9" s="139"/>
      <c r="AD9" s="139">
        <v>0.25709839969961101</v>
      </c>
      <c r="AE9" s="139"/>
      <c r="AF9" s="139"/>
      <c r="AG9" s="139"/>
      <c r="AH9" s="139"/>
      <c r="AI9" s="139"/>
      <c r="AJ9" s="139"/>
      <c r="AK9" s="139"/>
      <c r="AL9" s="139">
        <v>0.41422882347652401</v>
      </c>
      <c r="AM9" s="139">
        <v>0.36230682152329202</v>
      </c>
      <c r="AN9" s="139"/>
      <c r="AO9" s="139">
        <v>0.42011514750725298</v>
      </c>
      <c r="AP9" s="139"/>
      <c r="AQ9" s="139"/>
      <c r="AR9" s="139"/>
      <c r="AS9" s="139"/>
      <c r="AT9" s="139"/>
      <c r="AU9" s="139"/>
      <c r="AV9" s="139"/>
      <c r="AW9"/>
      <c r="AX9"/>
      <c r="AY9"/>
      <c r="AZ9"/>
      <c r="BA9"/>
      <c r="BB9"/>
      <c r="BC9"/>
      <c r="BD9"/>
      <c r="BE9"/>
      <c r="BF9"/>
      <c r="BG9"/>
      <c r="BH9"/>
      <c r="BI9"/>
      <c r="BJ9"/>
      <c r="BK9"/>
      <c r="BL9"/>
      <c r="BM9"/>
      <c r="BN9"/>
    </row>
    <row r="10" spans="1:66" x14ac:dyDescent="0.2">
      <c r="A10" s="85" t="s">
        <v>111</v>
      </c>
      <c r="B10" s="85" t="s">
        <v>132</v>
      </c>
      <c r="C10" s="141">
        <v>0.32300000000000001</v>
      </c>
      <c r="D10" s="85">
        <v>23600</v>
      </c>
      <c r="E10" s="94">
        <v>0.30880000000000002</v>
      </c>
      <c r="F10" s="85">
        <v>22500</v>
      </c>
      <c r="G10" s="94">
        <v>0.36820000000000003</v>
      </c>
      <c r="H10" s="85">
        <v>26900</v>
      </c>
      <c r="I10" s="94"/>
      <c r="J10" s="94">
        <v>0.20039999999999999</v>
      </c>
      <c r="K10" s="94">
        <v>0.44790000000000002</v>
      </c>
      <c r="L10" s="94">
        <v>0.3347</v>
      </c>
      <c r="M10" s="94"/>
      <c r="N10" s="94">
        <v>0.63180000000000003</v>
      </c>
      <c r="O10" s="84">
        <v>46100</v>
      </c>
      <c r="P10" s="139"/>
      <c r="Q10" s="139">
        <v>0.26843893655348</v>
      </c>
      <c r="R10" s="139"/>
      <c r="S10" s="139">
        <v>0.37703831873471999</v>
      </c>
      <c r="T10" s="139"/>
      <c r="U10" s="139"/>
      <c r="V10" s="139"/>
      <c r="W10" s="139"/>
      <c r="X10" s="139"/>
      <c r="Y10" s="139"/>
      <c r="Z10" s="139"/>
      <c r="AA10" s="139"/>
      <c r="AB10" s="139">
        <v>0.33587428817802001</v>
      </c>
      <c r="AC10" s="139"/>
      <c r="AD10" s="139">
        <v>0.29995671990760803</v>
      </c>
      <c r="AE10" s="139"/>
      <c r="AF10" s="139"/>
      <c r="AG10" s="139"/>
      <c r="AH10" s="139"/>
      <c r="AI10" s="139"/>
      <c r="AJ10" s="139"/>
      <c r="AK10" s="139"/>
      <c r="AL10" s="139"/>
      <c r="AM10" s="139">
        <v>0.39568677526850099</v>
      </c>
      <c r="AN10" s="139">
        <v>0.46990063811542798</v>
      </c>
      <c r="AO10" s="139">
        <v>0.32300496135767198</v>
      </c>
      <c r="AP10" s="139"/>
      <c r="AQ10" s="139"/>
      <c r="AR10" s="139"/>
      <c r="AS10" s="139"/>
      <c r="AT10" s="139"/>
      <c r="AU10" s="139"/>
      <c r="AV10" s="139"/>
      <c r="AW10"/>
      <c r="AX10"/>
      <c r="AY10"/>
      <c r="AZ10"/>
      <c r="BA10"/>
      <c r="BB10"/>
      <c r="BC10"/>
      <c r="BD10"/>
      <c r="BE10"/>
      <c r="BF10"/>
      <c r="BG10"/>
      <c r="BH10"/>
      <c r="BI10"/>
      <c r="BJ10"/>
      <c r="BK10"/>
      <c r="BL10"/>
      <c r="BM10"/>
      <c r="BN10"/>
    </row>
    <row r="11" spans="1:66" x14ac:dyDescent="0.2">
      <c r="A11" s="85" t="s">
        <v>111</v>
      </c>
      <c r="B11" s="85" t="s">
        <v>133</v>
      </c>
      <c r="C11" s="141"/>
      <c r="D11" s="85"/>
      <c r="E11" s="94"/>
      <c r="F11" s="85"/>
      <c r="G11" s="94"/>
      <c r="H11" s="85"/>
      <c r="I11" s="94"/>
      <c r="J11" s="94"/>
      <c r="K11" s="94"/>
      <c r="L11" s="94"/>
      <c r="M11" s="94"/>
      <c r="N11" s="94">
        <v>0</v>
      </c>
      <c r="O11" s="84">
        <v>0</v>
      </c>
      <c r="P11" s="139">
        <v>0.44747572242409001</v>
      </c>
      <c r="Q11" s="139"/>
      <c r="R11" s="139"/>
      <c r="S11" s="139"/>
      <c r="T11" s="139"/>
      <c r="U11" s="139"/>
      <c r="V11" s="139"/>
      <c r="W11" s="139"/>
      <c r="X11" s="139"/>
      <c r="Y11" s="139"/>
      <c r="Z11" s="139"/>
      <c r="AA11" s="139"/>
      <c r="AB11" s="139"/>
      <c r="AC11" s="139"/>
      <c r="AD11" s="139"/>
      <c r="AE11" s="139"/>
      <c r="AF11" s="139"/>
      <c r="AG11" s="139"/>
      <c r="AH11" s="139"/>
      <c r="AI11" s="139"/>
      <c r="AJ11" s="139"/>
      <c r="AK11" s="139"/>
      <c r="AL11" s="139">
        <v>0.36855649095474202</v>
      </c>
      <c r="AM11" s="139"/>
      <c r="AN11" s="139"/>
      <c r="AO11" s="139"/>
      <c r="AP11" s="139"/>
      <c r="AQ11" s="139"/>
      <c r="AR11" s="139"/>
      <c r="AS11" s="139"/>
      <c r="AT11" s="139"/>
      <c r="AU11" s="139"/>
      <c r="AV11" s="139"/>
      <c r="AW11"/>
      <c r="AX11"/>
      <c r="AY11"/>
      <c r="AZ11"/>
      <c r="BA11"/>
      <c r="BB11"/>
      <c r="BC11"/>
      <c r="BD11"/>
      <c r="BE11"/>
      <c r="BF11"/>
      <c r="BG11"/>
      <c r="BH11"/>
      <c r="BI11"/>
      <c r="BJ11"/>
      <c r="BK11"/>
      <c r="BL11"/>
      <c r="BM11"/>
      <c r="BN11"/>
    </row>
    <row r="12" spans="1:66" x14ac:dyDescent="0.2">
      <c r="A12" s="85" t="s">
        <v>112</v>
      </c>
      <c r="B12" s="85" t="s">
        <v>132</v>
      </c>
      <c r="C12" s="141">
        <v>0.2974</v>
      </c>
      <c r="D12" s="85">
        <v>11100</v>
      </c>
      <c r="E12" s="94">
        <v>0.2492</v>
      </c>
      <c r="F12" s="85">
        <v>9300</v>
      </c>
      <c r="G12" s="94">
        <v>0.45340000000000003</v>
      </c>
      <c r="H12" s="85">
        <v>16900</v>
      </c>
      <c r="I12" s="94">
        <v>9.11E-2</v>
      </c>
      <c r="J12" s="94">
        <v>0.21820000000000001</v>
      </c>
      <c r="K12" s="94">
        <v>0.37559999999999999</v>
      </c>
      <c r="L12" s="94">
        <v>0.27100000000000002</v>
      </c>
      <c r="M12" s="94"/>
      <c r="N12" s="94">
        <v>0.54659999999999997</v>
      </c>
      <c r="O12" s="84">
        <v>20400</v>
      </c>
      <c r="P12" s="139">
        <v>0.36654100742897</v>
      </c>
      <c r="Q12" s="139">
        <v>0.22540998248041499</v>
      </c>
      <c r="R12" s="139">
        <v>0.23359308958941799</v>
      </c>
      <c r="S12" s="139">
        <v>0.30859790516795899</v>
      </c>
      <c r="T12" s="139"/>
      <c r="U12" s="139"/>
      <c r="V12" s="139"/>
      <c r="W12" s="139"/>
      <c r="X12" s="139"/>
      <c r="Y12" s="139"/>
      <c r="Z12" s="139"/>
      <c r="AA12" s="139">
        <v>0.241273510487168</v>
      </c>
      <c r="AB12" s="139">
        <v>0.26497981090473799</v>
      </c>
      <c r="AC12" s="139"/>
      <c r="AD12" s="139">
        <v>0.242019790714326</v>
      </c>
      <c r="AE12" s="139"/>
      <c r="AF12" s="139"/>
      <c r="AG12" s="139"/>
      <c r="AH12" s="139"/>
      <c r="AI12" s="139"/>
      <c r="AJ12" s="139"/>
      <c r="AK12" s="139"/>
      <c r="AL12" s="139">
        <v>0.392185482083862</v>
      </c>
      <c r="AM12" s="139">
        <v>0.50961020661484902</v>
      </c>
      <c r="AN12" s="139">
        <v>0.49968433842502902</v>
      </c>
      <c r="AO12" s="139">
        <v>0.44938230411771601</v>
      </c>
      <c r="AP12" s="139"/>
      <c r="AQ12" s="139"/>
      <c r="AR12" s="139"/>
      <c r="AS12" s="139"/>
      <c r="AT12" s="139"/>
      <c r="AU12" s="139"/>
      <c r="AV12" s="139"/>
      <c r="AW12"/>
      <c r="AX12"/>
      <c r="AY12"/>
      <c r="AZ12"/>
      <c r="BA12"/>
      <c r="BB12"/>
      <c r="BC12"/>
      <c r="BD12"/>
      <c r="BE12"/>
      <c r="BF12"/>
      <c r="BG12"/>
      <c r="BH12"/>
      <c r="BI12"/>
      <c r="BJ12"/>
      <c r="BK12"/>
      <c r="BL12"/>
      <c r="BM12"/>
      <c r="BN12"/>
    </row>
    <row r="13" spans="1:66" x14ac:dyDescent="0.2">
      <c r="A13" s="85" t="s">
        <v>112</v>
      </c>
      <c r="B13" s="85" t="s">
        <v>133</v>
      </c>
      <c r="C13" s="141"/>
      <c r="D13" s="85"/>
      <c r="E13" s="94"/>
      <c r="F13" s="85"/>
      <c r="G13" s="94"/>
      <c r="H13" s="85"/>
      <c r="I13" s="94"/>
      <c r="J13" s="94"/>
      <c r="K13" s="94"/>
      <c r="L13" s="94"/>
      <c r="M13" s="94"/>
      <c r="N13" s="94">
        <v>0</v>
      </c>
      <c r="O13" s="84">
        <v>0</v>
      </c>
      <c r="P13" s="139"/>
      <c r="Q13" s="139"/>
      <c r="R13" s="139"/>
      <c r="S13" s="139"/>
      <c r="T13" s="139"/>
      <c r="U13" s="139"/>
      <c r="V13" s="139"/>
      <c r="W13" s="139"/>
      <c r="X13" s="139"/>
      <c r="Y13" s="139"/>
      <c r="Z13" s="139"/>
      <c r="AA13" s="139"/>
      <c r="AB13" s="139"/>
      <c r="AC13" s="139"/>
      <c r="AD13" s="139"/>
      <c r="AE13" s="139"/>
      <c r="AF13" s="139"/>
      <c r="AG13" s="139"/>
      <c r="AH13" s="139"/>
      <c r="AI13" s="139"/>
      <c r="AJ13" s="139"/>
      <c r="AK13" s="139"/>
      <c r="AL13" s="139"/>
      <c r="AM13" s="139"/>
      <c r="AN13" s="139"/>
      <c r="AO13" s="139"/>
      <c r="AP13" s="139"/>
      <c r="AQ13" s="139"/>
      <c r="AR13" s="139"/>
      <c r="AS13" s="139"/>
      <c r="AT13" s="139"/>
      <c r="AU13" s="139"/>
      <c r="AV13" s="139"/>
      <c r="AW13"/>
      <c r="AX13"/>
      <c r="AY13"/>
      <c r="AZ13"/>
      <c r="BA13"/>
      <c r="BB13"/>
      <c r="BC13"/>
      <c r="BD13"/>
      <c r="BE13"/>
      <c r="BF13"/>
      <c r="BG13"/>
      <c r="BH13"/>
      <c r="BI13"/>
      <c r="BJ13"/>
      <c r="BK13"/>
      <c r="BL13"/>
      <c r="BM13"/>
      <c r="BN13"/>
    </row>
    <row r="14" spans="1:66" x14ac:dyDescent="0.2">
      <c r="A14" s="85" t="s">
        <v>113</v>
      </c>
      <c r="B14" s="85" t="s">
        <v>132</v>
      </c>
      <c r="C14" s="141">
        <v>0.38429999999999997</v>
      </c>
      <c r="D14" s="85">
        <v>11800</v>
      </c>
      <c r="E14" s="94">
        <v>0.2054</v>
      </c>
      <c r="F14" s="85">
        <v>6300</v>
      </c>
      <c r="G14" s="94">
        <v>0.4103</v>
      </c>
      <c r="H14" s="85">
        <v>12600</v>
      </c>
      <c r="I14" s="94">
        <v>0.16550000000000001</v>
      </c>
      <c r="J14" s="94">
        <v>0.29399999999999998</v>
      </c>
      <c r="K14" s="94">
        <v>0.45550000000000002</v>
      </c>
      <c r="L14" s="94">
        <v>0.34279999999999999</v>
      </c>
      <c r="M14" s="94"/>
      <c r="N14" s="94">
        <v>0.5897</v>
      </c>
      <c r="O14" s="84">
        <v>18100</v>
      </c>
      <c r="P14" s="139">
        <v>0.40747966942585101</v>
      </c>
      <c r="Q14" s="139">
        <v>0.35419623172512699</v>
      </c>
      <c r="R14" s="139">
        <v>0.46490489212553299</v>
      </c>
      <c r="S14" s="139"/>
      <c r="T14" s="139">
        <v>0.48355006576259402</v>
      </c>
      <c r="U14" s="139"/>
      <c r="V14" s="139"/>
      <c r="W14" s="139"/>
      <c r="X14" s="139"/>
      <c r="Y14" s="139"/>
      <c r="Z14" s="139"/>
      <c r="AA14" s="139"/>
      <c r="AB14" s="139"/>
      <c r="AC14" s="139">
        <v>0.143121309316708</v>
      </c>
      <c r="AD14" s="139"/>
      <c r="AE14" s="139">
        <v>0.132839833125135</v>
      </c>
      <c r="AF14" s="139"/>
      <c r="AG14" s="139"/>
      <c r="AH14" s="139"/>
      <c r="AI14" s="139"/>
      <c r="AJ14" s="139"/>
      <c r="AK14" s="139"/>
      <c r="AL14" s="139">
        <v>0.45287008137253498</v>
      </c>
      <c r="AM14" s="139">
        <v>0.36732162987508199</v>
      </c>
      <c r="AN14" s="139">
        <v>0.39197379855775799</v>
      </c>
      <c r="AO14" s="139"/>
      <c r="AP14" s="139">
        <v>0.38361010111227101</v>
      </c>
      <c r="AQ14" s="139"/>
      <c r="AR14" s="139"/>
      <c r="AS14" s="139"/>
      <c r="AT14" s="139"/>
      <c r="AU14" s="139"/>
      <c r="AV14" s="139"/>
      <c r="AW14"/>
      <c r="AX14"/>
      <c r="AY14"/>
      <c r="AZ14"/>
      <c r="BA14"/>
      <c r="BB14"/>
      <c r="BC14"/>
      <c r="BD14"/>
      <c r="BE14"/>
      <c r="BF14"/>
      <c r="BG14"/>
      <c r="BH14"/>
      <c r="BI14"/>
      <c r="BJ14"/>
      <c r="BK14"/>
      <c r="BL14"/>
      <c r="BM14"/>
      <c r="BN14"/>
    </row>
    <row r="15" spans="1:66" x14ac:dyDescent="0.2">
      <c r="A15" s="85" t="s">
        <v>113</v>
      </c>
      <c r="B15" s="85" t="s">
        <v>133</v>
      </c>
      <c r="C15" s="141">
        <v>0.46870000000000001</v>
      </c>
      <c r="D15" s="85">
        <v>14600</v>
      </c>
      <c r="E15" s="94">
        <v>0.2535</v>
      </c>
      <c r="F15" s="85">
        <v>7900</v>
      </c>
      <c r="G15" s="94">
        <v>0.27779999999999999</v>
      </c>
      <c r="H15" s="85">
        <v>8600</v>
      </c>
      <c r="I15" s="94">
        <v>0.22639999999999999</v>
      </c>
      <c r="J15" s="94">
        <v>0.32150000000000001</v>
      </c>
      <c r="K15" s="94">
        <v>0.63819999999999999</v>
      </c>
      <c r="L15" s="94">
        <v>0.3493</v>
      </c>
      <c r="M15" s="94"/>
      <c r="N15" s="94">
        <v>0.72219999999999995</v>
      </c>
      <c r="O15" s="84">
        <v>22500</v>
      </c>
      <c r="P15" s="139">
        <v>0.544560318950151</v>
      </c>
      <c r="Q15" s="139">
        <v>0.40166694394221802</v>
      </c>
      <c r="R15" s="139">
        <v>0.52399867992151195</v>
      </c>
      <c r="S15" s="139"/>
      <c r="T15" s="139">
        <v>0.46078584854122301</v>
      </c>
      <c r="U15" s="139"/>
      <c r="V15" s="139"/>
      <c r="W15" s="139"/>
      <c r="X15" s="139"/>
      <c r="Y15" s="139"/>
      <c r="Z15" s="139"/>
      <c r="AA15" s="139"/>
      <c r="AB15" s="139">
        <v>0.29718053483359602</v>
      </c>
      <c r="AC15" s="139">
        <v>0.28857004141148401</v>
      </c>
      <c r="AD15" s="139"/>
      <c r="AE15" s="139">
        <v>0.42934908281302198</v>
      </c>
      <c r="AF15" s="139"/>
      <c r="AG15" s="139"/>
      <c r="AH15" s="139"/>
      <c r="AI15" s="139"/>
      <c r="AJ15" s="139"/>
      <c r="AK15" s="139"/>
      <c r="AL15" s="139">
        <v>0.25502308114801497</v>
      </c>
      <c r="AM15" s="139">
        <v>0.30115252122418601</v>
      </c>
      <c r="AN15" s="139">
        <v>0.18743127866700399</v>
      </c>
      <c r="AO15" s="139"/>
      <c r="AP15" s="139">
        <v>0.109865068645755</v>
      </c>
      <c r="AQ15" s="139"/>
      <c r="AR15" s="139"/>
      <c r="AS15" s="139"/>
      <c r="AT15" s="139"/>
      <c r="AU15" s="139"/>
      <c r="AV15" s="139"/>
      <c r="AW15"/>
      <c r="AX15"/>
      <c r="AY15"/>
      <c r="AZ15"/>
      <c r="BA15"/>
      <c r="BB15"/>
      <c r="BC15"/>
      <c r="BD15"/>
      <c r="BE15"/>
      <c r="BF15"/>
      <c r="BG15"/>
      <c r="BH15"/>
      <c r="BI15"/>
      <c r="BJ15"/>
      <c r="BK15"/>
      <c r="BL15"/>
      <c r="BM15"/>
      <c r="BN15"/>
    </row>
    <row r="16" spans="1:66" x14ac:dyDescent="0.2">
      <c r="A16" s="85" t="s">
        <v>114</v>
      </c>
      <c r="B16" s="85" t="s">
        <v>132</v>
      </c>
      <c r="C16" s="141">
        <v>0.43630000000000002</v>
      </c>
      <c r="D16" s="85">
        <v>14000</v>
      </c>
      <c r="E16" s="94">
        <v>0.1857</v>
      </c>
      <c r="F16" s="85">
        <v>6000</v>
      </c>
      <c r="G16" s="94">
        <v>0.378</v>
      </c>
      <c r="H16" s="85">
        <v>12200</v>
      </c>
      <c r="I16" s="94">
        <v>0.19950000000000001</v>
      </c>
      <c r="J16" s="94">
        <v>0.30580000000000002</v>
      </c>
      <c r="K16" s="94">
        <v>0.51549999999999996</v>
      </c>
      <c r="L16" s="94">
        <v>0.36399999999999999</v>
      </c>
      <c r="M16" s="94"/>
      <c r="N16" s="94">
        <v>0.622</v>
      </c>
      <c r="O16" s="84">
        <v>20000</v>
      </c>
      <c r="P16" s="139">
        <v>0.45737111173074102</v>
      </c>
      <c r="Q16" s="139">
        <v>0.42225909332666201</v>
      </c>
      <c r="R16" s="139">
        <v>0.37131378467248599</v>
      </c>
      <c r="S16" s="139"/>
      <c r="T16" s="139">
        <v>0.55437341551054198</v>
      </c>
      <c r="U16" s="139"/>
      <c r="V16" s="139"/>
      <c r="W16" s="139"/>
      <c r="X16" s="139"/>
      <c r="Y16" s="139"/>
      <c r="Z16" s="139"/>
      <c r="AA16" s="139">
        <v>0.20046229395590801</v>
      </c>
      <c r="AB16" s="139"/>
      <c r="AC16" s="139"/>
      <c r="AD16" s="139"/>
      <c r="AE16" s="139">
        <v>0.196722611305268</v>
      </c>
      <c r="AF16" s="139"/>
      <c r="AG16" s="139"/>
      <c r="AH16" s="139"/>
      <c r="AI16" s="139"/>
      <c r="AJ16" s="139"/>
      <c r="AK16" s="139"/>
      <c r="AL16" s="139">
        <v>0.342166594313352</v>
      </c>
      <c r="AM16" s="139">
        <v>0.39885693081163998</v>
      </c>
      <c r="AN16" s="139">
        <v>0.467905043310546</v>
      </c>
      <c r="AO16" s="139"/>
      <c r="AP16" s="139">
        <v>0.24890397318419</v>
      </c>
      <c r="AQ16" s="139"/>
      <c r="AR16" s="139"/>
      <c r="AS16" s="139"/>
      <c r="AT16" s="139"/>
      <c r="AU16" s="139"/>
      <c r="AV16" s="139"/>
      <c r="AW16"/>
      <c r="AX16"/>
      <c r="AY16"/>
      <c r="AZ16"/>
      <c r="BA16"/>
      <c r="BB16"/>
      <c r="BC16"/>
      <c r="BD16"/>
      <c r="BE16"/>
      <c r="BF16"/>
      <c r="BG16"/>
      <c r="BH16"/>
      <c r="BI16"/>
      <c r="BJ16"/>
      <c r="BK16"/>
      <c r="BL16"/>
      <c r="BM16"/>
      <c r="BN16"/>
    </row>
    <row r="17" spans="1:66" x14ac:dyDescent="0.2">
      <c r="A17" s="85" t="s">
        <v>114</v>
      </c>
      <c r="B17" s="85" t="s">
        <v>133</v>
      </c>
      <c r="C17" s="141">
        <v>0.46229999999999999</v>
      </c>
      <c r="D17" s="85">
        <v>15100</v>
      </c>
      <c r="E17" s="94">
        <v>0.17660000000000001</v>
      </c>
      <c r="F17" s="85">
        <v>5800</v>
      </c>
      <c r="G17" s="94">
        <v>0.36109999999999998</v>
      </c>
      <c r="H17" s="85">
        <v>11800</v>
      </c>
      <c r="I17" s="94">
        <v>0.22770000000000001</v>
      </c>
      <c r="J17" s="94">
        <v>0.36570000000000003</v>
      </c>
      <c r="K17" s="94">
        <v>0.51500000000000001</v>
      </c>
      <c r="L17" s="94">
        <v>0.41959999999999997</v>
      </c>
      <c r="M17" s="94"/>
      <c r="N17" s="94">
        <v>0.63890000000000002</v>
      </c>
      <c r="O17" s="84">
        <v>20900</v>
      </c>
      <c r="P17" s="139">
        <v>0.58480849342333396</v>
      </c>
      <c r="Q17" s="139">
        <v>0.31759827407582197</v>
      </c>
      <c r="R17" s="139">
        <v>0.41598469714033998</v>
      </c>
      <c r="S17" s="139">
        <v>0.46911461952063299</v>
      </c>
      <c r="T17" s="139">
        <v>0.52923334807845301</v>
      </c>
      <c r="U17" s="139"/>
      <c r="V17" s="139"/>
      <c r="W17" s="139"/>
      <c r="X17" s="139"/>
      <c r="Y17" s="139"/>
      <c r="Z17" s="139"/>
      <c r="AA17" s="139">
        <v>0.160528473014978</v>
      </c>
      <c r="AB17" s="139">
        <v>0.19797843470020399</v>
      </c>
      <c r="AC17" s="139">
        <v>0.175807016115757</v>
      </c>
      <c r="AD17" s="139"/>
      <c r="AE17" s="139">
        <v>0.19162119448262999</v>
      </c>
      <c r="AF17" s="139"/>
      <c r="AG17" s="139"/>
      <c r="AH17" s="139"/>
      <c r="AI17" s="139"/>
      <c r="AJ17" s="139"/>
      <c r="AK17" s="139"/>
      <c r="AL17" s="139">
        <v>0.25466303356168901</v>
      </c>
      <c r="AM17" s="139">
        <v>0.48442329122397498</v>
      </c>
      <c r="AN17" s="139">
        <v>0.40820828674390303</v>
      </c>
      <c r="AO17" s="139"/>
      <c r="AP17" s="139">
        <v>0.279145457438918</v>
      </c>
      <c r="AQ17" s="139"/>
      <c r="AR17" s="139"/>
      <c r="AS17" s="139"/>
      <c r="AT17" s="139"/>
      <c r="AU17" s="139"/>
      <c r="AV17" s="139"/>
      <c r="AW17"/>
      <c r="AX17"/>
      <c r="AY17"/>
      <c r="AZ17"/>
      <c r="BA17"/>
      <c r="BB17"/>
      <c r="BC17"/>
      <c r="BD17"/>
      <c r="BE17"/>
      <c r="BF17"/>
      <c r="BG17"/>
      <c r="BH17"/>
      <c r="BI17"/>
      <c r="BJ17"/>
      <c r="BK17"/>
      <c r="BL17"/>
      <c r="BM17"/>
      <c r="BN17"/>
    </row>
    <row r="18" spans="1:66" x14ac:dyDescent="0.2">
      <c r="A18" s="85" t="s">
        <v>115</v>
      </c>
      <c r="B18" s="85" t="s">
        <v>132</v>
      </c>
      <c r="C18" s="141">
        <v>0.45650000000000002</v>
      </c>
      <c r="D18" s="85">
        <v>17300</v>
      </c>
      <c r="E18" s="94">
        <v>0.222</v>
      </c>
      <c r="F18" s="85">
        <v>8400</v>
      </c>
      <c r="G18" s="94">
        <v>0.32150000000000001</v>
      </c>
      <c r="H18" s="85">
        <v>12200</v>
      </c>
      <c r="I18" s="94">
        <v>0.15679999999999999</v>
      </c>
      <c r="J18" s="94">
        <v>0.35189999999999999</v>
      </c>
      <c r="K18" s="94">
        <v>0.54310000000000003</v>
      </c>
      <c r="L18" s="94">
        <v>0.42980000000000002</v>
      </c>
      <c r="M18" s="94"/>
      <c r="N18" s="94">
        <v>0.67849999999999999</v>
      </c>
      <c r="O18" s="84">
        <v>25700</v>
      </c>
      <c r="P18" s="139">
        <v>0.51537465625399204</v>
      </c>
      <c r="Q18" s="139">
        <v>0.40964968500061</v>
      </c>
      <c r="R18" s="139">
        <v>0.35026971233241899</v>
      </c>
      <c r="S18" s="139">
        <v>0.44882854855975501</v>
      </c>
      <c r="T18" s="139">
        <v>0.52103791119590903</v>
      </c>
      <c r="U18" s="139"/>
      <c r="V18" s="139"/>
      <c r="W18" s="139"/>
      <c r="X18" s="139"/>
      <c r="Y18" s="139"/>
      <c r="Z18" s="139"/>
      <c r="AA18" s="139"/>
      <c r="AB18" s="139">
        <v>0.23771254062189401</v>
      </c>
      <c r="AC18" s="139">
        <v>0.20747998996133599</v>
      </c>
      <c r="AD18" s="139"/>
      <c r="AE18" s="139">
        <v>0.23746496401980599</v>
      </c>
      <c r="AF18" s="139"/>
      <c r="AG18" s="139"/>
      <c r="AH18" s="139"/>
      <c r="AI18" s="139"/>
      <c r="AJ18" s="139"/>
      <c r="AK18" s="139"/>
      <c r="AL18" s="139">
        <v>0.29082699291713299</v>
      </c>
      <c r="AM18" s="139">
        <v>0.35263777437749499</v>
      </c>
      <c r="AN18" s="139">
        <v>0.44225029770624502</v>
      </c>
      <c r="AO18" s="139"/>
      <c r="AP18" s="139">
        <v>0.24149712478428401</v>
      </c>
      <c r="AQ18" s="139"/>
      <c r="AR18" s="139"/>
      <c r="AS18" s="139"/>
      <c r="AT18" s="139"/>
      <c r="AU18" s="139"/>
      <c r="AV18" s="139"/>
      <c r="AW18"/>
      <c r="AX18"/>
      <c r="AY18"/>
      <c r="AZ18"/>
      <c r="BA18"/>
      <c r="BB18"/>
      <c r="BC18"/>
      <c r="BD18"/>
      <c r="BE18"/>
      <c r="BF18"/>
      <c r="BG18"/>
      <c r="BH18"/>
      <c r="BI18"/>
      <c r="BJ18"/>
      <c r="BK18"/>
      <c r="BL18"/>
      <c r="BM18"/>
      <c r="BN18"/>
    </row>
    <row r="19" spans="1:66" x14ac:dyDescent="0.2">
      <c r="A19" s="85" t="s">
        <v>115</v>
      </c>
      <c r="B19" s="85" t="s">
        <v>133</v>
      </c>
      <c r="C19" s="141">
        <v>0.45929999999999999</v>
      </c>
      <c r="D19" s="85">
        <v>17700</v>
      </c>
      <c r="E19" s="94">
        <v>0.26679999999999998</v>
      </c>
      <c r="F19" s="85">
        <v>10300</v>
      </c>
      <c r="G19" s="94">
        <v>0.27400000000000002</v>
      </c>
      <c r="H19" s="85">
        <v>10600</v>
      </c>
      <c r="I19" s="94">
        <v>0.1983</v>
      </c>
      <c r="J19" s="94">
        <v>0.37259999999999999</v>
      </c>
      <c r="K19" s="94">
        <v>0.58979999999999999</v>
      </c>
      <c r="L19" s="94">
        <v>0.43640000000000001</v>
      </c>
      <c r="M19" s="94"/>
      <c r="N19" s="94">
        <v>0.72609999999999997</v>
      </c>
      <c r="O19" s="84">
        <v>28000</v>
      </c>
      <c r="P19" s="139">
        <v>0.487515227691318</v>
      </c>
      <c r="Q19" s="139">
        <v>0.42087002022965903</v>
      </c>
      <c r="R19" s="139">
        <v>0.33394601939152302</v>
      </c>
      <c r="S19" s="139">
        <v>0.44821826026482597</v>
      </c>
      <c r="T19" s="139">
        <v>0.58857828900417797</v>
      </c>
      <c r="U19" s="139"/>
      <c r="V19" s="139"/>
      <c r="W19" s="139"/>
      <c r="X19" s="139"/>
      <c r="Y19" s="139"/>
      <c r="Z19" s="139"/>
      <c r="AA19" s="139">
        <v>0.275224543212297</v>
      </c>
      <c r="AB19" s="139">
        <v>0.27543773624085499</v>
      </c>
      <c r="AC19" s="139">
        <v>0.20002976970563199</v>
      </c>
      <c r="AD19" s="139"/>
      <c r="AE19" s="139">
        <v>0.173814273565737</v>
      </c>
      <c r="AF19" s="139"/>
      <c r="AG19" s="139"/>
      <c r="AH19" s="139"/>
      <c r="AI19" s="139"/>
      <c r="AJ19" s="139"/>
      <c r="AK19" s="139"/>
      <c r="AL19" s="139">
        <v>0.237260229096386</v>
      </c>
      <c r="AM19" s="139">
        <v>0.30369224352948498</v>
      </c>
      <c r="AN19" s="139">
        <v>0.46602421090284601</v>
      </c>
      <c r="AO19" s="139">
        <v>0.247539834387561</v>
      </c>
      <c r="AP19" s="139">
        <v>0.237607437430085</v>
      </c>
      <c r="AQ19" s="139"/>
      <c r="AR19" s="139"/>
      <c r="AS19" s="139"/>
      <c r="AT19" s="139"/>
      <c r="AU19" s="139"/>
      <c r="AV19" s="139"/>
      <c r="AW19"/>
      <c r="AX19"/>
      <c r="AY19"/>
      <c r="AZ19"/>
      <c r="BA19"/>
      <c r="BB19"/>
      <c r="BC19"/>
      <c r="BD19"/>
      <c r="BE19"/>
      <c r="BF19"/>
      <c r="BG19"/>
      <c r="BH19"/>
      <c r="BI19"/>
      <c r="BJ19"/>
      <c r="BK19"/>
      <c r="BL19"/>
      <c r="BM19"/>
      <c r="BN19"/>
    </row>
    <row r="20" spans="1:66" x14ac:dyDescent="0.2">
      <c r="A20" s="85" t="s">
        <v>116</v>
      </c>
      <c r="B20" s="85" t="s">
        <v>132</v>
      </c>
      <c r="C20" s="141">
        <v>0.36220000000000002</v>
      </c>
      <c r="D20" s="85">
        <v>11200</v>
      </c>
      <c r="E20" s="94">
        <v>0.2631</v>
      </c>
      <c r="F20" s="85">
        <v>8200</v>
      </c>
      <c r="G20" s="94">
        <v>0.37469999999999998</v>
      </c>
      <c r="H20" s="85">
        <v>11600</v>
      </c>
      <c r="I20" s="94"/>
      <c r="J20" s="94">
        <v>0.28460000000000002</v>
      </c>
      <c r="K20" s="94">
        <v>0.46589999999999998</v>
      </c>
      <c r="L20" s="94">
        <v>0.36699999999999999</v>
      </c>
      <c r="M20" s="94"/>
      <c r="N20" s="94">
        <v>0.62529999999999997</v>
      </c>
      <c r="O20" s="84">
        <v>19400</v>
      </c>
      <c r="P20" s="139"/>
      <c r="Q20" s="139">
        <v>0.28837040907087802</v>
      </c>
      <c r="R20" s="139">
        <v>0.32000610157132597</v>
      </c>
      <c r="S20" s="139"/>
      <c r="T20" s="139">
        <v>0.467444596951612</v>
      </c>
      <c r="U20" s="139"/>
      <c r="V20" s="139"/>
      <c r="W20" s="139"/>
      <c r="X20" s="139"/>
      <c r="Y20" s="139"/>
      <c r="Z20" s="139"/>
      <c r="AA20" s="139"/>
      <c r="AB20" s="139"/>
      <c r="AC20" s="139"/>
      <c r="AD20" s="139"/>
      <c r="AE20" s="139">
        <v>0.24196347420727499</v>
      </c>
      <c r="AF20" s="139"/>
      <c r="AG20" s="139"/>
      <c r="AH20" s="139"/>
      <c r="AI20" s="139"/>
      <c r="AJ20" s="139"/>
      <c r="AK20" s="139"/>
      <c r="AL20" s="139"/>
      <c r="AM20" s="139">
        <v>0.38073504555931897</v>
      </c>
      <c r="AN20" s="139">
        <v>0.39111521388103798</v>
      </c>
      <c r="AO20" s="139"/>
      <c r="AP20" s="139">
        <v>0.29059192884111201</v>
      </c>
      <c r="AQ20" s="139"/>
      <c r="AR20" s="139"/>
      <c r="AS20" s="139"/>
      <c r="AT20" s="139"/>
      <c r="AU20" s="139"/>
      <c r="AV20" s="139"/>
      <c r="AW20"/>
      <c r="AX20"/>
      <c r="AY20"/>
      <c r="AZ20"/>
      <c r="BA20"/>
      <c r="BB20"/>
      <c r="BC20"/>
      <c r="BD20"/>
      <c r="BE20"/>
      <c r="BF20"/>
      <c r="BG20"/>
      <c r="BH20"/>
      <c r="BI20"/>
      <c r="BJ20"/>
      <c r="BK20"/>
      <c r="BL20"/>
      <c r="BM20"/>
      <c r="BN20"/>
    </row>
    <row r="21" spans="1:66" x14ac:dyDescent="0.2">
      <c r="A21" s="85" t="s">
        <v>116</v>
      </c>
      <c r="B21" s="85" t="s">
        <v>133</v>
      </c>
      <c r="C21" s="141">
        <v>0.44319999999999998</v>
      </c>
      <c r="D21" s="85">
        <v>13900</v>
      </c>
      <c r="E21" s="94">
        <v>0.22420000000000001</v>
      </c>
      <c r="F21" s="85">
        <v>7000</v>
      </c>
      <c r="G21" s="94">
        <v>0.33260000000000001</v>
      </c>
      <c r="H21" s="85">
        <v>10400</v>
      </c>
      <c r="I21" s="94">
        <v>0.1996</v>
      </c>
      <c r="J21" s="94">
        <v>0.28549999999999998</v>
      </c>
      <c r="K21" s="94">
        <v>0.57399999999999995</v>
      </c>
      <c r="L21" s="94">
        <v>0.33279999999999998</v>
      </c>
      <c r="M21" s="94"/>
      <c r="N21" s="94">
        <v>0.66739999999999999</v>
      </c>
      <c r="O21" s="84">
        <v>20900</v>
      </c>
      <c r="P21" s="139">
        <v>0.44630940928386098</v>
      </c>
      <c r="Q21" s="139">
        <v>0.43210907937775</v>
      </c>
      <c r="R21" s="139">
        <v>0.32824157504273699</v>
      </c>
      <c r="S21" s="139">
        <v>0.47395808282000101</v>
      </c>
      <c r="T21" s="139">
        <v>0.597852898820873</v>
      </c>
      <c r="U21" s="139"/>
      <c r="V21" s="139"/>
      <c r="W21" s="139"/>
      <c r="X21" s="139"/>
      <c r="Y21" s="139"/>
      <c r="Z21" s="139"/>
      <c r="AA21" s="139">
        <v>0.205204709737109</v>
      </c>
      <c r="AB21" s="139">
        <v>0.25436465969894601</v>
      </c>
      <c r="AC21" s="139">
        <v>0.27753155589074902</v>
      </c>
      <c r="AD21" s="139"/>
      <c r="AE21" s="139">
        <v>0.248974940592954</v>
      </c>
      <c r="AF21" s="139"/>
      <c r="AG21" s="139"/>
      <c r="AH21" s="139"/>
      <c r="AI21" s="139"/>
      <c r="AJ21" s="139"/>
      <c r="AK21" s="139"/>
      <c r="AL21" s="139">
        <v>0.34848588097902899</v>
      </c>
      <c r="AM21" s="139">
        <v>0.31352626092330399</v>
      </c>
      <c r="AN21" s="139">
        <v>0.394226869066514</v>
      </c>
      <c r="AO21" s="139"/>
      <c r="AP21" s="139">
        <v>0.153172160586173</v>
      </c>
      <c r="AQ21" s="139"/>
      <c r="AR21" s="139"/>
      <c r="AS21" s="139"/>
      <c r="AT21" s="139"/>
      <c r="AU21" s="139"/>
      <c r="AV21" s="139"/>
      <c r="AW21"/>
      <c r="AX21"/>
      <c r="AY21"/>
      <c r="AZ21"/>
      <c r="BA21"/>
      <c r="BB21"/>
      <c r="BC21"/>
      <c r="BD21"/>
      <c r="BE21"/>
      <c r="BF21"/>
      <c r="BG21"/>
      <c r="BH21"/>
      <c r="BI21"/>
      <c r="BJ21"/>
      <c r="BK21"/>
      <c r="BL21"/>
      <c r="BM21"/>
      <c r="BN21"/>
    </row>
    <row r="22" spans="1:66" x14ac:dyDescent="0.2">
      <c r="A22" s="85" t="s">
        <v>117</v>
      </c>
      <c r="B22" s="85" t="s">
        <v>132</v>
      </c>
      <c r="C22" s="141">
        <v>0.41439999999999999</v>
      </c>
      <c r="D22" s="85">
        <v>14300</v>
      </c>
      <c r="E22" s="94">
        <v>0.29099999999999998</v>
      </c>
      <c r="F22" s="85">
        <v>10100</v>
      </c>
      <c r="G22" s="94">
        <v>0.29459999999999997</v>
      </c>
      <c r="H22" s="85">
        <v>10200</v>
      </c>
      <c r="I22" s="94">
        <v>0.16300000000000001</v>
      </c>
      <c r="J22" s="94">
        <v>0.35</v>
      </c>
      <c r="K22" s="94">
        <v>0.4788</v>
      </c>
      <c r="L22" s="94">
        <v>0.46539999999999998</v>
      </c>
      <c r="M22" s="94"/>
      <c r="N22" s="94">
        <v>0.70540000000000003</v>
      </c>
      <c r="O22" s="84">
        <v>24400</v>
      </c>
      <c r="P22" s="139">
        <v>0.497279867105484</v>
      </c>
      <c r="Q22" s="139">
        <v>0.36310977184799098</v>
      </c>
      <c r="R22" s="139">
        <v>0.43644893044060401</v>
      </c>
      <c r="S22" s="139">
        <v>0.37430335465041698</v>
      </c>
      <c r="T22" s="139">
        <v>0.49571216234709597</v>
      </c>
      <c r="U22" s="139"/>
      <c r="V22" s="139"/>
      <c r="W22" s="139"/>
      <c r="X22" s="139"/>
      <c r="Y22" s="139"/>
      <c r="Z22" s="139"/>
      <c r="AA22" s="139">
        <v>0.26584682578641899</v>
      </c>
      <c r="AB22" s="139">
        <v>0.30068251049101602</v>
      </c>
      <c r="AC22" s="139">
        <v>0.359052522768459</v>
      </c>
      <c r="AD22" s="139"/>
      <c r="AE22" s="139">
        <v>0.18511547193799999</v>
      </c>
      <c r="AF22" s="139"/>
      <c r="AG22" s="139"/>
      <c r="AH22" s="139"/>
      <c r="AI22" s="139"/>
      <c r="AJ22" s="139"/>
      <c r="AK22" s="139"/>
      <c r="AL22" s="139">
        <v>0.23687330710809701</v>
      </c>
      <c r="AM22" s="139">
        <v>0.336207717660992</v>
      </c>
      <c r="AN22" s="139">
        <v>0.20449854679093801</v>
      </c>
      <c r="AO22" s="139"/>
      <c r="AP22" s="139">
        <v>0.31917236571490498</v>
      </c>
      <c r="AQ22" s="139"/>
      <c r="AR22" s="139"/>
      <c r="AS22" s="139"/>
      <c r="AT22" s="139"/>
      <c r="AU22" s="139"/>
      <c r="AV22" s="139"/>
      <c r="AW22"/>
      <c r="AX22"/>
      <c r="AY22"/>
      <c r="AZ22"/>
      <c r="BA22"/>
      <c r="BB22"/>
      <c r="BC22"/>
      <c r="BD22"/>
      <c r="BE22"/>
      <c r="BF22"/>
      <c r="BG22"/>
      <c r="BH22"/>
      <c r="BI22"/>
      <c r="BJ22"/>
      <c r="BK22"/>
      <c r="BL22"/>
      <c r="BM22"/>
      <c r="BN22"/>
    </row>
    <row r="23" spans="1:66" x14ac:dyDescent="0.2">
      <c r="A23" s="85" t="s">
        <v>117</v>
      </c>
      <c r="B23" s="85" t="s">
        <v>133</v>
      </c>
      <c r="C23" s="141">
        <v>0.47539999999999999</v>
      </c>
      <c r="D23" s="85">
        <v>16700</v>
      </c>
      <c r="E23" s="94">
        <v>0.23380000000000001</v>
      </c>
      <c r="F23" s="85">
        <v>8200</v>
      </c>
      <c r="G23" s="94">
        <v>0.2908</v>
      </c>
      <c r="H23" s="85">
        <v>10200</v>
      </c>
      <c r="I23" s="94">
        <v>0.18559999999999999</v>
      </c>
      <c r="J23" s="94">
        <v>0.36059999999999998</v>
      </c>
      <c r="K23" s="94">
        <v>0.58709999999999996</v>
      </c>
      <c r="L23" s="94">
        <v>0.40279999999999999</v>
      </c>
      <c r="M23" s="94"/>
      <c r="N23" s="94">
        <v>0.70920000000000005</v>
      </c>
      <c r="O23" s="84">
        <v>24900</v>
      </c>
      <c r="P23" s="139">
        <v>0.59798529958871904</v>
      </c>
      <c r="Q23" s="139">
        <v>0.38205018144357</v>
      </c>
      <c r="R23" s="139">
        <v>0.27280505798058402</v>
      </c>
      <c r="S23" s="139">
        <v>0.49029902819974602</v>
      </c>
      <c r="T23" s="139">
        <v>0.63769932762892001</v>
      </c>
      <c r="U23" s="139"/>
      <c r="V23" s="139"/>
      <c r="W23" s="139"/>
      <c r="X23" s="139"/>
      <c r="Y23" s="139"/>
      <c r="Z23" s="139"/>
      <c r="AA23" s="139"/>
      <c r="AB23" s="139">
        <v>0.309380668689757</v>
      </c>
      <c r="AC23" s="139">
        <v>0.31064876090906801</v>
      </c>
      <c r="AD23" s="139"/>
      <c r="AE23" s="139">
        <v>0.165250484828913</v>
      </c>
      <c r="AF23" s="139"/>
      <c r="AG23" s="139"/>
      <c r="AH23" s="139"/>
      <c r="AI23" s="139"/>
      <c r="AJ23" s="139"/>
      <c r="AK23" s="139"/>
      <c r="AL23" s="139">
        <v>0.25743059098819199</v>
      </c>
      <c r="AM23" s="139">
        <v>0.308569149866671</v>
      </c>
      <c r="AN23" s="139">
        <v>0.41654618111034902</v>
      </c>
      <c r="AO23" s="139">
        <v>0.28158218638875998</v>
      </c>
      <c r="AP23" s="139">
        <v>0.19705018754216799</v>
      </c>
      <c r="AQ23" s="139"/>
      <c r="AR23" s="139"/>
      <c r="AS23" s="139"/>
      <c r="AT23" s="139"/>
      <c r="AU23" s="139"/>
      <c r="AV23" s="139"/>
      <c r="AW23"/>
      <c r="AX23"/>
      <c r="AY23"/>
      <c r="AZ23"/>
      <c r="BA23"/>
      <c r="BB23"/>
      <c r="BC23"/>
      <c r="BD23"/>
      <c r="BE23"/>
      <c r="BF23"/>
      <c r="BG23"/>
      <c r="BH23"/>
      <c r="BI23"/>
      <c r="BJ23"/>
      <c r="BK23"/>
      <c r="BL23"/>
      <c r="BM23"/>
      <c r="BN23"/>
    </row>
    <row r="24" spans="1:66" x14ac:dyDescent="0.2">
      <c r="A24" s="85" t="s">
        <v>118</v>
      </c>
      <c r="B24" s="85" t="s">
        <v>132</v>
      </c>
      <c r="C24" s="141">
        <v>0.39529999999999998</v>
      </c>
      <c r="D24" s="85">
        <v>15800</v>
      </c>
      <c r="E24" s="94">
        <v>0.2447</v>
      </c>
      <c r="F24" s="85">
        <v>9800</v>
      </c>
      <c r="G24" s="94">
        <v>0.36</v>
      </c>
      <c r="H24" s="85">
        <v>14400</v>
      </c>
      <c r="I24" s="94">
        <v>0.1762</v>
      </c>
      <c r="J24" s="94">
        <v>0.28970000000000001</v>
      </c>
      <c r="K24" s="94">
        <v>0.49969999999999998</v>
      </c>
      <c r="L24" s="94">
        <v>0.3639</v>
      </c>
      <c r="M24" s="94"/>
      <c r="N24" s="94">
        <v>0.64</v>
      </c>
      <c r="O24" s="84">
        <v>25600</v>
      </c>
      <c r="P24" s="139">
        <v>0.416866349492926</v>
      </c>
      <c r="Q24" s="139">
        <v>0.35293867790818301</v>
      </c>
      <c r="R24" s="139">
        <v>0.34740116624019202</v>
      </c>
      <c r="S24" s="139">
        <v>0.358522192469787</v>
      </c>
      <c r="T24" s="139">
        <v>0.55510559766718104</v>
      </c>
      <c r="U24" s="139"/>
      <c r="V24" s="139"/>
      <c r="W24" s="139"/>
      <c r="X24" s="139"/>
      <c r="Y24" s="139"/>
      <c r="Z24" s="139"/>
      <c r="AA24" s="139">
        <v>0.19540731871385</v>
      </c>
      <c r="AB24" s="139">
        <v>0.30208357310796302</v>
      </c>
      <c r="AC24" s="139">
        <v>0.22356622138500101</v>
      </c>
      <c r="AD24" s="139">
        <v>0.25281562944465003</v>
      </c>
      <c r="AE24" s="139">
        <v>0.25740301707178598</v>
      </c>
      <c r="AF24" s="139"/>
      <c r="AG24" s="139"/>
      <c r="AH24" s="139"/>
      <c r="AI24" s="139"/>
      <c r="AJ24" s="139"/>
      <c r="AK24" s="139"/>
      <c r="AL24" s="139">
        <v>0.38772633179322402</v>
      </c>
      <c r="AM24" s="139">
        <v>0.34497774898384798</v>
      </c>
      <c r="AN24" s="139">
        <v>0.429032612374807</v>
      </c>
      <c r="AO24" s="139"/>
      <c r="AP24" s="139">
        <v>0.18749138526103401</v>
      </c>
      <c r="AQ24" s="139"/>
      <c r="AR24" s="139"/>
      <c r="AS24" s="139"/>
      <c r="AT24" s="139"/>
      <c r="AU24" s="139"/>
      <c r="AV24" s="139"/>
      <c r="AW24"/>
      <c r="AX24"/>
      <c r="AY24"/>
      <c r="AZ24"/>
      <c r="BA24"/>
      <c r="BB24"/>
      <c r="BC24"/>
      <c r="BD24"/>
      <c r="BE24"/>
      <c r="BF24"/>
      <c r="BG24"/>
      <c r="BH24"/>
      <c r="BI24"/>
      <c r="BJ24"/>
      <c r="BK24"/>
      <c r="BL24"/>
      <c r="BM24"/>
      <c r="BN24"/>
    </row>
    <row r="25" spans="1:66" x14ac:dyDescent="0.2">
      <c r="A25" s="85" t="s">
        <v>118</v>
      </c>
      <c r="B25" s="85" t="s">
        <v>133</v>
      </c>
      <c r="C25" s="141">
        <v>0.4844</v>
      </c>
      <c r="D25" s="85">
        <v>19700</v>
      </c>
      <c r="E25" s="94">
        <v>0.19939999999999999</v>
      </c>
      <c r="F25" s="85">
        <v>8100</v>
      </c>
      <c r="G25" s="94">
        <v>0.31619999999999998</v>
      </c>
      <c r="H25" s="85">
        <v>12900</v>
      </c>
      <c r="I25" s="94">
        <v>0.20119999999999999</v>
      </c>
      <c r="J25" s="94">
        <v>0.36399999999999999</v>
      </c>
      <c r="K25" s="94">
        <v>0.59840000000000004</v>
      </c>
      <c r="L25" s="94">
        <v>0.40160000000000001</v>
      </c>
      <c r="M25" s="94"/>
      <c r="N25" s="94">
        <v>0.68379999999999996</v>
      </c>
      <c r="O25" s="84">
        <v>27800</v>
      </c>
      <c r="P25" s="139">
        <v>0.55280015628525103</v>
      </c>
      <c r="Q25" s="139">
        <v>0.40215093428570098</v>
      </c>
      <c r="R25" s="139">
        <v>0.51500461140798004</v>
      </c>
      <c r="S25" s="139">
        <v>0.45795754461823901</v>
      </c>
      <c r="T25" s="139">
        <v>0.52314119153648198</v>
      </c>
      <c r="U25" s="139"/>
      <c r="V25" s="139"/>
      <c r="W25" s="139"/>
      <c r="X25" s="139"/>
      <c r="Y25" s="139"/>
      <c r="Z25" s="139"/>
      <c r="AA25" s="139">
        <v>0.17123197312449501</v>
      </c>
      <c r="AB25" s="139">
        <v>0.237151589091079</v>
      </c>
      <c r="AC25" s="139">
        <v>0.16777125409517499</v>
      </c>
      <c r="AD25" s="139"/>
      <c r="AE25" s="139">
        <v>0.22858123688059101</v>
      </c>
      <c r="AF25" s="139"/>
      <c r="AG25" s="139"/>
      <c r="AH25" s="139"/>
      <c r="AI25" s="139"/>
      <c r="AJ25" s="139"/>
      <c r="AK25" s="139"/>
      <c r="AL25" s="139">
        <v>0.27596787059025402</v>
      </c>
      <c r="AM25" s="139">
        <v>0.36069747662322199</v>
      </c>
      <c r="AN25" s="139">
        <v>0.317224134496845</v>
      </c>
      <c r="AO25" s="139"/>
      <c r="AP25" s="139">
        <v>0.24827757158292801</v>
      </c>
      <c r="AQ25" s="139"/>
      <c r="AR25" s="139"/>
      <c r="AS25" s="139"/>
      <c r="AT25" s="139"/>
      <c r="AU25" s="139"/>
      <c r="AV25" s="139"/>
      <c r="AW25"/>
      <c r="AX25"/>
      <c r="AY25"/>
      <c r="AZ25"/>
      <c r="BA25"/>
      <c r="BB25"/>
      <c r="BC25"/>
      <c r="BD25"/>
      <c r="BE25"/>
      <c r="BF25"/>
      <c r="BG25"/>
      <c r="BH25"/>
      <c r="BI25"/>
      <c r="BJ25"/>
      <c r="BK25"/>
      <c r="BL25"/>
      <c r="BM25"/>
      <c r="BN25"/>
    </row>
  </sheetData>
  <sheetProtection selectLockedCells="1" autoFilter="0"/>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X11"/>
  <sheetViews>
    <sheetView topLeftCell="CK1" workbookViewId="0">
      <selection activeCell="CQ11" sqref="CQ11"/>
    </sheetView>
  </sheetViews>
  <sheetFormatPr defaultRowHeight="14.25" outlineLevelCol="1" x14ac:dyDescent="0.2"/>
  <cols>
    <col min="2" max="2" width="11.69921875" customWidth="1"/>
    <col min="3" max="3" width="23.5" customWidth="1"/>
    <col min="4" max="4" width="12.3984375" customWidth="1" outlineLevel="1"/>
    <col min="5" max="11" width="8.69921875" customWidth="1" outlineLevel="1"/>
    <col min="12" max="12" width="18.296875" customWidth="1" outlineLevel="1"/>
    <col min="13" max="13" width="21" customWidth="1" outlineLevel="1"/>
    <col min="14" max="14" width="12.796875" customWidth="1" outlineLevel="1"/>
    <col min="15" max="15" width="12.19921875" customWidth="1" outlineLevel="1"/>
    <col min="16" max="16" width="12.09765625" customWidth="1" outlineLevel="1"/>
    <col min="17" max="17" width="8.69921875" customWidth="1" outlineLevel="1"/>
    <col min="18" max="18" width="9.296875" customWidth="1" outlineLevel="1"/>
    <col min="19" max="19" width="8.69921875" customWidth="1" outlineLevel="1"/>
    <col min="20" max="20" width="17.69921875" customWidth="1" outlineLevel="1"/>
    <col min="21" max="22" width="29" customWidth="1" outlineLevel="1"/>
    <col min="23" max="23" width="28.5" customWidth="1" outlineLevel="1"/>
    <col min="24" max="24" width="26.296875" customWidth="1" outlineLevel="1"/>
    <col min="25" max="25" width="21.5" customWidth="1" outlineLevel="1"/>
    <col min="26" max="26" width="12.5" customWidth="1" outlineLevel="1"/>
    <col min="27" max="27" width="19" customWidth="1" outlineLevel="1"/>
    <col min="28" max="28" width="35.69921875" customWidth="1" outlineLevel="1"/>
    <col min="29" max="29" width="33.796875" customWidth="1" outlineLevel="1"/>
    <col min="30" max="30" width="21.296875" customWidth="1" outlineLevel="1"/>
    <col min="31" max="31" width="19.19921875" customWidth="1" outlineLevel="1"/>
    <col min="32" max="32" width="28.296875" customWidth="1"/>
    <col min="33" max="33" width="8.69921875" customWidth="1" outlineLevel="1"/>
    <col min="34" max="34" width="10.8984375" customWidth="1" outlineLevel="1"/>
    <col min="35" max="35" width="9.296875" customWidth="1" outlineLevel="1"/>
    <col min="36" max="41" width="8.69921875" customWidth="1" outlineLevel="1"/>
    <col min="42" max="42" width="20.09765625" customWidth="1" outlineLevel="1"/>
    <col min="43" max="43" width="22.69921875" customWidth="1" outlineLevel="1"/>
    <col min="44" max="44" width="14.59765625" customWidth="1" outlineLevel="1"/>
    <col min="45" max="45" width="14" customWidth="1" outlineLevel="1"/>
    <col min="46" max="46" width="13.796875" customWidth="1" outlineLevel="1"/>
    <col min="47" max="47" width="8.796875" customWidth="1" outlineLevel="1"/>
    <col min="48" max="48" width="11.09765625" customWidth="1" outlineLevel="1"/>
    <col min="49" max="49" width="9.296875" customWidth="1" outlineLevel="1"/>
    <col min="50" max="50" width="19.5" customWidth="1" outlineLevel="1"/>
    <col min="51" max="52" width="30.69921875" customWidth="1" outlineLevel="1"/>
    <col min="53" max="53" width="30.296875" customWidth="1" outlineLevel="1"/>
    <col min="54" max="54" width="28.09765625" customWidth="1" outlineLevel="1"/>
    <col min="55" max="55" width="23.296875" customWidth="1" outlineLevel="1"/>
    <col min="56" max="56" width="14.296875" customWidth="1" outlineLevel="1"/>
    <col min="57" max="57" width="20.69921875" customWidth="1" outlineLevel="1"/>
    <col min="58" max="58" width="37.5" customWidth="1" outlineLevel="1"/>
    <col min="59" max="59" width="35.59765625" customWidth="1" outlineLevel="1"/>
    <col min="60" max="60" width="23.09765625" customWidth="1" outlineLevel="1"/>
    <col min="61" max="61" width="21" customWidth="1" outlineLevel="1"/>
    <col min="62" max="62" width="24.796875" customWidth="1"/>
    <col min="63" max="63" width="8.69921875" customWidth="1" outlineLevel="1"/>
    <col min="64" max="64" width="10.69921875" customWidth="1" outlineLevel="1"/>
    <col min="65" max="65" width="10.19921875" customWidth="1" outlineLevel="1"/>
    <col min="66" max="71" width="8.69921875" customWidth="1" outlineLevel="1"/>
    <col min="72" max="72" width="20.09765625" customWidth="1" outlineLevel="1"/>
    <col min="73" max="73" width="22.69921875" customWidth="1" outlineLevel="1"/>
    <col min="74" max="74" width="14.59765625" customWidth="1" outlineLevel="1"/>
    <col min="75" max="75" width="14" customWidth="1" outlineLevel="1"/>
    <col min="76" max="76" width="13.796875" customWidth="1" outlineLevel="1"/>
    <col min="77" max="77" width="8.796875" customWidth="1" outlineLevel="1"/>
    <col min="78" max="78" width="11.09765625" customWidth="1" outlineLevel="1"/>
    <col min="79" max="79" width="9.296875" customWidth="1" outlineLevel="1"/>
    <col min="80" max="80" width="19.5" customWidth="1" outlineLevel="1"/>
    <col min="81" max="82" width="30.69921875" customWidth="1" outlineLevel="1"/>
    <col min="83" max="83" width="30.296875" customWidth="1" outlineLevel="1"/>
    <col min="84" max="84" width="28.09765625" customWidth="1" outlineLevel="1"/>
    <col min="85" max="85" width="23.296875" customWidth="1" outlineLevel="1"/>
    <col min="86" max="86" width="14.296875" customWidth="1" outlineLevel="1"/>
    <col min="87" max="87" width="20.69921875" customWidth="1" outlineLevel="1"/>
    <col min="88" max="88" width="37.5" customWidth="1" outlineLevel="1"/>
    <col min="89" max="89" width="35.59765625" customWidth="1" outlineLevel="1"/>
    <col min="90" max="90" width="23.09765625" customWidth="1" outlineLevel="1"/>
    <col min="91" max="91" width="21" customWidth="1" outlineLevel="1"/>
    <col min="94" max="94" width="11.19921875" customWidth="1"/>
  </cols>
  <sheetData>
    <row r="1" spans="1:102" x14ac:dyDescent="0.2">
      <c r="D1" s="229" t="s">
        <v>30</v>
      </c>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E1" s="229"/>
      <c r="AG1" s="229" t="s">
        <v>32</v>
      </c>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H1" s="229"/>
      <c r="BI1" s="229"/>
      <c r="BK1" s="229" t="s">
        <v>34</v>
      </c>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c r="CK1" s="229"/>
      <c r="CL1" s="229"/>
      <c r="CM1" s="229"/>
    </row>
    <row r="2" spans="1:102" x14ac:dyDescent="0.2">
      <c r="A2" s="2" t="s">
        <v>106</v>
      </c>
      <c r="B2" t="s">
        <v>0</v>
      </c>
      <c r="C2" t="s">
        <v>29</v>
      </c>
      <c r="D2"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2" t="s">
        <v>165</v>
      </c>
      <c r="CQ2" s="2" t="s">
        <v>102</v>
      </c>
      <c r="CR2" s="2" t="s">
        <v>103</v>
      </c>
      <c r="CS2" s="2" t="s">
        <v>104</v>
      </c>
      <c r="CT2" s="2" t="s">
        <v>105</v>
      </c>
      <c r="CU2" s="2" t="s">
        <v>207</v>
      </c>
      <c r="CV2" s="2" t="s">
        <v>208</v>
      </c>
      <c r="CW2" s="2" t="s">
        <v>209</v>
      </c>
      <c r="CX2" s="2" t="s">
        <v>301</v>
      </c>
    </row>
    <row r="3" spans="1:102" x14ac:dyDescent="0.2">
      <c r="A3" s="4" t="s">
        <v>107</v>
      </c>
      <c r="B3" s="4" t="s">
        <v>35</v>
      </c>
      <c r="C3" s="4">
        <v>0.62070000000000003</v>
      </c>
      <c r="D3" s="27">
        <v>27549400</v>
      </c>
      <c r="E3" s="4">
        <v>0.64510000000000001</v>
      </c>
      <c r="F3" s="4">
        <v>0.59909999999999997</v>
      </c>
      <c r="G3" s="4">
        <v>0.72219999999999995</v>
      </c>
      <c r="H3" s="4">
        <v>0.65700000000000003</v>
      </c>
      <c r="I3" s="4">
        <v>0.5696</v>
      </c>
      <c r="J3" s="4">
        <v>0.33379999999999999</v>
      </c>
      <c r="K3" s="4"/>
      <c r="L3" s="4"/>
      <c r="M3" s="4">
        <v>0.4365</v>
      </c>
      <c r="N3" s="4">
        <v>0.66710000000000003</v>
      </c>
      <c r="O3" s="4">
        <v>0.62809999999999999</v>
      </c>
      <c r="P3" s="4">
        <v>0.65810000000000002</v>
      </c>
      <c r="Q3" s="4">
        <v>0.55630000000000002</v>
      </c>
      <c r="R3" s="4">
        <v>0.5655</v>
      </c>
      <c r="S3" s="4">
        <v>0.5605</v>
      </c>
      <c r="T3" s="4">
        <v>0.70779999999999998</v>
      </c>
      <c r="U3" s="4">
        <v>0.56810000000000005</v>
      </c>
      <c r="V3" s="4">
        <v>0.71030000000000004</v>
      </c>
      <c r="W3" s="4">
        <v>0.6159</v>
      </c>
      <c r="X3" s="4">
        <v>0.54800000000000004</v>
      </c>
      <c r="Y3" s="4">
        <v>0.71730000000000005</v>
      </c>
      <c r="Z3" s="4"/>
      <c r="AA3" s="4"/>
      <c r="AB3" s="4"/>
      <c r="AC3" s="4"/>
      <c r="AD3" s="4"/>
      <c r="AE3" s="4"/>
      <c r="AF3" s="4"/>
      <c r="AG3" s="4">
        <v>0.1235</v>
      </c>
      <c r="AH3" s="27">
        <v>5482500</v>
      </c>
      <c r="AI3" s="4">
        <v>0.1129</v>
      </c>
      <c r="AJ3" s="4">
        <v>0.13370000000000001</v>
      </c>
      <c r="AK3" s="4">
        <v>0.10440000000000001</v>
      </c>
      <c r="AL3" s="4">
        <v>0.13</v>
      </c>
      <c r="AM3" s="4">
        <v>0.13619999999999999</v>
      </c>
      <c r="AN3" s="4">
        <v>0.13</v>
      </c>
      <c r="AO3" s="4"/>
      <c r="AP3" s="4"/>
      <c r="AQ3" s="4">
        <v>0.13059999999999999</v>
      </c>
      <c r="AR3" s="4">
        <v>0.123</v>
      </c>
      <c r="AS3" s="4">
        <v>0.1227</v>
      </c>
      <c r="AT3" s="4">
        <v>0.1124</v>
      </c>
      <c r="AU3" s="4">
        <v>0.1376</v>
      </c>
      <c r="AV3" s="4">
        <v>0.14760000000000001</v>
      </c>
      <c r="AW3" s="4">
        <v>0.13139999999999999</v>
      </c>
      <c r="AX3" s="4">
        <v>0.1031</v>
      </c>
      <c r="AY3" s="4">
        <v>0.1331</v>
      </c>
      <c r="AZ3" s="4">
        <v>0.1245</v>
      </c>
      <c r="BA3" s="4">
        <v>0.1384</v>
      </c>
      <c r="BB3" s="4">
        <v>0.12379999999999999</v>
      </c>
      <c r="BC3" s="4">
        <v>9.1999999999999998E-2</v>
      </c>
      <c r="BD3" s="4"/>
      <c r="BE3" s="4"/>
      <c r="BF3" s="4"/>
      <c r="BG3" s="4"/>
      <c r="BH3" s="4"/>
      <c r="BI3" s="4"/>
      <c r="BJ3" s="4"/>
      <c r="BK3" s="4">
        <v>0.25569999999999998</v>
      </c>
      <c r="BL3" s="27">
        <v>11349300</v>
      </c>
      <c r="BM3" s="4">
        <v>0.2419</v>
      </c>
      <c r="BN3" s="4">
        <v>0.26719999999999999</v>
      </c>
      <c r="BO3" s="4">
        <v>0.17349999999999999</v>
      </c>
      <c r="BP3" s="4">
        <v>0.21299999999999999</v>
      </c>
      <c r="BQ3" s="4">
        <v>0.29420000000000002</v>
      </c>
      <c r="BR3" s="4">
        <v>0.53620000000000001</v>
      </c>
      <c r="BS3" s="4"/>
      <c r="BT3" s="4"/>
      <c r="BU3" s="4">
        <v>0.433</v>
      </c>
      <c r="BV3" s="4">
        <v>0.2099</v>
      </c>
      <c r="BW3" s="4">
        <v>0.24929999999999999</v>
      </c>
      <c r="BX3" s="4">
        <v>0.22939999999999999</v>
      </c>
      <c r="BY3" s="4">
        <v>0.30609999999999998</v>
      </c>
      <c r="BZ3" s="4">
        <v>0.2868</v>
      </c>
      <c r="CA3" s="4">
        <v>0.30809999999999998</v>
      </c>
      <c r="CB3" s="4">
        <v>0.18909999999999999</v>
      </c>
      <c r="CC3" s="4">
        <v>0.2989</v>
      </c>
      <c r="CD3" s="4">
        <v>0.16520000000000001</v>
      </c>
      <c r="CE3" s="4">
        <v>0.2457</v>
      </c>
      <c r="CF3" s="4">
        <v>0.3281</v>
      </c>
      <c r="CG3" s="4">
        <v>0.19059999999999999</v>
      </c>
      <c r="CH3" s="4"/>
      <c r="CI3" s="4"/>
      <c r="CJ3" s="4"/>
      <c r="CK3" s="4"/>
      <c r="CL3" s="4"/>
      <c r="CM3" s="4"/>
      <c r="CN3" s="4"/>
      <c r="CO3" s="4">
        <f>England[[#This Row],[Active - Total Population]]+England[[#This Row],[Fairly Active - Total Population]]</f>
        <v>0.74419999999999997</v>
      </c>
      <c r="CP3" s="30">
        <f>England[[#This Row],[Active - Numbers]]+England[[#This Row],[Fairly Active - Numbers]]</f>
        <v>33031900</v>
      </c>
      <c r="CQ3" s="4">
        <f>England[[#This Row],[Male I]]-England[[#This Row],[Female I]]</f>
        <v>-2.5299999999999989E-2</v>
      </c>
      <c r="CR3" s="4">
        <f>England[[#This Row],[NS SEC 1-2: Higher social groups I]]-England[[#This Row],[NS SEC 6-8: Lower social groups I]]</f>
        <v>-0.16289999999999999</v>
      </c>
      <c r="CS3" s="4">
        <f>England[[#This Row],[No LT limiting disability I]]-England[[#This Row],[LT limiting disability I]]</f>
        <v>-0.22309999999999999</v>
      </c>
      <c r="CT3" s="4">
        <f>England[[#This Row],[16-34 I]]-England[[#This Row],[75+ I]]</f>
        <v>-0.36270000000000002</v>
      </c>
      <c r="CU3" s="64"/>
      <c r="CV3" s="64"/>
      <c r="CW3" s="64"/>
      <c r="CX3" s="64"/>
    </row>
    <row r="4" spans="1:102" x14ac:dyDescent="0.2">
      <c r="A4" s="4" t="s">
        <v>107</v>
      </c>
      <c r="B4" s="4" t="s">
        <v>36</v>
      </c>
      <c r="C4" s="4">
        <v>0.61980000000000002</v>
      </c>
      <c r="D4" s="27">
        <v>27102400</v>
      </c>
      <c r="E4" s="4">
        <v>0.64449999999999996</v>
      </c>
      <c r="F4" s="4">
        <v>0.59750000000000003</v>
      </c>
      <c r="G4" s="4">
        <v>0.71240000000000003</v>
      </c>
      <c r="H4" s="4">
        <v>0.65639999999999998</v>
      </c>
      <c r="I4" s="4">
        <v>0.57820000000000005</v>
      </c>
      <c r="J4" s="4"/>
      <c r="K4" s="4"/>
      <c r="L4" s="4"/>
      <c r="M4" s="4">
        <v>0.4385</v>
      </c>
      <c r="N4" s="4">
        <v>0.66569999999999996</v>
      </c>
      <c r="O4" s="4">
        <v>0.62880000000000003</v>
      </c>
      <c r="P4" s="4">
        <v>0.6532</v>
      </c>
      <c r="Q4" s="4">
        <v>0.54790000000000005</v>
      </c>
      <c r="R4" s="4">
        <v>0.56530000000000002</v>
      </c>
      <c r="S4" s="4">
        <v>0.56869999999999998</v>
      </c>
      <c r="T4" s="4">
        <v>0.71389999999999998</v>
      </c>
      <c r="U4" s="4">
        <v>0.56669999999999998</v>
      </c>
      <c r="V4" s="4">
        <v>0.71140000000000003</v>
      </c>
      <c r="W4" s="4">
        <v>0.61129999999999995</v>
      </c>
      <c r="X4" s="4">
        <v>0.54249999999999998</v>
      </c>
      <c r="Y4" s="4">
        <v>0.70189999999999997</v>
      </c>
      <c r="Z4" s="4"/>
      <c r="AA4" s="4"/>
      <c r="AB4" s="4"/>
      <c r="AC4" s="4"/>
      <c r="AD4" s="4"/>
      <c r="AE4" s="4"/>
      <c r="AF4" s="4"/>
      <c r="AG4" s="4">
        <v>0.1241</v>
      </c>
      <c r="AH4" s="27">
        <v>6179600</v>
      </c>
      <c r="AI4" s="4">
        <v>0.1128</v>
      </c>
      <c r="AJ4" s="4">
        <v>0.1351</v>
      </c>
      <c r="AK4" s="4">
        <v>0.1091</v>
      </c>
      <c r="AL4" s="4">
        <v>0.12889999999999999</v>
      </c>
      <c r="AM4" s="4">
        <v>0.1321</v>
      </c>
      <c r="AN4" s="4">
        <v>0.13489999999999999</v>
      </c>
      <c r="AO4" s="4"/>
      <c r="AP4" s="4"/>
      <c r="AQ4" s="4">
        <v>0.1283</v>
      </c>
      <c r="AR4" s="4">
        <v>0.124</v>
      </c>
      <c r="AS4" s="4">
        <v>0.1229</v>
      </c>
      <c r="AT4" s="4">
        <v>0.1193</v>
      </c>
      <c r="AU4" s="4">
        <v>0.14349999999999999</v>
      </c>
      <c r="AV4" s="4">
        <v>0.1389</v>
      </c>
      <c r="AW4" s="4">
        <v>0.12920000000000001</v>
      </c>
      <c r="AX4" s="4">
        <v>0.10580000000000001</v>
      </c>
      <c r="AY4" s="4">
        <v>0.1338</v>
      </c>
      <c r="AZ4" s="4">
        <v>0.1221</v>
      </c>
      <c r="BA4" s="4">
        <v>0.13800000000000001</v>
      </c>
      <c r="BB4" s="4">
        <v>0.1227</v>
      </c>
      <c r="BC4" s="4">
        <v>9.98E-2</v>
      </c>
      <c r="BD4" s="4"/>
      <c r="BE4" s="4"/>
      <c r="BF4" s="4"/>
      <c r="BG4" s="4"/>
      <c r="BH4" s="4"/>
      <c r="BI4" s="4"/>
      <c r="BJ4" s="4"/>
      <c r="BK4" s="4">
        <v>0.25609999999999999</v>
      </c>
      <c r="BL4" s="27">
        <v>11456900</v>
      </c>
      <c r="BM4" s="4">
        <v>0.2427</v>
      </c>
      <c r="BN4" s="4">
        <v>0.26740000000000003</v>
      </c>
      <c r="BO4" s="4">
        <v>0.17849999999999999</v>
      </c>
      <c r="BP4" s="4">
        <v>0.2147</v>
      </c>
      <c r="BQ4" s="4">
        <v>0.28970000000000001</v>
      </c>
      <c r="BR4" s="4">
        <v>0.52590000000000003</v>
      </c>
      <c r="BS4" s="4"/>
      <c r="BT4" s="4"/>
      <c r="BU4" s="4">
        <v>0.43319999999999997</v>
      </c>
      <c r="BV4" s="4">
        <v>0.21029999999999999</v>
      </c>
      <c r="BW4" s="4">
        <v>0.24829999999999999</v>
      </c>
      <c r="BX4" s="4">
        <v>0.22750000000000001</v>
      </c>
      <c r="BY4" s="4">
        <v>0.30859999999999999</v>
      </c>
      <c r="BZ4" s="4">
        <v>0.29580000000000001</v>
      </c>
      <c r="CA4" s="4">
        <v>0.30209999999999998</v>
      </c>
      <c r="CB4" s="4">
        <v>0.18029999999999999</v>
      </c>
      <c r="CC4" s="4">
        <v>0.2994</v>
      </c>
      <c r="CD4" s="4">
        <v>0.16650000000000001</v>
      </c>
      <c r="CE4" s="4">
        <v>0.25069999999999998</v>
      </c>
      <c r="CF4" s="4">
        <v>0.33479999999999999</v>
      </c>
      <c r="CG4" s="4">
        <v>0.1983</v>
      </c>
      <c r="CH4" s="4"/>
      <c r="CI4" s="4"/>
      <c r="CJ4" s="4"/>
      <c r="CK4" s="4"/>
      <c r="CL4" s="4"/>
      <c r="CM4" s="4"/>
      <c r="CN4" s="4"/>
      <c r="CO4" s="4">
        <f>England[[#This Row],[Active - Total Population]]+England[[#This Row],[Fairly Active - Total Population]]</f>
        <v>0.74390000000000001</v>
      </c>
      <c r="CP4" s="30">
        <f>England[[#This Row],[Active - Numbers]]+England[[#This Row],[Fairly Active - Numbers]]</f>
        <v>33282000</v>
      </c>
      <c r="CQ4" s="4">
        <f>England[[#This Row],[Male I]]-England[[#This Row],[Female I]]</f>
        <v>-2.4700000000000027E-2</v>
      </c>
      <c r="CR4" s="4">
        <f>England[[#This Row],[NS SEC 1-2: Higher social groups I]]-England[[#This Row],[NS SEC 6-8: Lower social groups I]]</f>
        <v>-0.16829999999999998</v>
      </c>
      <c r="CS4" s="4">
        <f>England[[#This Row],[No LT limiting disability I]]-England[[#This Row],[LT limiting disability I]]</f>
        <v>-0.22289999999999999</v>
      </c>
      <c r="CT4" s="4">
        <f>England[[#This Row],[16-34 I]]-England[[#This Row],[75+ I]]</f>
        <v>-0.34740000000000004</v>
      </c>
      <c r="CU4" s="64"/>
      <c r="CV4" s="64"/>
      <c r="CW4" s="64"/>
      <c r="CX4" s="150">
        <v>0.14899999999999999</v>
      </c>
    </row>
    <row r="5" spans="1:102" x14ac:dyDescent="0.2">
      <c r="A5" s="4" t="s">
        <v>107</v>
      </c>
      <c r="B5" s="4" t="s">
        <v>37</v>
      </c>
      <c r="C5" s="4">
        <v>0.61819999999999997</v>
      </c>
      <c r="D5" s="27">
        <v>27658700</v>
      </c>
      <c r="E5" s="4">
        <v>0.64180000000000004</v>
      </c>
      <c r="F5" s="4">
        <v>0.59650000000000003</v>
      </c>
      <c r="G5" s="4">
        <v>0.70620000000000005</v>
      </c>
      <c r="H5" s="4">
        <v>0.65580000000000005</v>
      </c>
      <c r="I5" s="4">
        <v>0.58279999999999998</v>
      </c>
      <c r="J5" s="4">
        <v>0.33550000000000002</v>
      </c>
      <c r="K5" s="4"/>
      <c r="L5" s="4"/>
      <c r="M5" s="4">
        <v>0.43619999999999998</v>
      </c>
      <c r="N5" s="4">
        <v>0.66390000000000005</v>
      </c>
      <c r="O5" s="4">
        <v>0.62880000000000003</v>
      </c>
      <c r="P5" s="4">
        <v>0.65269999999999995</v>
      </c>
      <c r="Q5" s="4">
        <v>0.5403</v>
      </c>
      <c r="R5" s="4">
        <v>0.55449999999999999</v>
      </c>
      <c r="S5" s="4">
        <v>0.56259999999999999</v>
      </c>
      <c r="T5" s="4">
        <v>0.71279999999999999</v>
      </c>
      <c r="U5" s="4">
        <v>0.56589999999999996</v>
      </c>
      <c r="V5" s="4">
        <v>0.71030000000000004</v>
      </c>
      <c r="W5" s="4">
        <v>0.61380000000000001</v>
      </c>
      <c r="X5" s="4">
        <v>0.53990000000000005</v>
      </c>
      <c r="Y5" s="4">
        <v>0.69940000000000002</v>
      </c>
      <c r="Z5" s="4"/>
      <c r="AA5" s="4"/>
      <c r="AB5" s="4"/>
      <c r="AC5" s="4"/>
      <c r="AD5" s="4"/>
      <c r="AE5" s="4"/>
      <c r="AF5" s="4"/>
      <c r="AG5" s="4">
        <v>0.12509999999999999</v>
      </c>
      <c r="AH5" s="27">
        <v>5595000</v>
      </c>
      <c r="AI5" s="4">
        <v>0.1144</v>
      </c>
      <c r="AJ5" s="4">
        <v>0.1353</v>
      </c>
      <c r="AK5" s="4">
        <v>0.10979999999999999</v>
      </c>
      <c r="AL5" s="4">
        <v>0.129</v>
      </c>
      <c r="AM5" s="4">
        <v>0.13400000000000001</v>
      </c>
      <c r="AN5" s="4">
        <v>0.13869999999999999</v>
      </c>
      <c r="AO5" s="4"/>
      <c r="AP5" s="4"/>
      <c r="AQ5" s="4">
        <v>0.12989999999999999</v>
      </c>
      <c r="AR5" s="4">
        <v>0.1245</v>
      </c>
      <c r="AS5" s="4">
        <v>0.12379999999999999</v>
      </c>
      <c r="AT5" s="4">
        <v>0.11409999999999999</v>
      </c>
      <c r="AU5" s="4">
        <v>0.14119999999999999</v>
      </c>
      <c r="AV5" s="4">
        <v>0.1444</v>
      </c>
      <c r="AW5" s="4">
        <v>0.13800000000000001</v>
      </c>
      <c r="AX5" s="4">
        <v>0.1079</v>
      </c>
      <c r="AY5" s="4">
        <v>0.1318</v>
      </c>
      <c r="AZ5" s="4">
        <v>0.1217</v>
      </c>
      <c r="BA5" s="4">
        <v>0.13850000000000001</v>
      </c>
      <c r="BB5" s="4">
        <v>0.12609999999999999</v>
      </c>
      <c r="BC5" s="4">
        <v>9.7799999999999998E-2</v>
      </c>
      <c r="BD5" s="4"/>
      <c r="BE5" s="4"/>
      <c r="BF5" s="4"/>
      <c r="BG5" s="4"/>
      <c r="BH5" s="4"/>
      <c r="BI5" s="4"/>
      <c r="BJ5" s="4"/>
      <c r="BK5" s="4">
        <v>0.25669999999999998</v>
      </c>
      <c r="BL5" s="27">
        <v>11485300</v>
      </c>
      <c r="BM5" s="4">
        <v>0.24379999999999999</v>
      </c>
      <c r="BN5" s="4">
        <v>0.2681</v>
      </c>
      <c r="BO5" s="4">
        <v>0.184</v>
      </c>
      <c r="BP5" s="4">
        <v>0.21529999999999999</v>
      </c>
      <c r="BQ5" s="4">
        <v>0.28320000000000001</v>
      </c>
      <c r="BR5" s="4">
        <v>0.52580000000000005</v>
      </c>
      <c r="BS5" s="4"/>
      <c r="BT5" s="4"/>
      <c r="BU5" s="4">
        <v>0.434</v>
      </c>
      <c r="BV5" s="4">
        <v>0.21160000000000001</v>
      </c>
      <c r="BW5" s="4">
        <v>0.24740000000000001</v>
      </c>
      <c r="BX5" s="4">
        <v>0.23319999999999999</v>
      </c>
      <c r="BY5" s="4">
        <v>0.31850000000000001</v>
      </c>
      <c r="BZ5" s="4">
        <v>0.30109999999999998</v>
      </c>
      <c r="CA5" s="4">
        <v>0.29949999999999999</v>
      </c>
      <c r="CB5" s="4">
        <v>0.17929999999999999</v>
      </c>
      <c r="CC5" s="4">
        <v>0.30230000000000001</v>
      </c>
      <c r="CD5" s="4">
        <v>0.16800000000000001</v>
      </c>
      <c r="CE5" s="4">
        <v>0.24779999999999999</v>
      </c>
      <c r="CF5" s="4">
        <v>0.33400000000000002</v>
      </c>
      <c r="CG5" s="4">
        <v>0.2029</v>
      </c>
      <c r="CH5" s="4"/>
      <c r="CI5" s="4"/>
      <c r="CJ5" s="4"/>
      <c r="CK5" s="4"/>
      <c r="CL5" s="4"/>
      <c r="CM5" s="4"/>
      <c r="CN5" s="4"/>
      <c r="CO5" s="4">
        <f>England[[#This Row],[Active - Total Population]]+England[[#This Row],[Fairly Active - Total Population]]</f>
        <v>0.74329999999999996</v>
      </c>
      <c r="CP5" s="30">
        <f>England[[#This Row],[Active - Numbers]]+England[[#This Row],[Fairly Active - Numbers]]</f>
        <v>33253700</v>
      </c>
      <c r="CQ5" s="4">
        <f>England[[#This Row],[Male I]]-England[[#This Row],[Female I]]</f>
        <v>-2.4300000000000016E-2</v>
      </c>
      <c r="CR5" s="4">
        <f>England[[#This Row],[NS SEC 1-2: Higher social groups I]]-England[[#This Row],[NS SEC 6-8: Lower social groups I]]</f>
        <v>-0.16600000000000001</v>
      </c>
      <c r="CS5" s="4">
        <f>England[[#This Row],[No LT limiting disability I]]-England[[#This Row],[LT limiting disability I]]</f>
        <v>-0.22239999999999999</v>
      </c>
      <c r="CT5" s="4">
        <f>England[[#This Row],[16-34 I]]-England[[#This Row],[75+ I]]</f>
        <v>-0.34180000000000005</v>
      </c>
      <c r="CU5" s="64"/>
      <c r="CV5" s="64"/>
      <c r="CW5" s="64"/>
      <c r="CX5" s="151">
        <v>0.14749999999999999</v>
      </c>
    </row>
    <row r="6" spans="1:102" x14ac:dyDescent="0.2">
      <c r="A6" s="4" t="s">
        <v>107</v>
      </c>
      <c r="B6" s="4" t="s">
        <v>38</v>
      </c>
      <c r="C6" s="4">
        <v>0.623</v>
      </c>
      <c r="D6" s="27">
        <v>28025600</v>
      </c>
      <c r="E6" s="4">
        <v>0.64539999999999997</v>
      </c>
      <c r="F6" s="4">
        <v>0.6028</v>
      </c>
      <c r="G6" s="4">
        <v>0.71340000000000003</v>
      </c>
      <c r="H6" s="4">
        <v>0.65720000000000001</v>
      </c>
      <c r="I6" s="4">
        <v>0.58909999999999996</v>
      </c>
      <c r="J6" s="4">
        <v>0.3453</v>
      </c>
      <c r="K6" s="4"/>
      <c r="L6" s="4"/>
      <c r="M6" s="4">
        <v>0.44030000000000002</v>
      </c>
      <c r="N6" s="4">
        <v>0.67049999999999998</v>
      </c>
      <c r="O6" s="4">
        <v>0.63339999999999996</v>
      </c>
      <c r="P6" s="4">
        <v>0.65649999999999997</v>
      </c>
      <c r="Q6" s="4">
        <v>0.54810000000000003</v>
      </c>
      <c r="R6" s="4">
        <v>0.56520000000000004</v>
      </c>
      <c r="S6" s="4">
        <v>0.60189999999999999</v>
      </c>
      <c r="T6" s="4">
        <v>0.71389999999999998</v>
      </c>
      <c r="U6" s="4">
        <v>0.57030000000000003</v>
      </c>
      <c r="V6" s="4">
        <v>0.71409999999999996</v>
      </c>
      <c r="W6" s="4">
        <v>0.62180000000000002</v>
      </c>
      <c r="X6" s="4">
        <v>0.54190000000000005</v>
      </c>
      <c r="Y6" s="4">
        <v>0.69930000000000003</v>
      </c>
      <c r="Z6" s="4"/>
      <c r="AA6" s="4"/>
      <c r="AB6" s="4"/>
      <c r="AC6" s="4"/>
      <c r="AD6" s="4"/>
      <c r="AE6" s="4"/>
      <c r="AF6" s="4"/>
      <c r="AG6" s="4">
        <v>0.12479999999999999</v>
      </c>
      <c r="AH6" s="27">
        <v>5615400</v>
      </c>
      <c r="AI6" s="4">
        <v>0.1164</v>
      </c>
      <c r="AJ6" s="4">
        <v>0.13289999999999999</v>
      </c>
      <c r="AK6" s="4">
        <v>0.1075</v>
      </c>
      <c r="AL6" s="4">
        <v>0.12970000000000001</v>
      </c>
      <c r="AM6" s="4">
        <v>0.1356</v>
      </c>
      <c r="AN6" s="4">
        <v>0.13739999999999999</v>
      </c>
      <c r="AO6" s="4"/>
      <c r="AP6" s="4"/>
      <c r="AQ6" s="4">
        <v>0.13619999999999999</v>
      </c>
      <c r="AR6" s="4">
        <v>0.1227</v>
      </c>
      <c r="AS6" s="4">
        <v>0.12429999999999999</v>
      </c>
      <c r="AT6" s="4">
        <v>0.1118</v>
      </c>
      <c r="AU6" s="4">
        <v>0.13830000000000001</v>
      </c>
      <c r="AV6" s="4">
        <v>0.14419999999999999</v>
      </c>
      <c r="AW6" s="4">
        <v>0.13400000000000001</v>
      </c>
      <c r="AX6" s="4">
        <v>0.10539999999999999</v>
      </c>
      <c r="AY6" s="4">
        <v>0.12870000000000001</v>
      </c>
      <c r="AZ6" s="4">
        <v>0.12230000000000001</v>
      </c>
      <c r="BA6" s="4">
        <v>0.13600000000000001</v>
      </c>
      <c r="BB6" s="4">
        <v>0.1313</v>
      </c>
      <c r="BC6" s="4">
        <v>9.2899999999999996E-2</v>
      </c>
      <c r="BD6" s="4"/>
      <c r="BE6" s="4"/>
      <c r="BF6" s="4"/>
      <c r="BG6" s="4"/>
      <c r="BH6" s="4"/>
      <c r="BI6" s="4"/>
      <c r="BJ6" s="4"/>
      <c r="BK6" s="4">
        <v>0.25209999999999999</v>
      </c>
      <c r="BL6" s="27">
        <v>11340500</v>
      </c>
      <c r="BM6" s="4">
        <v>0.2382</v>
      </c>
      <c r="BN6" s="4">
        <v>0.26429999999999998</v>
      </c>
      <c r="BO6" s="4">
        <v>0.17910000000000001</v>
      </c>
      <c r="BP6" s="4">
        <v>0.2132</v>
      </c>
      <c r="BQ6" s="4">
        <v>0.27529999999999999</v>
      </c>
      <c r="BR6" s="4">
        <v>0.51739999999999997</v>
      </c>
      <c r="BS6" s="4"/>
      <c r="BT6" s="4"/>
      <c r="BU6" s="4">
        <v>0.42359999999999998</v>
      </c>
      <c r="BV6" s="4">
        <v>0.20680000000000001</v>
      </c>
      <c r="BW6" s="4">
        <v>0.24229999999999999</v>
      </c>
      <c r="BX6" s="4">
        <v>0.2316</v>
      </c>
      <c r="BY6" s="4">
        <v>0.3135</v>
      </c>
      <c r="BZ6" s="4">
        <v>0.29060000000000002</v>
      </c>
      <c r="CA6" s="4">
        <v>0.2641</v>
      </c>
      <c r="CB6" s="4">
        <v>0.1807</v>
      </c>
      <c r="CC6" s="4">
        <v>0.30109999999999998</v>
      </c>
      <c r="CD6" s="4">
        <v>0.16350000000000001</v>
      </c>
      <c r="CE6" s="4">
        <v>0.2422</v>
      </c>
      <c r="CF6" s="4">
        <v>0.32679999999999998</v>
      </c>
      <c r="CG6" s="4">
        <v>0.20780000000000001</v>
      </c>
      <c r="CH6" s="4"/>
      <c r="CI6" s="4"/>
      <c r="CJ6" s="4"/>
      <c r="CK6" s="4"/>
      <c r="CL6" s="4"/>
      <c r="CM6" s="4"/>
      <c r="CN6" s="4"/>
      <c r="CO6" s="4">
        <f>England[[#This Row],[Active - Total Population]]+England[[#This Row],[Fairly Active - Total Population]]</f>
        <v>0.74780000000000002</v>
      </c>
      <c r="CP6" s="30">
        <f>England[[#This Row],[Active - Numbers]]+England[[#This Row],[Fairly Active - Numbers]]</f>
        <v>33641000</v>
      </c>
      <c r="CQ6" s="4">
        <f>England[[#This Row],[Male I]]-England[[#This Row],[Female I]]</f>
        <v>-2.6099999999999984E-2</v>
      </c>
      <c r="CR6" s="4">
        <f>England[[#This Row],[NS SEC 1-2: Higher social groups I]]-England[[#This Row],[NS SEC 6-8: Lower social groups I]]</f>
        <v>-0.16329999999999997</v>
      </c>
      <c r="CS6" s="4">
        <f>England[[#This Row],[No LT limiting disability I]]-England[[#This Row],[LT limiting disability I]]</f>
        <v>-0.21679999999999996</v>
      </c>
      <c r="CT6" s="4">
        <f>England[[#This Row],[16-34 I]]-England[[#This Row],[75+ I]]</f>
        <v>-0.33829999999999993</v>
      </c>
      <c r="CU6" s="64"/>
      <c r="CV6" s="64"/>
      <c r="CW6" s="64"/>
      <c r="CX6" s="152">
        <v>0.13930000000000001</v>
      </c>
    </row>
    <row r="7" spans="1:102" x14ac:dyDescent="0.2">
      <c r="A7" s="4" t="s">
        <v>107</v>
      </c>
      <c r="B7" s="4" t="s">
        <v>39</v>
      </c>
      <c r="C7" s="4">
        <v>0.62719999999999998</v>
      </c>
      <c r="D7" s="27">
        <v>28210400</v>
      </c>
      <c r="E7" s="4">
        <v>0.64839999999999998</v>
      </c>
      <c r="F7" s="4">
        <v>0.60809999999999997</v>
      </c>
      <c r="G7" s="4">
        <v>0.71909999999999996</v>
      </c>
      <c r="H7" s="4">
        <v>0.66090000000000004</v>
      </c>
      <c r="I7" s="4">
        <v>0.59179999999999999</v>
      </c>
      <c r="J7" s="4">
        <v>0.35360000000000003</v>
      </c>
      <c r="K7" s="4"/>
      <c r="L7" s="4"/>
      <c r="M7" s="4">
        <v>0.44829999999999998</v>
      </c>
      <c r="N7" s="4">
        <v>0.67559999999999998</v>
      </c>
      <c r="O7" s="4">
        <v>0.63590000000000002</v>
      </c>
      <c r="P7" s="4">
        <v>0.66759999999999997</v>
      </c>
      <c r="Q7" s="4">
        <v>0.56310000000000004</v>
      </c>
      <c r="R7" s="4">
        <v>0.56559999999999999</v>
      </c>
      <c r="S7" s="4">
        <v>0.64410000000000001</v>
      </c>
      <c r="T7" s="4">
        <v>0.72270000000000001</v>
      </c>
      <c r="U7" s="4">
        <v>0.56420000000000003</v>
      </c>
      <c r="V7" s="4">
        <v>0.71689999999999998</v>
      </c>
      <c r="W7" s="4">
        <v>0.62819999999999998</v>
      </c>
      <c r="X7" s="4">
        <v>0.54120000000000001</v>
      </c>
      <c r="Y7" s="4">
        <v>0.7087</v>
      </c>
      <c r="Z7" s="4"/>
      <c r="AA7" s="4"/>
      <c r="AB7" s="4"/>
      <c r="AC7" s="4"/>
      <c r="AD7" s="4"/>
      <c r="AE7" s="4"/>
      <c r="AF7" s="4"/>
      <c r="AG7" s="4">
        <v>0.1221</v>
      </c>
      <c r="AH7" s="27">
        <v>5494300</v>
      </c>
      <c r="AI7" s="4">
        <v>0.11260000000000001</v>
      </c>
      <c r="AJ7" s="4">
        <v>0.13139999999999999</v>
      </c>
      <c r="AK7" s="4">
        <v>0.10539999999999999</v>
      </c>
      <c r="AL7" s="4">
        <v>0.12690000000000001</v>
      </c>
      <c r="AM7" s="4">
        <v>0.13289999999999999</v>
      </c>
      <c r="AN7" s="4">
        <v>0.13059999999999999</v>
      </c>
      <c r="AO7" s="4"/>
      <c r="AP7" s="4"/>
      <c r="AQ7" s="4">
        <v>0.1318</v>
      </c>
      <c r="AR7" s="4">
        <v>0.1198</v>
      </c>
      <c r="AS7" s="4">
        <v>0.1217</v>
      </c>
      <c r="AT7" s="4">
        <v>0.1114</v>
      </c>
      <c r="AU7" s="4">
        <v>0.1363</v>
      </c>
      <c r="AV7" s="4">
        <v>0.15079999999999999</v>
      </c>
      <c r="AW7" s="4">
        <v>0.12740000000000001</v>
      </c>
      <c r="AX7" s="4">
        <v>9.06E-2</v>
      </c>
      <c r="AY7" s="4">
        <v>0.1303</v>
      </c>
      <c r="AZ7" s="4">
        <v>0.12180000000000001</v>
      </c>
      <c r="BA7" s="4">
        <v>0.1313</v>
      </c>
      <c r="BB7" s="4">
        <v>0.12709999999999999</v>
      </c>
      <c r="BC7" s="4">
        <v>9.3600000000000003E-2</v>
      </c>
      <c r="BD7" s="4"/>
      <c r="BE7" s="4"/>
      <c r="BF7" s="4"/>
      <c r="BG7" s="4"/>
      <c r="BH7" s="4"/>
      <c r="BI7" s="4"/>
      <c r="BJ7" s="4"/>
      <c r="BK7" s="4">
        <v>0.25069999999999998</v>
      </c>
      <c r="BL7" s="27">
        <v>11276800</v>
      </c>
      <c r="BM7" s="4">
        <v>0.23899999999999999</v>
      </c>
      <c r="BN7" s="4">
        <v>0.26050000000000001</v>
      </c>
      <c r="BO7" s="4">
        <v>0.17549999999999999</v>
      </c>
      <c r="BP7" s="4">
        <v>0.21210000000000001</v>
      </c>
      <c r="BQ7" s="4">
        <v>0.27529999999999999</v>
      </c>
      <c r="BR7" s="4">
        <v>0.51580000000000004</v>
      </c>
      <c r="BS7" s="4"/>
      <c r="BT7" s="4"/>
      <c r="BU7" s="4">
        <v>0.42</v>
      </c>
      <c r="BV7" s="4">
        <v>0.2046</v>
      </c>
      <c r="BW7" s="4">
        <v>0.24229999999999999</v>
      </c>
      <c r="BX7" s="4">
        <v>0.221</v>
      </c>
      <c r="BY7" s="4">
        <v>0.30059999999999998</v>
      </c>
      <c r="BZ7" s="4">
        <v>0.28360000000000002</v>
      </c>
      <c r="CA7" s="4">
        <v>0.22850000000000001</v>
      </c>
      <c r="CB7" s="4">
        <v>0.1867</v>
      </c>
      <c r="CC7" s="4">
        <v>0.3054</v>
      </c>
      <c r="CD7" s="4">
        <v>0.1613</v>
      </c>
      <c r="CE7" s="4">
        <v>0.24049999999999999</v>
      </c>
      <c r="CF7" s="4">
        <v>0.33169999999999999</v>
      </c>
      <c r="CG7" s="4">
        <v>0.19769999999999999</v>
      </c>
      <c r="CH7" s="4"/>
      <c r="CI7" s="4"/>
      <c r="CJ7" s="4"/>
      <c r="CK7" s="4"/>
      <c r="CL7" s="4"/>
      <c r="CM7" s="4"/>
      <c r="CN7" s="4"/>
      <c r="CO7" s="4">
        <f>England[[#This Row],[Active - Total Population]]+England[[#This Row],[Fairly Active - Total Population]]</f>
        <v>0.74929999999999997</v>
      </c>
      <c r="CP7" s="30">
        <f>England[[#This Row],[Active - Numbers]]+England[[#This Row],[Fairly Active - Numbers]]</f>
        <v>33704700</v>
      </c>
      <c r="CQ7" s="4">
        <f>England[[#This Row],[Male I]]-England[[#This Row],[Female I]]</f>
        <v>-2.1500000000000019E-2</v>
      </c>
      <c r="CR7" s="4">
        <f>England[[#This Row],[NS SEC 1-2: Higher social groups I]]-England[[#This Row],[NS SEC 6-8: Lower social groups I]]</f>
        <v>-0.1704</v>
      </c>
      <c r="CS7" s="4">
        <f>England[[#This Row],[No LT limiting disability I]]-England[[#This Row],[LT limiting disability I]]</f>
        <v>-0.21539999999999998</v>
      </c>
      <c r="CT7" s="4">
        <f>England[[#This Row],[16-34 I]]-England[[#This Row],[75+ I]]</f>
        <v>-0.34030000000000005</v>
      </c>
      <c r="CU7" s="64"/>
      <c r="CV7" s="64"/>
      <c r="CW7" s="64"/>
      <c r="CX7" s="150">
        <v>0.1386</v>
      </c>
    </row>
    <row r="8" spans="1:102" x14ac:dyDescent="0.2">
      <c r="A8" s="4" t="s">
        <v>107</v>
      </c>
      <c r="B8" s="4" t="s">
        <v>40</v>
      </c>
      <c r="C8" s="4">
        <v>0.63160000000000005</v>
      </c>
      <c r="D8" s="27">
        <v>28565100</v>
      </c>
      <c r="E8" s="4">
        <v>0.65449999999999997</v>
      </c>
      <c r="F8" s="4">
        <v>0.61150000000000004</v>
      </c>
      <c r="G8" s="4">
        <v>0.71150000000000002</v>
      </c>
      <c r="H8" s="4">
        <v>0.66300000000000003</v>
      </c>
      <c r="I8" s="4">
        <v>0.60340000000000005</v>
      </c>
      <c r="J8" s="4">
        <v>0.38119999999999998</v>
      </c>
      <c r="K8" s="4"/>
      <c r="L8" s="4"/>
      <c r="M8" s="4">
        <v>0.46079999999999999</v>
      </c>
      <c r="N8" s="4">
        <v>0.67710000000000004</v>
      </c>
      <c r="O8" s="4">
        <v>0.64159999999999995</v>
      </c>
      <c r="P8" s="4">
        <v>0.65869999999999995</v>
      </c>
      <c r="Q8" s="4">
        <v>0.55800000000000005</v>
      </c>
      <c r="R8" s="4">
        <v>0.56910000000000005</v>
      </c>
      <c r="S8" s="4">
        <v>0.64219999999999999</v>
      </c>
      <c r="T8" s="4">
        <v>0.70930000000000004</v>
      </c>
      <c r="U8" s="4">
        <v>0.58940000000000003</v>
      </c>
      <c r="V8" s="4">
        <v>0.71930000000000005</v>
      </c>
      <c r="W8" s="4">
        <v>0.62919999999999998</v>
      </c>
      <c r="X8" s="4">
        <v>0.54190000000000005</v>
      </c>
      <c r="Y8" s="4">
        <v>0.70920000000000005</v>
      </c>
      <c r="Z8" s="4"/>
      <c r="AA8" s="4"/>
      <c r="AB8" s="4"/>
      <c r="AC8" s="4"/>
      <c r="AD8" s="4"/>
      <c r="AE8" s="4"/>
      <c r="AF8" s="4"/>
      <c r="AG8" s="4">
        <v>0.12039999999999999</v>
      </c>
      <c r="AH8" s="27">
        <v>5446000</v>
      </c>
      <c r="AI8" s="4">
        <v>0.1089</v>
      </c>
      <c r="AJ8" s="4">
        <v>0.1313</v>
      </c>
      <c r="AK8" s="4">
        <v>0.10630000000000001</v>
      </c>
      <c r="AL8" s="4">
        <v>0.12609999999999999</v>
      </c>
      <c r="AM8" s="4">
        <v>0.12820000000000001</v>
      </c>
      <c r="AN8" s="4">
        <v>0.1242</v>
      </c>
      <c r="AO8" s="4"/>
      <c r="AP8" s="4"/>
      <c r="AQ8" s="4">
        <v>0.12939999999999999</v>
      </c>
      <c r="AR8" s="4">
        <v>0.1181</v>
      </c>
      <c r="AS8" s="4">
        <v>0.1201</v>
      </c>
      <c r="AT8" s="4">
        <v>0.11260000000000001</v>
      </c>
      <c r="AU8" s="4">
        <v>0.12790000000000001</v>
      </c>
      <c r="AV8" s="4">
        <v>0.14369999999999999</v>
      </c>
      <c r="AW8" s="4">
        <v>0.1105</v>
      </c>
      <c r="AX8" s="4">
        <v>0.10059999999999999</v>
      </c>
      <c r="AY8" s="4">
        <v>0.14069999999999999</v>
      </c>
      <c r="AZ8" s="4">
        <v>0.1183</v>
      </c>
      <c r="BA8" s="4">
        <v>0.12920000000000001</v>
      </c>
      <c r="BB8" s="4">
        <v>0.1278</v>
      </c>
      <c r="BC8" s="4">
        <v>9.7699999999999995E-2</v>
      </c>
      <c r="BD8" s="4"/>
      <c r="BE8" s="4"/>
      <c r="BF8" s="4"/>
      <c r="BG8" s="4"/>
      <c r="BH8" s="4"/>
      <c r="BI8" s="4"/>
      <c r="BJ8" s="4"/>
      <c r="BK8" s="4">
        <v>0.248</v>
      </c>
      <c r="BL8" s="27">
        <v>11217600</v>
      </c>
      <c r="BM8" s="4">
        <v>0.23649999999999999</v>
      </c>
      <c r="BN8" s="4">
        <v>0.2571</v>
      </c>
      <c r="BO8" s="4">
        <v>0.1822</v>
      </c>
      <c r="BP8" s="4">
        <v>0.2109</v>
      </c>
      <c r="BQ8" s="4">
        <v>0.26850000000000002</v>
      </c>
      <c r="BR8" s="4">
        <v>0.49459999999999998</v>
      </c>
      <c r="BS8" s="4"/>
      <c r="BT8" s="4"/>
      <c r="BU8" s="4">
        <v>0.4098</v>
      </c>
      <c r="BV8" s="4">
        <v>0.20480000000000001</v>
      </c>
      <c r="BW8" s="4">
        <v>0.2384</v>
      </c>
      <c r="BX8" s="4">
        <v>0.22869999999999999</v>
      </c>
      <c r="BY8" s="4">
        <v>0.31409999999999999</v>
      </c>
      <c r="BZ8" s="4">
        <v>0.28720000000000001</v>
      </c>
      <c r="CA8" s="4">
        <v>0.24729999999999999</v>
      </c>
      <c r="CB8" s="4">
        <v>0.19</v>
      </c>
      <c r="CC8" s="4">
        <v>0.26989999999999997</v>
      </c>
      <c r="CD8" s="4">
        <v>0.1623</v>
      </c>
      <c r="CE8" s="4">
        <v>0.24160000000000001</v>
      </c>
      <c r="CF8" s="4">
        <v>0.33029999999999998</v>
      </c>
      <c r="CG8" s="4">
        <v>0.19309999999999999</v>
      </c>
      <c r="CH8" s="4"/>
      <c r="CI8" s="4"/>
      <c r="CJ8" s="4"/>
      <c r="CK8" s="4"/>
      <c r="CL8" s="4"/>
      <c r="CM8" s="4"/>
      <c r="CN8" s="4"/>
      <c r="CO8" s="4">
        <f>England[[#This Row],[Active - Total Population]]+England[[#This Row],[Fairly Active - Total Population]]</f>
        <v>0.752</v>
      </c>
      <c r="CP8" s="30">
        <f>England[[#This Row],[Active - Numbers]]+England[[#This Row],[Fairly Active - Numbers]]</f>
        <v>34011100</v>
      </c>
      <c r="CQ8" s="4">
        <f>England[[#This Row],[Male I]]-England[[#This Row],[Female I]]</f>
        <v>-2.0600000000000007E-2</v>
      </c>
      <c r="CR8" s="4">
        <f>England[[#This Row],[NS SEC 1-2: Higher social groups I]]-England[[#This Row],[NS SEC 6-8: Lower social groups I]]</f>
        <v>-0.16799999999999998</v>
      </c>
      <c r="CS8" s="4">
        <f>England[[#This Row],[No LT limiting disability I]]-England[[#This Row],[LT limiting disability I]]</f>
        <v>-0.20499999999999999</v>
      </c>
      <c r="CT8" s="4">
        <f>England[[#This Row],[16-34 I]]-England[[#This Row],[75+ I]]</f>
        <v>-0.31240000000000001</v>
      </c>
      <c r="CU8" s="64"/>
      <c r="CV8" s="64"/>
      <c r="CW8" s="64"/>
      <c r="CX8" s="152">
        <v>0.13650000000000001</v>
      </c>
    </row>
    <row r="9" spans="1:102" x14ac:dyDescent="0.2">
      <c r="A9" s="4" t="s">
        <v>107</v>
      </c>
      <c r="B9" s="4" t="s">
        <v>41</v>
      </c>
      <c r="C9" s="4">
        <v>0.63270000000000004</v>
      </c>
      <c r="D9" s="27">
        <v>28615000</v>
      </c>
      <c r="E9" s="4">
        <v>0.65339999999999998</v>
      </c>
      <c r="F9" s="4">
        <v>0.61480000000000001</v>
      </c>
      <c r="G9" s="4">
        <v>0.70230000000000004</v>
      </c>
      <c r="H9" s="4">
        <v>0.66069999999999995</v>
      </c>
      <c r="I9" s="4">
        <v>0.61060000000000003</v>
      </c>
      <c r="J9" s="4">
        <v>0.40479999999999999</v>
      </c>
      <c r="K9" s="4"/>
      <c r="L9" s="4"/>
      <c r="M9" s="4">
        <v>0.47310000000000002</v>
      </c>
      <c r="N9" s="4">
        <v>0.67500000000000004</v>
      </c>
      <c r="O9" s="4">
        <v>0.64610000000000001</v>
      </c>
      <c r="P9" s="4">
        <v>0.65310000000000001</v>
      </c>
      <c r="Q9" s="4">
        <v>0.53859999999999997</v>
      </c>
      <c r="R9" s="4">
        <v>0.57740000000000002</v>
      </c>
      <c r="S9" s="4">
        <v>0.61029999999999995</v>
      </c>
      <c r="T9" s="4">
        <v>0.67510000000000003</v>
      </c>
      <c r="U9" s="4">
        <v>0.60929999999999995</v>
      </c>
      <c r="V9" s="4">
        <v>0.71950000000000003</v>
      </c>
      <c r="W9" s="4">
        <v>0.62580000000000002</v>
      </c>
      <c r="X9" s="4">
        <v>0.53959999999999997</v>
      </c>
      <c r="Y9" s="4">
        <v>0.71299999999999997</v>
      </c>
      <c r="Z9" s="4"/>
      <c r="AA9" s="4"/>
      <c r="AB9" s="4"/>
      <c r="AC9" s="4"/>
      <c r="AD9" s="4"/>
      <c r="AE9" s="4"/>
      <c r="AF9" s="4"/>
      <c r="AG9" s="4">
        <v>0.1215</v>
      </c>
      <c r="AH9" s="27">
        <v>5496400</v>
      </c>
      <c r="AI9" s="4">
        <v>0.1106</v>
      </c>
      <c r="AJ9" s="4">
        <v>0.13200000000000001</v>
      </c>
      <c r="AK9" s="4">
        <v>0.10780000000000001</v>
      </c>
      <c r="AL9" s="4">
        <v>0.12659999999999999</v>
      </c>
      <c r="AM9" s="4">
        <v>0.12759999999999999</v>
      </c>
      <c r="AN9" s="4">
        <v>0.13109999999999999</v>
      </c>
      <c r="AO9" s="4"/>
      <c r="AP9" s="4"/>
      <c r="AQ9" s="4">
        <v>0.12909999999999999</v>
      </c>
      <c r="AR9" s="4">
        <v>0.1203</v>
      </c>
      <c r="AS9" s="4">
        <v>0.12139999999999999</v>
      </c>
      <c r="AT9" s="4">
        <v>0.1109</v>
      </c>
      <c r="AU9" s="4">
        <v>0.12870000000000001</v>
      </c>
      <c r="AV9" s="4">
        <v>0.12809999999999999</v>
      </c>
      <c r="AW9" s="4">
        <v>0.14219999999999999</v>
      </c>
      <c r="AX9" s="4">
        <v>0.12239999999999999</v>
      </c>
      <c r="AY9" s="4">
        <v>0.1285</v>
      </c>
      <c r="AZ9" s="4">
        <v>0.1186</v>
      </c>
      <c r="BA9" s="4">
        <v>0.13100000000000001</v>
      </c>
      <c r="BB9" s="4">
        <v>0.12859999999999999</v>
      </c>
      <c r="BC9" s="4">
        <v>9.6199999999999994E-2</v>
      </c>
      <c r="BD9" s="4"/>
      <c r="BE9" s="4"/>
      <c r="BF9" s="4"/>
      <c r="BG9" s="4"/>
      <c r="BH9" s="4"/>
      <c r="BI9" s="4"/>
      <c r="BJ9" s="4"/>
      <c r="BK9" s="4">
        <v>0.24579999999999999</v>
      </c>
      <c r="BL9" s="27">
        <v>11117300</v>
      </c>
      <c r="BM9" s="4">
        <v>0.23599999999999999</v>
      </c>
      <c r="BN9" s="4">
        <v>0.25330000000000003</v>
      </c>
      <c r="BO9" s="4">
        <v>0.18990000000000001</v>
      </c>
      <c r="BP9" s="4">
        <v>0.2127</v>
      </c>
      <c r="BQ9" s="4">
        <v>0.26179999999999998</v>
      </c>
      <c r="BR9" s="4">
        <v>0.46410000000000001</v>
      </c>
      <c r="BS9" s="4"/>
      <c r="BT9" s="4"/>
      <c r="BU9" s="4">
        <v>0.3977</v>
      </c>
      <c r="BV9" s="4">
        <v>0.20469999999999999</v>
      </c>
      <c r="BW9" s="4">
        <v>0.2324</v>
      </c>
      <c r="BX9" s="4">
        <v>0.23599999999999999</v>
      </c>
      <c r="BY9" s="4">
        <v>0.33279999999999998</v>
      </c>
      <c r="BZ9" s="4">
        <v>0.29449999999999998</v>
      </c>
      <c r="CA9" s="4">
        <v>0.2475</v>
      </c>
      <c r="CB9" s="4">
        <v>0.20250000000000001</v>
      </c>
      <c r="CC9" s="4">
        <v>0.26219999999999999</v>
      </c>
      <c r="CD9" s="4">
        <v>0.16189999999999999</v>
      </c>
      <c r="CE9" s="4">
        <v>0.2432</v>
      </c>
      <c r="CF9" s="4">
        <v>0.33179999999999998</v>
      </c>
      <c r="CG9" s="4">
        <v>0.1908</v>
      </c>
      <c r="CH9" s="4"/>
      <c r="CI9" s="4"/>
      <c r="CJ9" s="4"/>
      <c r="CK9" s="4"/>
      <c r="CL9" s="4"/>
      <c r="CM9" s="4"/>
      <c r="CN9" s="4"/>
      <c r="CO9" s="4">
        <f>England[[#This Row],[Active - Total Population]]+England[[#This Row],[Fairly Active - Total Population]]</f>
        <v>0.75419999999999998</v>
      </c>
      <c r="CP9" s="30">
        <f>England[[#This Row],[Active - Numbers]]+England[[#This Row],[Fairly Active - Numbers]]</f>
        <v>34111400</v>
      </c>
      <c r="CQ9" s="4">
        <f>England[[#This Row],[Male I]]-England[[#This Row],[Female I]]</f>
        <v>-1.7300000000000038E-2</v>
      </c>
      <c r="CR9" s="4">
        <f>England[[#This Row],[NS SEC 1-2: Higher social groups I]]-England[[#This Row],[NS SEC 6-8: Lower social groups I]]</f>
        <v>-0.1699</v>
      </c>
      <c r="CS9" s="4">
        <f>England[[#This Row],[No LT limiting disability I]]-England[[#This Row],[LT limiting disability I]]</f>
        <v>-0.193</v>
      </c>
      <c r="CT9" s="4">
        <f>England[[#This Row],[16-34 I]]-England[[#This Row],[75+ I]]</f>
        <v>-0.2742</v>
      </c>
      <c r="CU9" s="64"/>
      <c r="CV9" s="64"/>
      <c r="CW9" s="64"/>
      <c r="CX9" s="150">
        <v>0.13350000000000001</v>
      </c>
    </row>
    <row r="10" spans="1:102" s="29" customFormat="1" x14ac:dyDescent="0.2">
      <c r="A10" s="156" t="s">
        <v>107</v>
      </c>
      <c r="B10" s="156" t="s">
        <v>155</v>
      </c>
      <c r="C10" s="64">
        <v>0.62809999999999999</v>
      </c>
      <c r="D10" s="30">
        <v>28558100</v>
      </c>
      <c r="E10" s="155">
        <v>0.64580000000000004</v>
      </c>
      <c r="F10" s="155">
        <v>0.61270000000000002</v>
      </c>
      <c r="G10" s="155">
        <v>0.69099999999999995</v>
      </c>
      <c r="H10" s="155">
        <v>0.6643</v>
      </c>
      <c r="I10" s="155">
        <v>0.60460000000000003</v>
      </c>
      <c r="J10" s="155">
        <v>0.40239999999999998</v>
      </c>
      <c r="K10" s="155">
        <v>0.67720000000000002</v>
      </c>
      <c r="L10" s="155">
        <v>0.54969999999999997</v>
      </c>
      <c r="M10" s="155">
        <v>0.47</v>
      </c>
      <c r="N10" s="155">
        <v>0.67</v>
      </c>
      <c r="O10" s="155">
        <v>0.64190000000000003</v>
      </c>
      <c r="P10" s="155">
        <v>0.65269999999999995</v>
      </c>
      <c r="Q10" s="155">
        <v>0.52990000000000004</v>
      </c>
      <c r="R10" s="155">
        <v>0.57050000000000001</v>
      </c>
      <c r="S10" s="155">
        <v>0.6069</v>
      </c>
      <c r="T10" s="155">
        <v>0.68659999999999999</v>
      </c>
      <c r="U10" s="155">
        <v>0.56379999999999997</v>
      </c>
      <c r="V10" s="155">
        <v>0.71899999999999997</v>
      </c>
      <c r="W10" s="155">
        <v>0.62480000000000002</v>
      </c>
      <c r="X10" s="155">
        <v>0.53339999999999999</v>
      </c>
      <c r="Y10" s="155">
        <v>0.69369999999999998</v>
      </c>
      <c r="Z10" s="155">
        <v>0.6754</v>
      </c>
      <c r="AA10" s="155">
        <v>0.54379999999999995</v>
      </c>
      <c r="AB10" s="155">
        <v>0.52929999999999999</v>
      </c>
      <c r="AC10" s="155">
        <v>0.55020000000000002</v>
      </c>
      <c r="AD10" s="155">
        <v>0.30930000000000002</v>
      </c>
      <c r="AE10" s="155">
        <v>0.73939999999999995</v>
      </c>
      <c r="AF10" s="155">
        <v>0.54820000000000002</v>
      </c>
      <c r="AG10" s="64">
        <v>0.1174</v>
      </c>
      <c r="AH10" s="30">
        <v>5338500</v>
      </c>
      <c r="AI10" s="155">
        <v>0.1066</v>
      </c>
      <c r="AJ10" s="155">
        <v>0.128</v>
      </c>
      <c r="AK10" s="155">
        <v>0.1067</v>
      </c>
      <c r="AL10" s="155">
        <v>0.11840000000000001</v>
      </c>
      <c r="AM10" s="155">
        <v>0.12379999999999999</v>
      </c>
      <c r="AN10" s="155">
        <v>0.1298</v>
      </c>
      <c r="AO10" s="155">
        <v>0.1128</v>
      </c>
      <c r="AP10" s="155">
        <v>0.12540000000000001</v>
      </c>
      <c r="AQ10" s="155">
        <v>0.1263</v>
      </c>
      <c r="AR10" s="155">
        <v>0.1158</v>
      </c>
      <c r="AS10" s="155">
        <v>0.1174</v>
      </c>
      <c r="AT10" s="155">
        <v>0.1079</v>
      </c>
      <c r="AU10" s="155">
        <v>0.12740000000000001</v>
      </c>
      <c r="AV10" s="155">
        <v>0.1321</v>
      </c>
      <c r="AW10" s="155">
        <v>0.15129999999999999</v>
      </c>
      <c r="AX10" s="155">
        <v>9.9699999999999997E-2</v>
      </c>
      <c r="AY10" s="155">
        <v>0.1016</v>
      </c>
      <c r="AZ10" s="155">
        <v>0.11550000000000001</v>
      </c>
      <c r="BA10" s="155">
        <v>0.12559999999999999</v>
      </c>
      <c r="BB10" s="155">
        <v>0.12</v>
      </c>
      <c r="BC10" s="155">
        <v>9.5399999999999999E-2</v>
      </c>
      <c r="BD10" s="155">
        <v>0.11990000000000001</v>
      </c>
      <c r="BE10" s="155">
        <v>0.1188</v>
      </c>
      <c r="BF10" s="155">
        <v>0.12239999999999999</v>
      </c>
      <c r="BG10" s="155">
        <v>0.1237</v>
      </c>
      <c r="BH10" s="155">
        <v>0.1089</v>
      </c>
      <c r="BI10" s="155">
        <v>0.09</v>
      </c>
      <c r="BJ10" s="155">
        <v>0.1249</v>
      </c>
      <c r="BK10" s="64">
        <v>0.2545</v>
      </c>
      <c r="BL10" s="30">
        <v>11573600</v>
      </c>
      <c r="BM10" s="155">
        <v>0.24759999999999999</v>
      </c>
      <c r="BN10" s="155">
        <v>0.25919999999999999</v>
      </c>
      <c r="BO10" s="155">
        <v>0.2024</v>
      </c>
      <c r="BP10" s="155">
        <v>0.2172</v>
      </c>
      <c r="BQ10" s="155">
        <v>0.27160000000000001</v>
      </c>
      <c r="BR10" s="155">
        <v>0.46789999999999998</v>
      </c>
      <c r="BS10" s="155">
        <v>0.21010000000000001</v>
      </c>
      <c r="BT10" s="155">
        <v>0.32490000000000002</v>
      </c>
      <c r="BU10" s="155">
        <v>0.4037</v>
      </c>
      <c r="BV10" s="155">
        <v>0.21410000000000001</v>
      </c>
      <c r="BW10" s="155">
        <v>0.2407</v>
      </c>
      <c r="BX10" s="155">
        <v>0.2394</v>
      </c>
      <c r="BY10" s="155">
        <v>0.3427</v>
      </c>
      <c r="BZ10" s="155">
        <v>0.2974</v>
      </c>
      <c r="CA10" s="155">
        <v>0.24179999999999999</v>
      </c>
      <c r="CB10" s="155">
        <v>0.2137</v>
      </c>
      <c r="CC10" s="155">
        <v>0.3347</v>
      </c>
      <c r="CD10" s="155">
        <v>0.16550000000000001</v>
      </c>
      <c r="CE10" s="155">
        <v>0.24959999999999999</v>
      </c>
      <c r="CF10" s="155">
        <v>0.34660000000000002</v>
      </c>
      <c r="CG10" s="155">
        <v>0.2109</v>
      </c>
      <c r="CH10" s="155">
        <v>0.20469999999999999</v>
      </c>
      <c r="CI10" s="155">
        <v>0.33739999999999998</v>
      </c>
      <c r="CJ10" s="155">
        <v>0.34839999999999999</v>
      </c>
      <c r="CK10" s="155">
        <v>0.32600000000000001</v>
      </c>
      <c r="CL10" s="155">
        <v>0.58189999999999997</v>
      </c>
      <c r="CM10" s="155">
        <v>0.1706</v>
      </c>
      <c r="CN10" s="155">
        <v>0.32690000000000002</v>
      </c>
      <c r="CO10" s="64">
        <f>SUM(C10,AG10)</f>
        <v>0.74550000000000005</v>
      </c>
      <c r="CP10" s="30">
        <f>England[[#This Row],[Active - Numbers]]+England[[#This Row],[Fairly Active - Numbers]]</f>
        <v>33896600</v>
      </c>
      <c r="CQ10" s="64">
        <f>England[[#This Row],[Male I]]-England[[#This Row],[Female I]]</f>
        <v>-1.1599999999999999E-2</v>
      </c>
      <c r="CR10" s="165">
        <f>England[[#This Row],[NS SEC 1-2: Higher social groups I]]-England[[#This Row],[NS SEC 6-8: Lower social groups I]]</f>
        <v>-0.18110000000000001</v>
      </c>
      <c r="CS10" s="165">
        <f>England[[#This Row],[No LT limiting disability I]]-England[[#This Row],[LT limiting disability I]]</f>
        <v>-0.18959999999999999</v>
      </c>
      <c r="CT10" s="165">
        <f>England[[#This Row],[16-34 I]]-England[[#This Row],[75+ I]]</f>
        <v>-0.26549999999999996</v>
      </c>
      <c r="CU10" s="64"/>
      <c r="CV10" s="64"/>
      <c r="CW10" s="64"/>
      <c r="CX10" s="150">
        <v>0.13469999999999999</v>
      </c>
    </row>
    <row r="11" spans="1:102" x14ac:dyDescent="0.2">
      <c r="A11" s="4" t="s">
        <v>107</v>
      </c>
      <c r="B11" s="4" t="s">
        <v>42</v>
      </c>
      <c r="C11" s="4">
        <f>C10-C3</f>
        <v>7.3999999999999622E-3</v>
      </c>
      <c r="D11" s="30">
        <f>D10-D3</f>
        <v>1008700</v>
      </c>
      <c r="E11" s="156">
        <f t="shared" ref="E11:BO11" si="0">E10-E3</f>
        <v>7.0000000000003393E-4</v>
      </c>
      <c r="F11" s="156">
        <f t="shared" si="0"/>
        <v>1.3600000000000056E-2</v>
      </c>
      <c r="G11" s="156">
        <f t="shared" si="0"/>
        <v>-3.1200000000000006E-2</v>
      </c>
      <c r="H11" s="156">
        <f t="shared" si="0"/>
        <v>7.2999999999999732E-3</v>
      </c>
      <c r="I11" s="156">
        <f t="shared" si="0"/>
        <v>3.5000000000000031E-2</v>
      </c>
      <c r="J11" s="156">
        <f t="shared" si="0"/>
        <v>6.8599999999999994E-2</v>
      </c>
      <c r="K11" s="156">
        <f t="shared" si="0"/>
        <v>0.67720000000000002</v>
      </c>
      <c r="L11" s="156">
        <f t="shared" si="0"/>
        <v>0.54969999999999997</v>
      </c>
      <c r="M11" s="156">
        <f t="shared" si="0"/>
        <v>3.3499999999999974E-2</v>
      </c>
      <c r="N11" s="156">
        <f t="shared" si="0"/>
        <v>2.9000000000000137E-3</v>
      </c>
      <c r="O11" s="156">
        <f t="shared" si="0"/>
        <v>1.3800000000000034E-2</v>
      </c>
      <c r="P11" s="156">
        <f t="shared" si="0"/>
        <v>-5.4000000000000714E-3</v>
      </c>
      <c r="Q11" s="156">
        <f t="shared" si="0"/>
        <v>-2.6399999999999979E-2</v>
      </c>
      <c r="R11" s="156">
        <f t="shared" si="0"/>
        <v>5.0000000000000044E-3</v>
      </c>
      <c r="S11" s="156">
        <f t="shared" si="0"/>
        <v>4.6399999999999997E-2</v>
      </c>
      <c r="T11" s="156">
        <f t="shared" si="0"/>
        <v>-2.1199999999999997E-2</v>
      </c>
      <c r="U11" s="156">
        <f t="shared" si="0"/>
        <v>-4.3000000000000815E-3</v>
      </c>
      <c r="V11" s="156">
        <f t="shared" si="0"/>
        <v>8.69999999999993E-3</v>
      </c>
      <c r="W11" s="156">
        <f t="shared" si="0"/>
        <v>8.900000000000019E-3</v>
      </c>
      <c r="X11" s="156">
        <f t="shared" si="0"/>
        <v>-1.4600000000000057E-2</v>
      </c>
      <c r="Y11" s="156">
        <f t="shared" si="0"/>
        <v>-2.3600000000000065E-2</v>
      </c>
      <c r="Z11" s="156">
        <f t="shared" si="0"/>
        <v>0.6754</v>
      </c>
      <c r="AA11" s="156">
        <f t="shared" si="0"/>
        <v>0.54379999999999995</v>
      </c>
      <c r="AB11" s="156">
        <f t="shared" si="0"/>
        <v>0.52929999999999999</v>
      </c>
      <c r="AC11" s="156">
        <f t="shared" si="0"/>
        <v>0.55020000000000002</v>
      </c>
      <c r="AD11" s="156">
        <f t="shared" si="0"/>
        <v>0.30930000000000002</v>
      </c>
      <c r="AE11" s="156">
        <f t="shared" si="0"/>
        <v>0.73939999999999995</v>
      </c>
      <c r="AF11" s="156">
        <f t="shared" si="0"/>
        <v>0.54820000000000002</v>
      </c>
      <c r="AG11" s="156">
        <f t="shared" si="0"/>
        <v>-6.0999999999999943E-3</v>
      </c>
      <c r="AH11" s="30">
        <f t="shared" si="0"/>
        <v>-144000</v>
      </c>
      <c r="AI11" s="156">
        <f t="shared" si="0"/>
        <v>-6.3E-3</v>
      </c>
      <c r="AJ11" s="156">
        <f t="shared" si="0"/>
        <v>-5.7000000000000106E-3</v>
      </c>
      <c r="AK11" s="156">
        <f t="shared" si="0"/>
        <v>2.2999999999999965E-3</v>
      </c>
      <c r="AL11" s="156">
        <f t="shared" si="0"/>
        <v>-1.1599999999999999E-2</v>
      </c>
      <c r="AM11" s="156">
        <f t="shared" si="0"/>
        <v>-1.2399999999999994E-2</v>
      </c>
      <c r="AN11" s="156">
        <f t="shared" si="0"/>
        <v>-2.0000000000000573E-4</v>
      </c>
      <c r="AO11" s="156">
        <f t="shared" si="0"/>
        <v>0.1128</v>
      </c>
      <c r="AP11" s="156">
        <f t="shared" si="0"/>
        <v>0.12540000000000001</v>
      </c>
      <c r="AQ11" s="156">
        <f t="shared" si="0"/>
        <v>-4.2999999999999983E-3</v>
      </c>
      <c r="AR11" s="156">
        <f t="shared" si="0"/>
        <v>-7.1999999999999981E-3</v>
      </c>
      <c r="AS11" s="156">
        <f t="shared" si="0"/>
        <v>-5.2999999999999992E-3</v>
      </c>
      <c r="AT11" s="156">
        <f t="shared" si="0"/>
        <v>-4.500000000000004E-3</v>
      </c>
      <c r="AU11" s="156">
        <f t="shared" si="0"/>
        <v>-1.0199999999999987E-2</v>
      </c>
      <c r="AV11" s="156">
        <f t="shared" si="0"/>
        <v>-1.5500000000000014E-2</v>
      </c>
      <c r="AW11" s="156">
        <f t="shared" si="0"/>
        <v>1.9900000000000001E-2</v>
      </c>
      <c r="AX11" s="156">
        <f t="shared" si="0"/>
        <v>-3.4000000000000002E-3</v>
      </c>
      <c r="AY11" s="156">
        <f t="shared" si="0"/>
        <v>-3.15E-2</v>
      </c>
      <c r="AZ11" s="156">
        <f t="shared" si="0"/>
        <v>-8.9999999999999941E-3</v>
      </c>
      <c r="BA11" s="156">
        <f t="shared" si="0"/>
        <v>-1.2800000000000006E-2</v>
      </c>
      <c r="BB11" s="156">
        <f t="shared" si="0"/>
        <v>-3.7999999999999978E-3</v>
      </c>
      <c r="BC11" s="156">
        <f t="shared" si="0"/>
        <v>3.4000000000000002E-3</v>
      </c>
      <c r="BD11" s="156">
        <f t="shared" si="0"/>
        <v>0.11990000000000001</v>
      </c>
      <c r="BE11" s="156">
        <f t="shared" si="0"/>
        <v>0.1188</v>
      </c>
      <c r="BF11" s="156">
        <f t="shared" si="0"/>
        <v>0.12239999999999999</v>
      </c>
      <c r="BG11" s="156">
        <f t="shared" si="0"/>
        <v>0.1237</v>
      </c>
      <c r="BH11" s="156">
        <f t="shared" si="0"/>
        <v>0.1089</v>
      </c>
      <c r="BI11" s="156">
        <f t="shared" si="0"/>
        <v>0.09</v>
      </c>
      <c r="BJ11" s="156">
        <f t="shared" si="0"/>
        <v>0.1249</v>
      </c>
      <c r="BK11" s="156">
        <f t="shared" si="0"/>
        <v>-1.1999999999999789E-3</v>
      </c>
      <c r="BL11" s="156">
        <f t="shared" si="0"/>
        <v>224300</v>
      </c>
      <c r="BM11" s="156">
        <f t="shared" si="0"/>
        <v>5.6999999999999829E-3</v>
      </c>
      <c r="BN11" s="156">
        <f t="shared" si="0"/>
        <v>-8.0000000000000071E-3</v>
      </c>
      <c r="BO11" s="156">
        <f t="shared" si="0"/>
        <v>2.8900000000000009E-2</v>
      </c>
      <c r="BP11" s="156">
        <f t="shared" ref="BP11:CT11" si="1">BP10-BP3</f>
        <v>4.2000000000000093E-3</v>
      </c>
      <c r="BQ11" s="156">
        <f t="shared" si="1"/>
        <v>-2.2600000000000009E-2</v>
      </c>
      <c r="BR11" s="156">
        <f t="shared" si="1"/>
        <v>-6.8300000000000027E-2</v>
      </c>
      <c r="BS11" s="156">
        <f t="shared" si="1"/>
        <v>0.21010000000000001</v>
      </c>
      <c r="BT11" s="156">
        <f t="shared" si="1"/>
        <v>0.32490000000000002</v>
      </c>
      <c r="BU11" s="156">
        <f t="shared" si="1"/>
        <v>-2.9299999999999993E-2</v>
      </c>
      <c r="BV11" s="156">
        <f t="shared" si="1"/>
        <v>4.2000000000000093E-3</v>
      </c>
      <c r="BW11" s="156">
        <f t="shared" si="1"/>
        <v>-8.5999999999999965E-3</v>
      </c>
      <c r="BX11" s="156">
        <f t="shared" si="1"/>
        <v>1.0000000000000009E-2</v>
      </c>
      <c r="BY11" s="156">
        <f t="shared" si="1"/>
        <v>3.6600000000000021E-2</v>
      </c>
      <c r="BZ11" s="156">
        <f t="shared" si="1"/>
        <v>1.0599999999999998E-2</v>
      </c>
      <c r="CA11" s="156">
        <f t="shared" si="1"/>
        <v>-6.6299999999999998E-2</v>
      </c>
      <c r="CB11" s="156">
        <f t="shared" si="1"/>
        <v>2.4600000000000011E-2</v>
      </c>
      <c r="CC11" s="156">
        <f t="shared" si="1"/>
        <v>3.5799999999999998E-2</v>
      </c>
      <c r="CD11" s="156">
        <f t="shared" si="1"/>
        <v>2.9999999999999472E-4</v>
      </c>
      <c r="CE11" s="156">
        <f t="shared" si="1"/>
        <v>3.8999999999999868E-3</v>
      </c>
      <c r="CF11" s="156">
        <f t="shared" si="1"/>
        <v>1.8500000000000016E-2</v>
      </c>
      <c r="CG11" s="156">
        <f t="shared" si="1"/>
        <v>2.0300000000000012E-2</v>
      </c>
      <c r="CH11" s="156">
        <f t="shared" si="1"/>
        <v>0.20469999999999999</v>
      </c>
      <c r="CI11" s="156">
        <f t="shared" si="1"/>
        <v>0.33739999999999998</v>
      </c>
      <c r="CJ11" s="156">
        <f t="shared" si="1"/>
        <v>0.34839999999999999</v>
      </c>
      <c r="CK11" s="156">
        <f t="shared" si="1"/>
        <v>0.32600000000000001</v>
      </c>
      <c r="CL11" s="156">
        <f t="shared" si="1"/>
        <v>0.58189999999999997</v>
      </c>
      <c r="CM11" s="156">
        <f t="shared" si="1"/>
        <v>0.1706</v>
      </c>
      <c r="CN11" s="156">
        <f t="shared" si="1"/>
        <v>0.32690000000000002</v>
      </c>
      <c r="CO11" s="156">
        <f t="shared" si="1"/>
        <v>1.3000000000000789E-3</v>
      </c>
      <c r="CP11" s="30">
        <f t="shared" si="1"/>
        <v>864700</v>
      </c>
      <c r="CQ11" s="156">
        <f>CQ9-CQ3</f>
        <v>7.9999999999999516E-3</v>
      </c>
      <c r="CR11" s="156">
        <f t="shared" si="1"/>
        <v>-1.8200000000000022E-2</v>
      </c>
      <c r="CS11" s="156">
        <f t="shared" si="1"/>
        <v>3.3500000000000002E-2</v>
      </c>
      <c r="CT11" s="156">
        <f t="shared" si="1"/>
        <v>9.7200000000000064E-2</v>
      </c>
      <c r="CU11" s="64"/>
      <c r="CV11" s="64"/>
      <c r="CW11" s="64"/>
      <c r="CX11" s="64"/>
    </row>
  </sheetData>
  <mergeCells count="3">
    <mergeCell ref="D1:AE1"/>
    <mergeCell ref="AG1:BI1"/>
    <mergeCell ref="BK1:CM1"/>
  </mergeCells>
  <conditionalFormatting sqref="C9:C10 D4">
    <cfRule type="containsText" dxfId="2738" priority="367" operator="containsText" text="Significant increase">
      <formula>NOT(ISERROR(SEARCH("Significant increase",C4)))</formula>
    </cfRule>
    <cfRule type="containsText" dxfId="2737" priority="368" operator="containsText" text="Significant decrease">
      <formula>NOT(ISERROR(SEARCH("Significant decrease",C4)))</formula>
    </cfRule>
  </conditionalFormatting>
  <conditionalFormatting sqref="AG9:AG10">
    <cfRule type="containsText" dxfId="2736" priority="365" operator="containsText" text="Significant increase">
      <formula>NOT(ISERROR(SEARCH("Significant increase",AG9)))</formula>
    </cfRule>
    <cfRule type="containsText" dxfId="2735" priority="366" operator="containsText" text="Significant decrease">
      <formula>NOT(ISERROR(SEARCH("Significant decrease",AG9)))</formula>
    </cfRule>
  </conditionalFormatting>
  <conditionalFormatting sqref="BK9:BK10">
    <cfRule type="containsText" dxfId="2734" priority="363" operator="containsText" text="Significant increase">
      <formula>NOT(ISERROR(SEARCH("Significant increase",BK9)))</formula>
    </cfRule>
    <cfRule type="containsText" dxfId="2733" priority="364" operator="containsText" text="Significant decrease">
      <formula>NOT(ISERROR(SEARCH("Significant decrease",BK9)))</formula>
    </cfRule>
  </conditionalFormatting>
  <conditionalFormatting sqref="BM9">
    <cfRule type="containsText" dxfId="2732" priority="349" operator="containsText" text="Significant increase">
      <formula>NOT(ISERROR(SEARCH("Significant increase",BM9)))</formula>
    </cfRule>
    <cfRule type="containsText" dxfId="2731" priority="350" operator="containsText" text="Significant decrease">
      <formula>NOT(ISERROR(SEARCH("Significant decrease",BM9)))</formula>
    </cfRule>
  </conditionalFormatting>
  <conditionalFormatting sqref="BN9">
    <cfRule type="containsText" dxfId="2730" priority="347" operator="containsText" text="Significant increase">
      <formula>NOT(ISERROR(SEARCH("Significant increase",BN9)))</formula>
    </cfRule>
    <cfRule type="containsText" dxfId="2729" priority="348" operator="containsText" text="Significant decrease">
      <formula>NOT(ISERROR(SEARCH("Significant decrease",BN9)))</formula>
    </cfRule>
  </conditionalFormatting>
  <conditionalFormatting sqref="BO9">
    <cfRule type="containsText" dxfId="2728" priority="345" operator="containsText" text="Significant increase">
      <formula>NOT(ISERROR(SEARCH("Significant increase",BO9)))</formula>
    </cfRule>
    <cfRule type="containsText" dxfId="2727" priority="346" operator="containsText" text="Significant decrease">
      <formula>NOT(ISERROR(SEARCH("Significant decrease",BO9)))</formula>
    </cfRule>
  </conditionalFormatting>
  <conditionalFormatting sqref="BP9">
    <cfRule type="containsText" dxfId="2726" priority="339" operator="containsText" text="Significant increase">
      <formula>NOT(ISERROR(SEARCH("Significant increase",BP9)))</formula>
    </cfRule>
    <cfRule type="containsText" dxfId="2725" priority="340" operator="containsText" text="Significant decrease">
      <formula>NOT(ISERROR(SEARCH("Significant decrease",BP9)))</formula>
    </cfRule>
  </conditionalFormatting>
  <conditionalFormatting sqref="BQ9">
    <cfRule type="containsText" dxfId="2724" priority="337" operator="containsText" text="Significant increase">
      <formula>NOT(ISERROR(SEARCH("Significant increase",BQ9)))</formula>
    </cfRule>
    <cfRule type="containsText" dxfId="2723" priority="338" operator="containsText" text="Significant decrease">
      <formula>NOT(ISERROR(SEARCH("Significant decrease",BQ9)))</formula>
    </cfRule>
  </conditionalFormatting>
  <conditionalFormatting sqref="BR9">
    <cfRule type="containsText" dxfId="2722" priority="335" operator="containsText" text="Significant increase">
      <formula>NOT(ISERROR(SEARCH("Significant increase",BR9)))</formula>
    </cfRule>
    <cfRule type="containsText" dxfId="2721" priority="336" operator="containsText" text="Significant decrease">
      <formula>NOT(ISERROR(SEARCH("Significant decrease",BR9)))</formula>
    </cfRule>
  </conditionalFormatting>
  <conditionalFormatting sqref="BU9">
    <cfRule type="containsText" dxfId="2720" priority="333" operator="containsText" text="Significant increase">
      <formula>NOT(ISERROR(SEARCH("Significant increase",BU9)))</formula>
    </cfRule>
    <cfRule type="containsText" dxfId="2719" priority="334" operator="containsText" text="Significant decrease">
      <formula>NOT(ISERROR(SEARCH("Significant decrease",BU9)))</formula>
    </cfRule>
  </conditionalFormatting>
  <conditionalFormatting sqref="BV9">
    <cfRule type="containsText" dxfId="2718" priority="331" operator="containsText" text="Significant increase">
      <formula>NOT(ISERROR(SEARCH("Significant increase",BV9)))</formula>
    </cfRule>
    <cfRule type="containsText" dxfId="2717" priority="332" operator="containsText" text="Significant decrease">
      <formula>NOT(ISERROR(SEARCH("Significant decrease",BV9)))</formula>
    </cfRule>
  </conditionalFormatting>
  <conditionalFormatting sqref="BW9">
    <cfRule type="containsText" dxfId="2716" priority="329" operator="containsText" text="Significant increase">
      <formula>NOT(ISERROR(SEARCH("Significant increase",BW9)))</formula>
    </cfRule>
    <cfRule type="containsText" dxfId="2715" priority="330" operator="containsText" text="Significant decrease">
      <formula>NOT(ISERROR(SEARCH("Significant decrease",BW9)))</formula>
    </cfRule>
  </conditionalFormatting>
  <conditionalFormatting sqref="BX9">
    <cfRule type="containsText" dxfId="2714" priority="327" operator="containsText" text="Significant increase">
      <formula>NOT(ISERROR(SEARCH("Significant increase",BX9)))</formula>
    </cfRule>
    <cfRule type="containsText" dxfId="2713" priority="328" operator="containsText" text="Significant decrease">
      <formula>NOT(ISERROR(SEARCH("Significant decrease",BX9)))</formula>
    </cfRule>
  </conditionalFormatting>
  <conditionalFormatting sqref="BY9">
    <cfRule type="containsText" dxfId="2712" priority="325" operator="containsText" text="Significant increase">
      <formula>NOT(ISERROR(SEARCH("Significant increase",BY9)))</formula>
    </cfRule>
    <cfRule type="containsText" dxfId="2711" priority="326" operator="containsText" text="Significant decrease">
      <formula>NOT(ISERROR(SEARCH("Significant decrease",BY9)))</formula>
    </cfRule>
  </conditionalFormatting>
  <conditionalFormatting sqref="BZ9">
    <cfRule type="containsText" dxfId="2710" priority="323" operator="containsText" text="Significant increase">
      <formula>NOT(ISERROR(SEARCH("Significant increase",BZ9)))</formula>
    </cfRule>
    <cfRule type="containsText" dxfId="2709" priority="324" operator="containsText" text="Significant decrease">
      <formula>NOT(ISERROR(SEARCH("Significant decrease",BZ9)))</formula>
    </cfRule>
  </conditionalFormatting>
  <conditionalFormatting sqref="CA9">
    <cfRule type="containsText" dxfId="2708" priority="321" operator="containsText" text="Significant increase">
      <formula>NOT(ISERROR(SEARCH("Significant increase",CA9)))</formula>
    </cfRule>
    <cfRule type="containsText" dxfId="2707" priority="322" operator="containsText" text="Significant decrease">
      <formula>NOT(ISERROR(SEARCH("Significant decrease",CA9)))</formula>
    </cfRule>
  </conditionalFormatting>
  <conditionalFormatting sqref="CB9">
    <cfRule type="containsText" dxfId="2706" priority="319" operator="containsText" text="Significant increase">
      <formula>NOT(ISERROR(SEARCH("Significant increase",CB9)))</formula>
    </cfRule>
    <cfRule type="containsText" dxfId="2705" priority="320" operator="containsText" text="Significant decrease">
      <formula>NOT(ISERROR(SEARCH("Significant decrease",CB9)))</formula>
    </cfRule>
  </conditionalFormatting>
  <conditionalFormatting sqref="CC9">
    <cfRule type="containsText" dxfId="2704" priority="317" operator="containsText" text="Significant increase">
      <formula>NOT(ISERROR(SEARCH("Significant increase",CC9)))</formula>
    </cfRule>
    <cfRule type="containsText" dxfId="2703" priority="318" operator="containsText" text="Significant decrease">
      <formula>NOT(ISERROR(SEARCH("Significant decrease",CC9)))</formula>
    </cfRule>
  </conditionalFormatting>
  <conditionalFormatting sqref="CD9">
    <cfRule type="containsText" dxfId="2702" priority="315" operator="containsText" text="Significant increase">
      <formula>NOT(ISERROR(SEARCH("Significant increase",CD9)))</formula>
    </cfRule>
    <cfRule type="containsText" dxfId="2701" priority="316" operator="containsText" text="Significant decrease">
      <formula>NOT(ISERROR(SEARCH("Significant decrease",CD9)))</formula>
    </cfRule>
  </conditionalFormatting>
  <conditionalFormatting sqref="CE9">
    <cfRule type="containsText" dxfId="2700" priority="313" operator="containsText" text="Significant increase">
      <formula>NOT(ISERROR(SEARCH("Significant increase",CE9)))</formula>
    </cfRule>
    <cfRule type="containsText" dxfId="2699" priority="314" operator="containsText" text="Significant decrease">
      <formula>NOT(ISERROR(SEARCH("Significant decrease",CE9)))</formula>
    </cfRule>
  </conditionalFormatting>
  <conditionalFormatting sqref="CF9">
    <cfRule type="containsText" dxfId="2698" priority="311" operator="containsText" text="Significant increase">
      <formula>NOT(ISERROR(SEARCH("Significant increase",CF9)))</formula>
    </cfRule>
    <cfRule type="containsText" dxfId="2697" priority="312" operator="containsText" text="Significant decrease">
      <formula>NOT(ISERROR(SEARCH("Significant decrease",CF9)))</formula>
    </cfRule>
  </conditionalFormatting>
  <conditionalFormatting sqref="CG9">
    <cfRule type="containsText" dxfId="2696" priority="309" operator="containsText" text="Significant increase">
      <formula>NOT(ISERROR(SEARCH("Significant increase",CG9)))</formula>
    </cfRule>
    <cfRule type="containsText" dxfId="2695" priority="310" operator="containsText" text="Significant decrease">
      <formula>NOT(ISERROR(SEARCH("Significant decrease",CG9)))</formula>
    </cfRule>
  </conditionalFormatting>
  <conditionalFormatting sqref="C3">
    <cfRule type="containsText" dxfId="2694" priority="307" operator="containsText" text="Significant increase">
      <formula>NOT(ISERROR(SEARCH("Significant increase",C3)))</formula>
    </cfRule>
    <cfRule type="containsText" dxfId="2693" priority="308" operator="containsText" text="Significant decrease">
      <formula>NOT(ISERROR(SEARCH("Significant decrease",C3)))</formula>
    </cfRule>
  </conditionalFormatting>
  <conditionalFormatting sqref="C4">
    <cfRule type="containsText" dxfId="2692" priority="305" operator="containsText" text="Significant increase">
      <formula>NOT(ISERROR(SEARCH("Significant increase",C4)))</formula>
    </cfRule>
    <cfRule type="containsText" dxfId="2691" priority="306" operator="containsText" text="Significant decrease">
      <formula>NOT(ISERROR(SEARCH("Significant decrease",C4)))</formula>
    </cfRule>
  </conditionalFormatting>
  <conditionalFormatting sqref="C5">
    <cfRule type="containsText" dxfId="2690" priority="303" operator="containsText" text="Significant increase">
      <formula>NOT(ISERROR(SEARCH("Significant increase",C5)))</formula>
    </cfRule>
    <cfRule type="containsText" dxfId="2689" priority="304" operator="containsText" text="Significant decrease">
      <formula>NOT(ISERROR(SEARCH("Significant decrease",C5)))</formula>
    </cfRule>
  </conditionalFormatting>
  <conditionalFormatting sqref="C6">
    <cfRule type="containsText" dxfId="2688" priority="301" operator="containsText" text="Significant increase">
      <formula>NOT(ISERROR(SEARCH("Significant increase",C6)))</formula>
    </cfRule>
    <cfRule type="containsText" dxfId="2687" priority="302" operator="containsText" text="Significant decrease">
      <formula>NOT(ISERROR(SEARCH("Significant decrease",C6)))</formula>
    </cfRule>
  </conditionalFormatting>
  <conditionalFormatting sqref="C7">
    <cfRule type="containsText" dxfId="2686" priority="299" operator="containsText" text="Significant increase">
      <formula>NOT(ISERROR(SEARCH("Significant increase",C7)))</formula>
    </cfRule>
    <cfRule type="containsText" dxfId="2685" priority="300" operator="containsText" text="Significant decrease">
      <formula>NOT(ISERROR(SEARCH("Significant decrease",C7)))</formula>
    </cfRule>
  </conditionalFormatting>
  <conditionalFormatting sqref="C8">
    <cfRule type="containsText" dxfId="2684" priority="297" operator="containsText" text="Significant increase">
      <formula>NOT(ISERROR(SEARCH("Significant increase",C8)))</formula>
    </cfRule>
    <cfRule type="containsText" dxfId="2683" priority="298" operator="containsText" text="Significant decrease">
      <formula>NOT(ISERROR(SEARCH("Significant decrease",C8)))</formula>
    </cfRule>
  </conditionalFormatting>
  <conditionalFormatting sqref="AG4:AH4">
    <cfRule type="containsText" dxfId="2682" priority="295" operator="containsText" text="Significant increase">
      <formula>NOT(ISERROR(SEARCH("Significant increase",AG4)))</formula>
    </cfRule>
    <cfRule type="containsText" dxfId="2681" priority="296" operator="containsText" text="Significant decrease">
      <formula>NOT(ISERROR(SEARCH("Significant decrease",AG4)))</formula>
    </cfRule>
  </conditionalFormatting>
  <conditionalFormatting sqref="BK4:BL4">
    <cfRule type="containsText" dxfId="2680" priority="293" operator="containsText" text="Significant increase">
      <formula>NOT(ISERROR(SEARCH("Significant increase",BK4)))</formula>
    </cfRule>
    <cfRule type="containsText" dxfId="2679" priority="294" operator="containsText" text="Significant decrease">
      <formula>NOT(ISERROR(SEARCH("Significant decrease",BK4)))</formula>
    </cfRule>
  </conditionalFormatting>
  <conditionalFormatting sqref="AG5">
    <cfRule type="containsText" dxfId="2678" priority="291" operator="containsText" text="Significant increase">
      <formula>NOT(ISERROR(SEARCH("Significant increase",AG5)))</formula>
    </cfRule>
    <cfRule type="containsText" dxfId="2677" priority="292" operator="containsText" text="Significant decrease">
      <formula>NOT(ISERROR(SEARCH("Significant decrease",AG5)))</formula>
    </cfRule>
  </conditionalFormatting>
  <conditionalFormatting sqref="BK5">
    <cfRule type="containsText" dxfId="2676" priority="289" operator="containsText" text="Significant increase">
      <formula>NOT(ISERROR(SEARCH("Significant increase",BK5)))</formula>
    </cfRule>
    <cfRule type="containsText" dxfId="2675" priority="290" operator="containsText" text="Significant decrease">
      <formula>NOT(ISERROR(SEARCH("Significant decrease",BK5)))</formula>
    </cfRule>
  </conditionalFormatting>
  <conditionalFormatting sqref="AG6">
    <cfRule type="containsText" dxfId="2674" priority="287" operator="containsText" text="Significant increase">
      <formula>NOT(ISERROR(SEARCH("Significant increase",AG6)))</formula>
    </cfRule>
    <cfRule type="containsText" dxfId="2673" priority="288" operator="containsText" text="Significant decrease">
      <formula>NOT(ISERROR(SEARCH("Significant decrease",AG6)))</formula>
    </cfRule>
  </conditionalFormatting>
  <conditionalFormatting sqref="BK6">
    <cfRule type="containsText" dxfId="2672" priority="285" operator="containsText" text="Significant increase">
      <formula>NOT(ISERROR(SEARCH("Significant increase",BK6)))</formula>
    </cfRule>
    <cfRule type="containsText" dxfId="2671" priority="286" operator="containsText" text="Significant decrease">
      <formula>NOT(ISERROR(SEARCH("Significant decrease",BK6)))</formula>
    </cfRule>
  </conditionalFormatting>
  <conditionalFormatting sqref="AG7">
    <cfRule type="containsText" dxfId="2670" priority="283" operator="containsText" text="Significant increase">
      <formula>NOT(ISERROR(SEARCH("Significant increase",AG7)))</formula>
    </cfRule>
    <cfRule type="containsText" dxfId="2669" priority="284" operator="containsText" text="Significant decrease">
      <formula>NOT(ISERROR(SEARCH("Significant decrease",AG7)))</formula>
    </cfRule>
  </conditionalFormatting>
  <conditionalFormatting sqref="BK7">
    <cfRule type="containsText" dxfId="2668" priority="281" operator="containsText" text="Significant increase">
      <formula>NOT(ISERROR(SEARCH("Significant increase",BK7)))</formula>
    </cfRule>
    <cfRule type="containsText" dxfId="2667" priority="282" operator="containsText" text="Significant decrease">
      <formula>NOT(ISERROR(SEARCH("Significant decrease",BK7)))</formula>
    </cfRule>
  </conditionalFormatting>
  <conditionalFormatting sqref="AG8">
    <cfRule type="containsText" dxfId="2666" priority="279" operator="containsText" text="Significant increase">
      <formula>NOT(ISERROR(SEARCH("Significant increase",AG8)))</formula>
    </cfRule>
    <cfRule type="containsText" dxfId="2665" priority="280" operator="containsText" text="Significant decrease">
      <formula>NOT(ISERROR(SEARCH("Significant decrease",AG8)))</formula>
    </cfRule>
  </conditionalFormatting>
  <conditionalFormatting sqref="BK8">
    <cfRule type="containsText" dxfId="2664" priority="277" operator="containsText" text="Significant increase">
      <formula>NOT(ISERROR(SEARCH("Significant increase",BK8)))</formula>
    </cfRule>
    <cfRule type="containsText" dxfId="2663" priority="278" operator="containsText" text="Significant decrease">
      <formula>NOT(ISERROR(SEARCH("Significant decrease",BK8)))</formula>
    </cfRule>
  </conditionalFormatting>
  <conditionalFormatting sqref="E3:F3">
    <cfRule type="containsText" dxfId="2662" priority="275" operator="containsText" text="Significant increase">
      <formula>NOT(ISERROR(SEARCH("Significant increase",E3)))</formula>
    </cfRule>
    <cfRule type="containsText" dxfId="2661" priority="276" operator="containsText" text="Significant decrease">
      <formula>NOT(ISERROR(SEARCH("Significant decrease",E3)))</formula>
    </cfRule>
  </conditionalFormatting>
  <conditionalFormatting sqref="G3:J3">
    <cfRule type="containsText" dxfId="2660" priority="273" operator="containsText" text="Significant increase">
      <formula>NOT(ISERROR(SEARCH("Significant increase",G3)))</formula>
    </cfRule>
    <cfRule type="containsText" dxfId="2659" priority="274" operator="containsText" text="Significant decrease">
      <formula>NOT(ISERROR(SEARCH("Significant decrease",G3)))</formula>
    </cfRule>
  </conditionalFormatting>
  <conditionalFormatting sqref="M3:N3">
    <cfRule type="containsText" dxfId="2658" priority="271" operator="containsText" text="Significant increase">
      <formula>NOT(ISERROR(SEARCH("Significant increase",M3)))</formula>
    </cfRule>
    <cfRule type="containsText" dxfId="2657" priority="272" operator="containsText" text="Significant decrease">
      <formula>NOT(ISERROR(SEARCH("Significant decrease",M3)))</formula>
    </cfRule>
  </conditionalFormatting>
  <conditionalFormatting sqref="AI9:AJ9">
    <cfRule type="containsText" dxfId="2656" priority="205" operator="containsText" text="Significant increase">
      <formula>NOT(ISERROR(SEARCH("Significant increase",AI9)))</formula>
    </cfRule>
    <cfRule type="containsText" dxfId="2655" priority="206" operator="containsText" text="Significant decrease">
      <formula>NOT(ISERROR(SEARCH("Significant decrease",AI9)))</formula>
    </cfRule>
  </conditionalFormatting>
  <conditionalFormatting sqref="O3:U3">
    <cfRule type="containsText" dxfId="2654" priority="269" operator="containsText" text="Significant increase">
      <formula>NOT(ISERROR(SEARCH("Significant increase",O3)))</formula>
    </cfRule>
    <cfRule type="containsText" dxfId="2653" priority="270" operator="containsText" text="Significant decrease">
      <formula>NOT(ISERROR(SEARCH("Significant decrease",O3)))</formula>
    </cfRule>
  </conditionalFormatting>
  <conditionalFormatting sqref="V3:Y3">
    <cfRule type="containsText" dxfId="2652" priority="267" operator="containsText" text="Significant increase">
      <formula>NOT(ISERROR(SEARCH("Significant increase",V3)))</formula>
    </cfRule>
    <cfRule type="containsText" dxfId="2651" priority="268" operator="containsText" text="Significant decrease">
      <formula>NOT(ISERROR(SEARCH("Significant decrease",V3)))</formula>
    </cfRule>
  </conditionalFormatting>
  <conditionalFormatting sqref="E4:F4">
    <cfRule type="containsText" dxfId="2650" priority="265" operator="containsText" text="Significant increase">
      <formula>NOT(ISERROR(SEARCH("Significant increase",E4)))</formula>
    </cfRule>
    <cfRule type="containsText" dxfId="2649" priority="266" operator="containsText" text="Significant decrease">
      <formula>NOT(ISERROR(SEARCH("Significant decrease",E4)))</formula>
    </cfRule>
  </conditionalFormatting>
  <conditionalFormatting sqref="E5:F5">
    <cfRule type="containsText" dxfId="2648" priority="263" operator="containsText" text="Significant increase">
      <formula>NOT(ISERROR(SEARCH("Significant increase",E5)))</formula>
    </cfRule>
    <cfRule type="containsText" dxfId="2647" priority="264" operator="containsText" text="Significant decrease">
      <formula>NOT(ISERROR(SEARCH("Significant decrease",E5)))</formula>
    </cfRule>
  </conditionalFormatting>
  <conditionalFormatting sqref="E6:F6">
    <cfRule type="containsText" dxfId="2646" priority="261" operator="containsText" text="Significant increase">
      <formula>NOT(ISERROR(SEARCH("Significant increase",E6)))</formula>
    </cfRule>
    <cfRule type="containsText" dxfId="2645" priority="262" operator="containsText" text="Significant decrease">
      <formula>NOT(ISERROR(SEARCH("Significant decrease",E6)))</formula>
    </cfRule>
  </conditionalFormatting>
  <conditionalFormatting sqref="E7:F7">
    <cfRule type="containsText" dxfId="2644" priority="259" operator="containsText" text="Significant increase">
      <formula>NOT(ISERROR(SEARCH("Significant increase",E7)))</formula>
    </cfRule>
    <cfRule type="containsText" dxfId="2643" priority="260" operator="containsText" text="Significant decrease">
      <formula>NOT(ISERROR(SEARCH("Significant decrease",E7)))</formula>
    </cfRule>
  </conditionalFormatting>
  <conditionalFormatting sqref="E8:F8">
    <cfRule type="containsText" dxfId="2642" priority="257" operator="containsText" text="Significant increase">
      <formula>NOT(ISERROR(SEARCH("Significant increase",E8)))</formula>
    </cfRule>
    <cfRule type="containsText" dxfId="2641" priority="258" operator="containsText" text="Significant decrease">
      <formula>NOT(ISERROR(SEARCH("Significant decrease",E8)))</formula>
    </cfRule>
  </conditionalFormatting>
  <conditionalFormatting sqref="E9:F9">
    <cfRule type="containsText" dxfId="2640" priority="255" operator="containsText" text="Significant increase">
      <formula>NOT(ISERROR(SEARCH("Significant increase",E9)))</formula>
    </cfRule>
    <cfRule type="containsText" dxfId="2639" priority="256" operator="containsText" text="Significant decrease">
      <formula>NOT(ISERROR(SEARCH("Significant decrease",E9)))</formula>
    </cfRule>
  </conditionalFormatting>
  <conditionalFormatting sqref="G9:J9">
    <cfRule type="containsText" dxfId="2638" priority="253" operator="containsText" text="Significant increase">
      <formula>NOT(ISERROR(SEARCH("Significant increase",G9)))</formula>
    </cfRule>
    <cfRule type="containsText" dxfId="2637" priority="254" operator="containsText" text="Significant decrease">
      <formula>NOT(ISERROR(SEARCH("Significant decrease",G9)))</formula>
    </cfRule>
  </conditionalFormatting>
  <conditionalFormatting sqref="G8:J8">
    <cfRule type="containsText" dxfId="2636" priority="251" operator="containsText" text="Significant increase">
      <formula>NOT(ISERROR(SEARCH("Significant increase",G8)))</formula>
    </cfRule>
    <cfRule type="containsText" dxfId="2635" priority="252" operator="containsText" text="Significant decrease">
      <formula>NOT(ISERROR(SEARCH("Significant decrease",G8)))</formula>
    </cfRule>
  </conditionalFormatting>
  <conditionalFormatting sqref="G7:J7">
    <cfRule type="containsText" dxfId="2634" priority="249" operator="containsText" text="Significant increase">
      <formula>NOT(ISERROR(SEARCH("Significant increase",G7)))</formula>
    </cfRule>
    <cfRule type="containsText" dxfId="2633" priority="250" operator="containsText" text="Significant decrease">
      <formula>NOT(ISERROR(SEARCH("Significant decrease",G7)))</formula>
    </cfRule>
  </conditionalFormatting>
  <conditionalFormatting sqref="G6:J6">
    <cfRule type="containsText" dxfId="2632" priority="247" operator="containsText" text="Significant increase">
      <formula>NOT(ISERROR(SEARCH("Significant increase",G6)))</formula>
    </cfRule>
    <cfRule type="containsText" dxfId="2631" priority="248" operator="containsText" text="Significant decrease">
      <formula>NOT(ISERROR(SEARCH("Significant decrease",G6)))</formula>
    </cfRule>
  </conditionalFormatting>
  <conditionalFormatting sqref="G5:J5">
    <cfRule type="containsText" dxfId="2630" priority="245" operator="containsText" text="Significant increase">
      <formula>NOT(ISERROR(SEARCH("Significant increase",G5)))</formula>
    </cfRule>
    <cfRule type="containsText" dxfId="2629" priority="246" operator="containsText" text="Significant decrease">
      <formula>NOT(ISERROR(SEARCH("Significant decrease",G5)))</formula>
    </cfRule>
  </conditionalFormatting>
  <conditionalFormatting sqref="G4:I4">
    <cfRule type="containsText" dxfId="2628" priority="243" operator="containsText" text="Significant increase">
      <formula>NOT(ISERROR(SEARCH("Significant increase",G4)))</formula>
    </cfRule>
    <cfRule type="containsText" dxfId="2627" priority="244" operator="containsText" text="Significant decrease">
      <formula>NOT(ISERROR(SEARCH("Significant decrease",G4)))</formula>
    </cfRule>
  </conditionalFormatting>
  <conditionalFormatting sqref="M4:N4">
    <cfRule type="containsText" dxfId="2626" priority="241" operator="containsText" text="Significant increase">
      <formula>NOT(ISERROR(SEARCH("Significant increase",M4)))</formula>
    </cfRule>
    <cfRule type="containsText" dxfId="2625" priority="242" operator="containsText" text="Significant decrease">
      <formula>NOT(ISERROR(SEARCH("Significant decrease",M4)))</formula>
    </cfRule>
  </conditionalFormatting>
  <conditionalFormatting sqref="M5:N5">
    <cfRule type="containsText" dxfId="2624" priority="239" operator="containsText" text="Significant increase">
      <formula>NOT(ISERROR(SEARCH("Significant increase",M5)))</formula>
    </cfRule>
    <cfRule type="containsText" dxfId="2623" priority="240" operator="containsText" text="Significant decrease">
      <formula>NOT(ISERROR(SEARCH("Significant decrease",M5)))</formula>
    </cfRule>
  </conditionalFormatting>
  <conditionalFormatting sqref="M6:N6">
    <cfRule type="containsText" dxfId="2622" priority="237" operator="containsText" text="Significant increase">
      <formula>NOT(ISERROR(SEARCH("Significant increase",M6)))</formula>
    </cfRule>
    <cfRule type="containsText" dxfId="2621" priority="238" operator="containsText" text="Significant decrease">
      <formula>NOT(ISERROR(SEARCH("Significant decrease",M6)))</formula>
    </cfRule>
  </conditionalFormatting>
  <conditionalFormatting sqref="M7:N7">
    <cfRule type="containsText" dxfId="2620" priority="235" operator="containsText" text="Significant increase">
      <formula>NOT(ISERROR(SEARCH("Significant increase",M7)))</formula>
    </cfRule>
    <cfRule type="containsText" dxfId="2619" priority="236" operator="containsText" text="Significant decrease">
      <formula>NOT(ISERROR(SEARCH("Significant decrease",M7)))</formula>
    </cfRule>
  </conditionalFormatting>
  <conditionalFormatting sqref="M8:N8">
    <cfRule type="containsText" dxfId="2618" priority="233" operator="containsText" text="Significant increase">
      <formula>NOT(ISERROR(SEARCH("Significant increase",M8)))</formula>
    </cfRule>
    <cfRule type="containsText" dxfId="2617" priority="234" operator="containsText" text="Significant decrease">
      <formula>NOT(ISERROR(SEARCH("Significant decrease",M8)))</formula>
    </cfRule>
  </conditionalFormatting>
  <conditionalFormatting sqref="M9:N9">
    <cfRule type="containsText" dxfId="2616" priority="231" operator="containsText" text="Significant increase">
      <formula>NOT(ISERROR(SEARCH("Significant increase",M9)))</formula>
    </cfRule>
    <cfRule type="containsText" dxfId="2615" priority="232" operator="containsText" text="Significant decrease">
      <formula>NOT(ISERROR(SEARCH("Significant decrease",M9)))</formula>
    </cfRule>
  </conditionalFormatting>
  <conditionalFormatting sqref="O9:U9">
    <cfRule type="containsText" dxfId="2614" priority="229" operator="containsText" text="Significant increase">
      <formula>NOT(ISERROR(SEARCH("Significant increase",O9)))</formula>
    </cfRule>
    <cfRule type="containsText" dxfId="2613" priority="230" operator="containsText" text="Significant decrease">
      <formula>NOT(ISERROR(SEARCH("Significant decrease",O9)))</formula>
    </cfRule>
  </conditionalFormatting>
  <conditionalFormatting sqref="O8:U8">
    <cfRule type="containsText" dxfId="2612" priority="227" operator="containsText" text="Significant increase">
      <formula>NOT(ISERROR(SEARCH("Significant increase",O8)))</formula>
    </cfRule>
    <cfRule type="containsText" dxfId="2611" priority="228" operator="containsText" text="Significant decrease">
      <formula>NOT(ISERROR(SEARCH("Significant decrease",O8)))</formula>
    </cfRule>
  </conditionalFormatting>
  <conditionalFormatting sqref="O7:U7">
    <cfRule type="containsText" dxfId="2610" priority="225" operator="containsText" text="Significant increase">
      <formula>NOT(ISERROR(SEARCH("Significant increase",O7)))</formula>
    </cfRule>
    <cfRule type="containsText" dxfId="2609" priority="226" operator="containsText" text="Significant decrease">
      <formula>NOT(ISERROR(SEARCH("Significant decrease",O7)))</formula>
    </cfRule>
  </conditionalFormatting>
  <conditionalFormatting sqref="O6:U6">
    <cfRule type="containsText" dxfId="2608" priority="223" operator="containsText" text="Significant increase">
      <formula>NOT(ISERROR(SEARCH("Significant increase",O6)))</formula>
    </cfRule>
    <cfRule type="containsText" dxfId="2607" priority="224" operator="containsText" text="Significant decrease">
      <formula>NOT(ISERROR(SEARCH("Significant decrease",O6)))</formula>
    </cfRule>
  </conditionalFormatting>
  <conditionalFormatting sqref="O5:U5">
    <cfRule type="containsText" dxfId="2606" priority="221" operator="containsText" text="Significant increase">
      <formula>NOT(ISERROR(SEARCH("Significant increase",O5)))</formula>
    </cfRule>
    <cfRule type="containsText" dxfId="2605" priority="222" operator="containsText" text="Significant decrease">
      <formula>NOT(ISERROR(SEARCH("Significant decrease",O5)))</formula>
    </cfRule>
  </conditionalFormatting>
  <conditionalFormatting sqref="O4:U4">
    <cfRule type="containsText" dxfId="2604" priority="219" operator="containsText" text="Significant increase">
      <formula>NOT(ISERROR(SEARCH("Significant increase",O4)))</formula>
    </cfRule>
    <cfRule type="containsText" dxfId="2603" priority="220" operator="containsText" text="Significant decrease">
      <formula>NOT(ISERROR(SEARCH("Significant decrease",O4)))</formula>
    </cfRule>
  </conditionalFormatting>
  <conditionalFormatting sqref="V4:Y4">
    <cfRule type="containsText" dxfId="2602" priority="217" operator="containsText" text="Significant increase">
      <formula>NOT(ISERROR(SEARCH("Significant increase",V4)))</formula>
    </cfRule>
    <cfRule type="containsText" dxfId="2601" priority="218" operator="containsText" text="Significant decrease">
      <formula>NOT(ISERROR(SEARCH("Significant decrease",V4)))</formula>
    </cfRule>
  </conditionalFormatting>
  <conditionalFormatting sqref="V5:Y5">
    <cfRule type="containsText" dxfId="2600" priority="215" operator="containsText" text="Significant increase">
      <formula>NOT(ISERROR(SEARCH("Significant increase",V5)))</formula>
    </cfRule>
    <cfRule type="containsText" dxfId="2599" priority="216" operator="containsText" text="Significant decrease">
      <formula>NOT(ISERROR(SEARCH("Significant decrease",V5)))</formula>
    </cfRule>
  </conditionalFormatting>
  <conditionalFormatting sqref="V6:Y6">
    <cfRule type="containsText" dxfId="2598" priority="213" operator="containsText" text="Significant increase">
      <formula>NOT(ISERROR(SEARCH("Significant increase",V6)))</formula>
    </cfRule>
    <cfRule type="containsText" dxfId="2597" priority="214" operator="containsText" text="Significant decrease">
      <formula>NOT(ISERROR(SEARCH("Significant decrease",V6)))</formula>
    </cfRule>
  </conditionalFormatting>
  <conditionalFormatting sqref="V7:Y7">
    <cfRule type="containsText" dxfId="2596" priority="211" operator="containsText" text="Significant increase">
      <formula>NOT(ISERROR(SEARCH("Significant increase",V7)))</formula>
    </cfRule>
    <cfRule type="containsText" dxfId="2595" priority="212" operator="containsText" text="Significant decrease">
      <formula>NOT(ISERROR(SEARCH("Significant decrease",V7)))</formula>
    </cfRule>
  </conditionalFormatting>
  <conditionalFormatting sqref="V8:Y8">
    <cfRule type="containsText" dxfId="2594" priority="209" operator="containsText" text="Significant increase">
      <formula>NOT(ISERROR(SEARCH("Significant increase",V8)))</formula>
    </cfRule>
    <cfRule type="containsText" dxfId="2593" priority="210" operator="containsText" text="Significant decrease">
      <formula>NOT(ISERROR(SEARCH("Significant decrease",V8)))</formula>
    </cfRule>
  </conditionalFormatting>
  <conditionalFormatting sqref="V9:Y9">
    <cfRule type="containsText" dxfId="2592" priority="207" operator="containsText" text="Significant increase">
      <formula>NOT(ISERROR(SEARCH("Significant increase",V9)))</formula>
    </cfRule>
    <cfRule type="containsText" dxfId="2591" priority="208" operator="containsText" text="Significant decrease">
      <formula>NOT(ISERROR(SEARCH("Significant decrease",V9)))</formula>
    </cfRule>
  </conditionalFormatting>
  <conditionalFormatting sqref="AI8:AJ8">
    <cfRule type="containsText" dxfId="2590" priority="203" operator="containsText" text="Significant increase">
      <formula>NOT(ISERROR(SEARCH("Significant increase",AI8)))</formula>
    </cfRule>
    <cfRule type="containsText" dxfId="2589" priority="204" operator="containsText" text="Significant decrease">
      <formula>NOT(ISERROR(SEARCH("Significant decrease",AI8)))</formula>
    </cfRule>
  </conditionalFormatting>
  <conditionalFormatting sqref="AI7:AJ7">
    <cfRule type="containsText" dxfId="2588" priority="201" operator="containsText" text="Significant increase">
      <formula>NOT(ISERROR(SEARCH("Significant increase",AI7)))</formula>
    </cfRule>
    <cfRule type="containsText" dxfId="2587" priority="202" operator="containsText" text="Significant decrease">
      <formula>NOT(ISERROR(SEARCH("Significant decrease",AI7)))</formula>
    </cfRule>
  </conditionalFormatting>
  <conditionalFormatting sqref="BM8:BN8">
    <cfRule type="containsText" dxfId="2586" priority="77" operator="containsText" text="Significant increase">
      <formula>NOT(ISERROR(SEARCH("Significant increase",BM8)))</formula>
    </cfRule>
    <cfRule type="containsText" dxfId="2585" priority="78" operator="containsText" text="Significant decrease">
      <formula>NOT(ISERROR(SEARCH("Significant decrease",BM8)))</formula>
    </cfRule>
  </conditionalFormatting>
  <conditionalFormatting sqref="AI6:AJ6">
    <cfRule type="containsText" dxfId="2584" priority="199" operator="containsText" text="Significant increase">
      <formula>NOT(ISERROR(SEARCH("Significant increase",AI6)))</formula>
    </cfRule>
    <cfRule type="containsText" dxfId="2583" priority="200" operator="containsText" text="Significant decrease">
      <formula>NOT(ISERROR(SEARCH("Significant decrease",AI6)))</formula>
    </cfRule>
  </conditionalFormatting>
  <conditionalFormatting sqref="AI5:AJ5">
    <cfRule type="containsText" dxfId="2582" priority="197" operator="containsText" text="Significant increase">
      <formula>NOT(ISERROR(SEARCH("Significant increase",AI5)))</formula>
    </cfRule>
    <cfRule type="containsText" dxfId="2581" priority="198" operator="containsText" text="Significant decrease">
      <formula>NOT(ISERROR(SEARCH("Significant decrease",AI5)))</formula>
    </cfRule>
  </conditionalFormatting>
  <conditionalFormatting sqref="AI4:AJ4">
    <cfRule type="containsText" dxfId="2580" priority="195" operator="containsText" text="Significant increase">
      <formula>NOT(ISERROR(SEARCH("Significant increase",AI4)))</formula>
    </cfRule>
    <cfRule type="containsText" dxfId="2579" priority="196" operator="containsText" text="Significant decrease">
      <formula>NOT(ISERROR(SEARCH("Significant decrease",AI4)))</formula>
    </cfRule>
  </conditionalFormatting>
  <conditionalFormatting sqref="AI3:AJ3">
    <cfRule type="containsText" dxfId="2578" priority="193" operator="containsText" text="Significant increase">
      <formula>NOT(ISERROR(SEARCH("Significant increase",AI3)))</formula>
    </cfRule>
    <cfRule type="containsText" dxfId="2577" priority="194" operator="containsText" text="Significant decrease">
      <formula>NOT(ISERROR(SEARCH("Significant decrease",AI3)))</formula>
    </cfRule>
  </conditionalFormatting>
  <conditionalFormatting sqref="AK3:AN3">
    <cfRule type="containsText" dxfId="2576" priority="189" operator="containsText" text="Significant increase">
      <formula>NOT(ISERROR(SEARCH("Significant increase",AK3)))</formula>
    </cfRule>
    <cfRule type="containsText" dxfId="2575" priority="190" operator="containsText" text="Significant decrease">
      <formula>NOT(ISERROR(SEARCH("Significant decrease",AK3)))</formula>
    </cfRule>
  </conditionalFormatting>
  <conditionalFormatting sqref="AK4:AN4">
    <cfRule type="containsText" dxfId="2574" priority="187" operator="containsText" text="Significant increase">
      <formula>NOT(ISERROR(SEARCH("Significant increase",AK4)))</formula>
    </cfRule>
    <cfRule type="containsText" dxfId="2573" priority="188" operator="containsText" text="Significant decrease">
      <formula>NOT(ISERROR(SEARCH("Significant decrease",AK4)))</formula>
    </cfRule>
  </conditionalFormatting>
  <conditionalFormatting sqref="AK5:AN5">
    <cfRule type="containsText" dxfId="2572" priority="185" operator="containsText" text="Significant increase">
      <formula>NOT(ISERROR(SEARCH("Significant increase",AK5)))</formula>
    </cfRule>
    <cfRule type="containsText" dxfId="2571" priority="186" operator="containsText" text="Significant decrease">
      <formula>NOT(ISERROR(SEARCH("Significant decrease",AK5)))</formula>
    </cfRule>
  </conditionalFormatting>
  <conditionalFormatting sqref="AK6:AN6">
    <cfRule type="containsText" dxfId="2570" priority="183" operator="containsText" text="Significant increase">
      <formula>NOT(ISERROR(SEARCH("Significant increase",AK6)))</formula>
    </cfRule>
    <cfRule type="containsText" dxfId="2569" priority="184" operator="containsText" text="Significant decrease">
      <formula>NOT(ISERROR(SEARCH("Significant decrease",AK6)))</formula>
    </cfRule>
  </conditionalFormatting>
  <conditionalFormatting sqref="AK7:AN7">
    <cfRule type="containsText" dxfId="2568" priority="181" operator="containsText" text="Significant increase">
      <formula>NOT(ISERROR(SEARCH("Significant increase",AK7)))</formula>
    </cfRule>
    <cfRule type="containsText" dxfId="2567" priority="182" operator="containsText" text="Significant decrease">
      <formula>NOT(ISERROR(SEARCH("Significant decrease",AK7)))</formula>
    </cfRule>
  </conditionalFormatting>
  <conditionalFormatting sqref="AK8:AN8">
    <cfRule type="containsText" dxfId="2566" priority="179" operator="containsText" text="Significant increase">
      <formula>NOT(ISERROR(SEARCH("Significant increase",AK8)))</formula>
    </cfRule>
    <cfRule type="containsText" dxfId="2565" priority="180" operator="containsText" text="Significant decrease">
      <formula>NOT(ISERROR(SEARCH("Significant decrease",AK8)))</formula>
    </cfRule>
  </conditionalFormatting>
  <conditionalFormatting sqref="AK9:AN9">
    <cfRule type="containsText" dxfId="2564" priority="177" operator="containsText" text="Significant increase">
      <formula>NOT(ISERROR(SEARCH("Significant increase",AK9)))</formula>
    </cfRule>
    <cfRule type="containsText" dxfId="2563" priority="178" operator="containsText" text="Significant decrease">
      <formula>NOT(ISERROR(SEARCH("Significant decrease",AK9)))</formula>
    </cfRule>
  </conditionalFormatting>
  <conditionalFormatting sqref="AQ9:AR9">
    <cfRule type="containsText" dxfId="2562" priority="175" operator="containsText" text="Significant increase">
      <formula>NOT(ISERROR(SEARCH("Significant increase",AQ9)))</formula>
    </cfRule>
    <cfRule type="containsText" dxfId="2561" priority="176" operator="containsText" text="Significant decrease">
      <formula>NOT(ISERROR(SEARCH("Significant decrease",AQ9)))</formula>
    </cfRule>
  </conditionalFormatting>
  <conditionalFormatting sqref="AQ8:AR8">
    <cfRule type="containsText" dxfId="2560" priority="173" operator="containsText" text="Significant increase">
      <formula>NOT(ISERROR(SEARCH("Significant increase",AQ8)))</formula>
    </cfRule>
    <cfRule type="containsText" dxfId="2559" priority="174" operator="containsText" text="Significant decrease">
      <formula>NOT(ISERROR(SEARCH("Significant decrease",AQ8)))</formula>
    </cfRule>
  </conditionalFormatting>
  <conditionalFormatting sqref="AQ7:AR7">
    <cfRule type="containsText" dxfId="2558" priority="171" operator="containsText" text="Significant increase">
      <formula>NOT(ISERROR(SEARCH("Significant increase",AQ7)))</formula>
    </cfRule>
    <cfRule type="containsText" dxfId="2557" priority="172" operator="containsText" text="Significant decrease">
      <formula>NOT(ISERROR(SEARCH("Significant decrease",AQ7)))</formula>
    </cfRule>
  </conditionalFormatting>
  <conditionalFormatting sqref="AQ6:AR6">
    <cfRule type="containsText" dxfId="2556" priority="169" operator="containsText" text="Significant increase">
      <formula>NOT(ISERROR(SEARCH("Significant increase",AQ6)))</formula>
    </cfRule>
    <cfRule type="containsText" dxfId="2555" priority="170" operator="containsText" text="Significant decrease">
      <formula>NOT(ISERROR(SEARCH("Significant decrease",AQ6)))</formula>
    </cfRule>
  </conditionalFormatting>
  <conditionalFormatting sqref="AQ5:AR5">
    <cfRule type="containsText" dxfId="2554" priority="167" operator="containsText" text="Significant increase">
      <formula>NOT(ISERROR(SEARCH("Significant increase",AQ5)))</formula>
    </cfRule>
    <cfRule type="containsText" dxfId="2553" priority="168" operator="containsText" text="Significant decrease">
      <formula>NOT(ISERROR(SEARCH("Significant decrease",AQ5)))</formula>
    </cfRule>
  </conditionalFormatting>
  <conditionalFormatting sqref="AQ4:AR4">
    <cfRule type="containsText" dxfId="2552" priority="165" operator="containsText" text="Significant increase">
      <formula>NOT(ISERROR(SEARCH("Significant increase",AQ4)))</formula>
    </cfRule>
    <cfRule type="containsText" dxfId="2551" priority="166" operator="containsText" text="Significant decrease">
      <formula>NOT(ISERROR(SEARCH("Significant decrease",AQ4)))</formula>
    </cfRule>
  </conditionalFormatting>
  <conditionalFormatting sqref="AQ3:AR3">
    <cfRule type="containsText" dxfId="2550" priority="163" operator="containsText" text="Significant increase">
      <formula>NOT(ISERROR(SEARCH("Significant increase",AQ3)))</formula>
    </cfRule>
    <cfRule type="containsText" dxfId="2549" priority="164" operator="containsText" text="Significant decrease">
      <formula>NOT(ISERROR(SEARCH("Significant decrease",AQ3)))</formula>
    </cfRule>
  </conditionalFormatting>
  <conditionalFormatting sqref="AS3:AY3">
    <cfRule type="containsText" dxfId="2548" priority="161" operator="containsText" text="Significant increase">
      <formula>NOT(ISERROR(SEARCH("Significant increase",AS3)))</formula>
    </cfRule>
    <cfRule type="containsText" dxfId="2547" priority="162" operator="containsText" text="Significant decrease">
      <formula>NOT(ISERROR(SEARCH("Significant decrease",AS3)))</formula>
    </cfRule>
  </conditionalFormatting>
  <conditionalFormatting sqref="AS4:AY4">
    <cfRule type="containsText" dxfId="2546" priority="159" operator="containsText" text="Significant increase">
      <formula>NOT(ISERROR(SEARCH("Significant increase",AS4)))</formula>
    </cfRule>
    <cfRule type="containsText" dxfId="2545" priority="160" operator="containsText" text="Significant decrease">
      <formula>NOT(ISERROR(SEARCH("Significant decrease",AS4)))</formula>
    </cfRule>
  </conditionalFormatting>
  <conditionalFormatting sqref="AS5:AY5">
    <cfRule type="containsText" dxfId="2544" priority="157" operator="containsText" text="Significant increase">
      <formula>NOT(ISERROR(SEARCH("Significant increase",AS5)))</formula>
    </cfRule>
    <cfRule type="containsText" dxfId="2543" priority="158" operator="containsText" text="Significant decrease">
      <formula>NOT(ISERROR(SEARCH("Significant decrease",AS5)))</formula>
    </cfRule>
  </conditionalFormatting>
  <conditionalFormatting sqref="AS6:AY6">
    <cfRule type="containsText" dxfId="2542" priority="155" operator="containsText" text="Significant increase">
      <formula>NOT(ISERROR(SEARCH("Significant increase",AS6)))</formula>
    </cfRule>
    <cfRule type="containsText" dxfId="2541" priority="156" operator="containsText" text="Significant decrease">
      <formula>NOT(ISERROR(SEARCH("Significant decrease",AS6)))</formula>
    </cfRule>
  </conditionalFormatting>
  <conditionalFormatting sqref="AS7:AY7">
    <cfRule type="containsText" dxfId="2540" priority="153" operator="containsText" text="Significant increase">
      <formula>NOT(ISERROR(SEARCH("Significant increase",AS7)))</formula>
    </cfRule>
    <cfRule type="containsText" dxfId="2539" priority="154" operator="containsText" text="Significant decrease">
      <formula>NOT(ISERROR(SEARCH("Significant decrease",AS7)))</formula>
    </cfRule>
  </conditionalFormatting>
  <conditionalFormatting sqref="AS8:AY8">
    <cfRule type="containsText" dxfId="2538" priority="151" operator="containsText" text="Significant increase">
      <formula>NOT(ISERROR(SEARCH("Significant increase",AS8)))</formula>
    </cfRule>
    <cfRule type="containsText" dxfId="2537" priority="152" operator="containsText" text="Significant decrease">
      <formula>NOT(ISERROR(SEARCH("Significant decrease",AS8)))</formula>
    </cfRule>
  </conditionalFormatting>
  <conditionalFormatting sqref="AS9:AY9">
    <cfRule type="containsText" dxfId="2536" priority="149" operator="containsText" text="Significant increase">
      <formula>NOT(ISERROR(SEARCH("Significant increase",AS9)))</formula>
    </cfRule>
    <cfRule type="containsText" dxfId="2535" priority="150" operator="containsText" text="Significant decrease">
      <formula>NOT(ISERROR(SEARCH("Significant decrease",AS9)))</formula>
    </cfRule>
  </conditionalFormatting>
  <conditionalFormatting sqref="AZ9:BC9">
    <cfRule type="containsText" dxfId="2534" priority="147" operator="containsText" text="Significant increase">
      <formula>NOT(ISERROR(SEARCH("Significant increase",AZ9)))</formula>
    </cfRule>
    <cfRule type="containsText" dxfId="2533" priority="148" operator="containsText" text="Significant decrease">
      <formula>NOT(ISERROR(SEARCH("Significant decrease",AZ9)))</formula>
    </cfRule>
  </conditionalFormatting>
  <conditionalFormatting sqref="AZ8:BC8">
    <cfRule type="containsText" dxfId="2532" priority="145" operator="containsText" text="Significant increase">
      <formula>NOT(ISERROR(SEARCH("Significant increase",AZ8)))</formula>
    </cfRule>
    <cfRule type="containsText" dxfId="2531" priority="146" operator="containsText" text="Significant decrease">
      <formula>NOT(ISERROR(SEARCH("Significant decrease",AZ8)))</formula>
    </cfRule>
  </conditionalFormatting>
  <conditionalFormatting sqref="AZ7:BC7">
    <cfRule type="containsText" dxfId="2530" priority="143" operator="containsText" text="Significant increase">
      <formula>NOT(ISERROR(SEARCH("Significant increase",AZ7)))</formula>
    </cfRule>
    <cfRule type="containsText" dxfId="2529" priority="144" operator="containsText" text="Significant decrease">
      <formula>NOT(ISERROR(SEARCH("Significant decrease",AZ7)))</formula>
    </cfRule>
  </conditionalFormatting>
  <conditionalFormatting sqref="AZ6:BC6">
    <cfRule type="containsText" dxfId="2528" priority="141" operator="containsText" text="Significant increase">
      <formula>NOT(ISERROR(SEARCH("Significant increase",AZ6)))</formula>
    </cfRule>
    <cfRule type="containsText" dxfId="2527" priority="142" operator="containsText" text="Significant decrease">
      <formula>NOT(ISERROR(SEARCH("Significant decrease",AZ6)))</formula>
    </cfRule>
  </conditionalFormatting>
  <conditionalFormatting sqref="AZ5:BC5">
    <cfRule type="containsText" dxfId="2526" priority="139" operator="containsText" text="Significant increase">
      <formula>NOT(ISERROR(SEARCH("Significant increase",AZ5)))</formula>
    </cfRule>
    <cfRule type="containsText" dxfId="2525" priority="140" operator="containsText" text="Significant decrease">
      <formula>NOT(ISERROR(SEARCH("Significant decrease",AZ5)))</formula>
    </cfRule>
  </conditionalFormatting>
  <conditionalFormatting sqref="AZ4:BC4">
    <cfRule type="containsText" dxfId="2524" priority="137" operator="containsText" text="Significant increase">
      <formula>NOT(ISERROR(SEARCH("Significant increase",AZ4)))</formula>
    </cfRule>
    <cfRule type="containsText" dxfId="2523" priority="138" operator="containsText" text="Significant decrease">
      <formula>NOT(ISERROR(SEARCH("Significant decrease",AZ4)))</formula>
    </cfRule>
  </conditionalFormatting>
  <conditionalFormatting sqref="AZ3:BC3">
    <cfRule type="containsText" dxfId="2522" priority="135" operator="containsText" text="Significant increase">
      <formula>NOT(ISERROR(SEARCH("Significant increase",AZ3)))</formula>
    </cfRule>
    <cfRule type="containsText" dxfId="2521" priority="136" operator="containsText" text="Significant decrease">
      <formula>NOT(ISERROR(SEARCH("Significant decrease",AZ3)))</formula>
    </cfRule>
  </conditionalFormatting>
  <conditionalFormatting sqref="BO3:BR3">
    <cfRule type="containsText" dxfId="2520" priority="133" operator="containsText" text="Significant increase">
      <formula>NOT(ISERROR(SEARCH("Significant increase",BO3)))</formula>
    </cfRule>
    <cfRule type="containsText" dxfId="2519" priority="134" operator="containsText" text="Significant decrease">
      <formula>NOT(ISERROR(SEARCH("Significant decrease",BO3)))</formula>
    </cfRule>
  </conditionalFormatting>
  <conditionalFormatting sqref="BW3:CC3">
    <cfRule type="containsText" dxfId="2518" priority="131" operator="containsText" text="Significant increase">
      <formula>NOT(ISERROR(SEARCH("Significant increase",BW3)))</formula>
    </cfRule>
    <cfRule type="containsText" dxfId="2517" priority="132" operator="containsText" text="Significant decrease">
      <formula>NOT(ISERROR(SEARCH("Significant decrease",BW3)))</formula>
    </cfRule>
  </conditionalFormatting>
  <conditionalFormatting sqref="CG3">
    <cfRule type="containsText" dxfId="2516" priority="129" operator="containsText" text="Significant increase">
      <formula>NOT(ISERROR(SEARCH("Significant increase",CG3)))</formula>
    </cfRule>
    <cfRule type="containsText" dxfId="2515" priority="130" operator="containsText" text="Significant decrease">
      <formula>NOT(ISERROR(SEARCH("Significant decrease",CG3)))</formula>
    </cfRule>
  </conditionalFormatting>
  <conditionalFormatting sqref="BM4:BN4">
    <cfRule type="containsText" dxfId="2514" priority="127" operator="containsText" text="Significant increase">
      <formula>NOT(ISERROR(SEARCH("Significant increase",BM4)))</formula>
    </cfRule>
    <cfRule type="containsText" dxfId="2513" priority="128" operator="containsText" text="Significant decrease">
      <formula>NOT(ISERROR(SEARCH("Significant decrease",BM4)))</formula>
    </cfRule>
  </conditionalFormatting>
  <conditionalFormatting sqref="BO4:BR4">
    <cfRule type="containsText" dxfId="2512" priority="125" operator="containsText" text="Significant increase">
      <formula>NOT(ISERROR(SEARCH("Significant increase",BO4)))</formula>
    </cfRule>
    <cfRule type="containsText" dxfId="2511" priority="126" operator="containsText" text="Significant decrease">
      <formula>NOT(ISERROR(SEARCH("Significant decrease",BO4)))</formula>
    </cfRule>
  </conditionalFormatting>
  <conditionalFormatting sqref="BU4:BV4">
    <cfRule type="containsText" dxfId="2510" priority="123" operator="containsText" text="Significant increase">
      <formula>NOT(ISERROR(SEARCH("Significant increase",BU4)))</formula>
    </cfRule>
    <cfRule type="containsText" dxfId="2509" priority="124" operator="containsText" text="Significant decrease">
      <formula>NOT(ISERROR(SEARCH("Significant decrease",BU4)))</formula>
    </cfRule>
  </conditionalFormatting>
  <conditionalFormatting sqref="BW4:CC4">
    <cfRule type="containsText" dxfId="2508" priority="121" operator="containsText" text="Significant increase">
      <formula>NOT(ISERROR(SEARCH("Significant increase",BW4)))</formula>
    </cfRule>
    <cfRule type="containsText" dxfId="2507" priority="122" operator="containsText" text="Significant decrease">
      <formula>NOT(ISERROR(SEARCH("Significant decrease",BW4)))</formula>
    </cfRule>
  </conditionalFormatting>
  <conditionalFormatting sqref="CD4:CG4">
    <cfRule type="containsText" dxfId="2506" priority="119" operator="containsText" text="Significant increase">
      <formula>NOT(ISERROR(SEARCH("Significant increase",CD4)))</formula>
    </cfRule>
    <cfRule type="containsText" dxfId="2505" priority="120" operator="containsText" text="Significant decrease">
      <formula>NOT(ISERROR(SEARCH("Significant decrease",CD4)))</formula>
    </cfRule>
  </conditionalFormatting>
  <conditionalFormatting sqref="BM5:BN5">
    <cfRule type="containsText" dxfId="2504" priority="117" operator="containsText" text="Significant increase">
      <formula>NOT(ISERROR(SEARCH("Significant increase",BM5)))</formula>
    </cfRule>
    <cfRule type="containsText" dxfId="2503" priority="118" operator="containsText" text="Significant decrease">
      <formula>NOT(ISERROR(SEARCH("Significant decrease",BM5)))</formula>
    </cfRule>
  </conditionalFormatting>
  <conditionalFormatting sqref="BO5:BR5">
    <cfRule type="containsText" dxfId="2502" priority="115" operator="containsText" text="Significant increase">
      <formula>NOT(ISERROR(SEARCH("Significant increase",BO5)))</formula>
    </cfRule>
    <cfRule type="containsText" dxfId="2501" priority="116" operator="containsText" text="Significant decrease">
      <formula>NOT(ISERROR(SEARCH("Significant decrease",BO5)))</formula>
    </cfRule>
  </conditionalFormatting>
  <conditionalFormatting sqref="BU5:BV5">
    <cfRule type="containsText" dxfId="2500" priority="113" operator="containsText" text="Significant increase">
      <formula>NOT(ISERROR(SEARCH("Significant increase",BU5)))</formula>
    </cfRule>
    <cfRule type="containsText" dxfId="2499" priority="114" operator="containsText" text="Significant decrease">
      <formula>NOT(ISERROR(SEARCH("Significant decrease",BU5)))</formula>
    </cfRule>
  </conditionalFormatting>
  <conditionalFormatting sqref="BW5:CC5">
    <cfRule type="containsText" dxfId="2498" priority="111" operator="containsText" text="Significant increase">
      <formula>NOT(ISERROR(SEARCH("Significant increase",BW5)))</formula>
    </cfRule>
    <cfRule type="containsText" dxfId="2497" priority="112" operator="containsText" text="Significant decrease">
      <formula>NOT(ISERROR(SEARCH("Significant decrease",BW5)))</formula>
    </cfRule>
  </conditionalFormatting>
  <conditionalFormatting sqref="CD5:CG5">
    <cfRule type="containsText" dxfId="2496" priority="109" operator="containsText" text="Significant increase">
      <formula>NOT(ISERROR(SEARCH("Significant increase",CD5)))</formula>
    </cfRule>
    <cfRule type="containsText" dxfId="2495" priority="110" operator="containsText" text="Significant decrease">
      <formula>NOT(ISERROR(SEARCH("Significant decrease",CD5)))</formula>
    </cfRule>
  </conditionalFormatting>
  <conditionalFormatting sqref="CD6:CG6">
    <cfRule type="containsText" dxfId="2494" priority="107" operator="containsText" text="Significant increase">
      <formula>NOT(ISERROR(SEARCH("Significant increase",CD6)))</formula>
    </cfRule>
    <cfRule type="containsText" dxfId="2493" priority="108" operator="containsText" text="Significant decrease">
      <formula>NOT(ISERROR(SEARCH("Significant decrease",CD6)))</formula>
    </cfRule>
  </conditionalFormatting>
  <conditionalFormatting sqref="BW6:CC6">
    <cfRule type="containsText" dxfId="2492" priority="105" operator="containsText" text="Significant increase">
      <formula>NOT(ISERROR(SEARCH("Significant increase",BW6)))</formula>
    </cfRule>
    <cfRule type="containsText" dxfId="2491" priority="106" operator="containsText" text="Significant decrease">
      <formula>NOT(ISERROR(SEARCH("Significant decrease",BW6)))</formula>
    </cfRule>
  </conditionalFormatting>
  <conditionalFormatting sqref="BU6:BV6">
    <cfRule type="containsText" dxfId="2490" priority="103" operator="containsText" text="Significant increase">
      <formula>NOT(ISERROR(SEARCH("Significant increase",BU6)))</formula>
    </cfRule>
    <cfRule type="containsText" dxfId="2489" priority="104" operator="containsText" text="Significant decrease">
      <formula>NOT(ISERROR(SEARCH("Significant decrease",BU6)))</formula>
    </cfRule>
  </conditionalFormatting>
  <conditionalFormatting sqref="BO6:BR6">
    <cfRule type="containsText" dxfId="2488" priority="99" operator="containsText" text="Significant increase">
      <formula>NOT(ISERROR(SEARCH("Significant increase",BO6)))</formula>
    </cfRule>
    <cfRule type="containsText" dxfId="2487" priority="100" operator="containsText" text="Significant decrease">
      <formula>NOT(ISERROR(SEARCH("Significant decrease",BO6)))</formula>
    </cfRule>
  </conditionalFormatting>
  <conditionalFormatting sqref="BM6:BN6">
    <cfRule type="containsText" dxfId="2486" priority="97" operator="containsText" text="Significant increase">
      <formula>NOT(ISERROR(SEARCH("Significant increase",BM6)))</formula>
    </cfRule>
    <cfRule type="containsText" dxfId="2485" priority="98" operator="containsText" text="Significant decrease">
      <formula>NOT(ISERROR(SEARCH("Significant decrease",BM6)))</formula>
    </cfRule>
  </conditionalFormatting>
  <conditionalFormatting sqref="BM7:BN7">
    <cfRule type="containsText" dxfId="2484" priority="95" operator="containsText" text="Significant increase">
      <formula>NOT(ISERROR(SEARCH("Significant increase",BM7)))</formula>
    </cfRule>
    <cfRule type="containsText" dxfId="2483" priority="96" operator="containsText" text="Significant decrease">
      <formula>NOT(ISERROR(SEARCH("Significant decrease",BM7)))</formula>
    </cfRule>
  </conditionalFormatting>
  <conditionalFormatting sqref="BO7:BR7">
    <cfRule type="containsText" dxfId="2482" priority="93" operator="containsText" text="Significant increase">
      <formula>NOT(ISERROR(SEARCH("Significant increase",BO7)))</formula>
    </cfRule>
    <cfRule type="containsText" dxfId="2481" priority="94" operator="containsText" text="Significant decrease">
      <formula>NOT(ISERROR(SEARCH("Significant decrease",BO7)))</formula>
    </cfRule>
  </conditionalFormatting>
  <conditionalFormatting sqref="BU7:BV7">
    <cfRule type="containsText" dxfId="2480" priority="91" operator="containsText" text="Significant increase">
      <formula>NOT(ISERROR(SEARCH("Significant increase",BU7)))</formula>
    </cfRule>
    <cfRule type="containsText" dxfId="2479" priority="92" operator="containsText" text="Significant decrease">
      <formula>NOT(ISERROR(SEARCH("Significant decrease",BU7)))</formula>
    </cfRule>
  </conditionalFormatting>
  <conditionalFormatting sqref="BW7:CC7">
    <cfRule type="containsText" dxfId="2478" priority="89" operator="containsText" text="Significant increase">
      <formula>NOT(ISERROR(SEARCH("Significant increase",BW7)))</formula>
    </cfRule>
    <cfRule type="containsText" dxfId="2477" priority="90" operator="containsText" text="Significant decrease">
      <formula>NOT(ISERROR(SEARCH("Significant decrease",BW7)))</formula>
    </cfRule>
  </conditionalFormatting>
  <conditionalFormatting sqref="CD7:CG7">
    <cfRule type="containsText" dxfId="2476" priority="87" operator="containsText" text="Significant increase">
      <formula>NOT(ISERROR(SEARCH("Significant increase",CD7)))</formula>
    </cfRule>
    <cfRule type="containsText" dxfId="2475" priority="88" operator="containsText" text="Significant decrease">
      <formula>NOT(ISERROR(SEARCH("Significant decrease",CD7)))</formula>
    </cfRule>
  </conditionalFormatting>
  <conditionalFormatting sqref="CD8:CG8">
    <cfRule type="containsText" dxfId="2474" priority="85" operator="containsText" text="Significant increase">
      <formula>NOT(ISERROR(SEARCH("Significant increase",CD8)))</formula>
    </cfRule>
    <cfRule type="containsText" dxfId="2473" priority="86" operator="containsText" text="Significant decrease">
      <formula>NOT(ISERROR(SEARCH("Significant decrease",CD8)))</formula>
    </cfRule>
  </conditionalFormatting>
  <conditionalFormatting sqref="BW8:CC8">
    <cfRule type="containsText" dxfId="2472" priority="83" operator="containsText" text="Significant increase">
      <formula>NOT(ISERROR(SEARCH("Significant increase",BW8)))</formula>
    </cfRule>
    <cfRule type="containsText" dxfId="2471" priority="84" operator="containsText" text="Significant decrease">
      <formula>NOT(ISERROR(SEARCH("Significant decrease",BW8)))</formula>
    </cfRule>
  </conditionalFormatting>
  <conditionalFormatting sqref="BU8:BV8">
    <cfRule type="containsText" dxfId="2470" priority="81" operator="containsText" text="Significant increase">
      <formula>NOT(ISERROR(SEARCH("Significant increase",BU8)))</formula>
    </cfRule>
    <cfRule type="containsText" dxfId="2469" priority="82" operator="containsText" text="Significant decrease">
      <formula>NOT(ISERROR(SEARCH("Significant decrease",BU8)))</formula>
    </cfRule>
  </conditionalFormatting>
  <conditionalFormatting sqref="BO8:BR8">
    <cfRule type="containsText" dxfId="2468" priority="79" operator="containsText" text="Significant increase">
      <formula>NOT(ISERROR(SEARCH("Significant increase",BO8)))</formula>
    </cfRule>
    <cfRule type="containsText" dxfId="2467" priority="80" operator="containsText" text="Significant decrease">
      <formula>NOT(ISERROR(SEARCH("Significant decrease",BO8)))</formula>
    </cfRule>
  </conditionalFormatting>
  <conditionalFormatting sqref="D9">
    <cfRule type="containsText" dxfId="2466" priority="75" operator="containsText" text="Significant increase">
      <formula>NOT(ISERROR(SEARCH("Significant increase",D9)))</formula>
    </cfRule>
    <cfRule type="containsText" dxfId="2465" priority="76" operator="containsText" text="Significant decrease">
      <formula>NOT(ISERROR(SEARCH("Significant decrease",D9)))</formula>
    </cfRule>
  </conditionalFormatting>
  <conditionalFormatting sqref="D7">
    <cfRule type="containsText" dxfId="2464" priority="73" operator="containsText" text="Significant increase">
      <formula>NOT(ISERROR(SEARCH("Significant increase",D7)))</formula>
    </cfRule>
    <cfRule type="containsText" dxfId="2463" priority="74" operator="containsText" text="Significant decrease">
      <formula>NOT(ISERROR(SEARCH("Significant decrease",D7)))</formula>
    </cfRule>
  </conditionalFormatting>
  <conditionalFormatting sqref="D3">
    <cfRule type="containsText" dxfId="2462" priority="71" operator="containsText" text="Significant increase">
      <formula>NOT(ISERROR(SEARCH("Significant increase",D3)))</formula>
    </cfRule>
    <cfRule type="containsText" dxfId="2461" priority="72" operator="containsText" text="Significant decrease">
      <formula>NOT(ISERROR(SEARCH("Significant decrease",D3)))</formula>
    </cfRule>
  </conditionalFormatting>
  <conditionalFormatting sqref="AH3">
    <cfRule type="containsText" dxfId="2460" priority="69" operator="containsText" text="Significant increase">
      <formula>NOT(ISERROR(SEARCH("Significant increase",AH3)))</formula>
    </cfRule>
    <cfRule type="containsText" dxfId="2459" priority="70" operator="containsText" text="Significant decrease">
      <formula>NOT(ISERROR(SEARCH("Significant decrease",AH3)))</formula>
    </cfRule>
  </conditionalFormatting>
  <conditionalFormatting sqref="AH7">
    <cfRule type="containsText" dxfId="2458" priority="67" operator="containsText" text="Significant increase">
      <formula>NOT(ISERROR(SEARCH("Significant increase",AH7)))</formula>
    </cfRule>
    <cfRule type="containsText" dxfId="2457" priority="68" operator="containsText" text="Significant decrease">
      <formula>NOT(ISERROR(SEARCH("Significant decrease",AH7)))</formula>
    </cfRule>
  </conditionalFormatting>
  <conditionalFormatting sqref="AH9">
    <cfRule type="containsText" dxfId="2456" priority="65" operator="containsText" text="Significant increase">
      <formula>NOT(ISERROR(SEARCH("Significant increase",AH9)))</formula>
    </cfRule>
    <cfRule type="containsText" dxfId="2455" priority="66" operator="containsText" text="Significant decrease">
      <formula>NOT(ISERROR(SEARCH("Significant decrease",AH9)))</formula>
    </cfRule>
  </conditionalFormatting>
  <conditionalFormatting sqref="BL9">
    <cfRule type="containsText" dxfId="2454" priority="63" operator="containsText" text="Significant increase">
      <formula>NOT(ISERROR(SEARCH("Significant increase",BL9)))</formula>
    </cfRule>
    <cfRule type="containsText" dxfId="2453" priority="64" operator="containsText" text="Significant decrease">
      <formula>NOT(ISERROR(SEARCH("Significant decrease",BL9)))</formula>
    </cfRule>
  </conditionalFormatting>
  <conditionalFormatting sqref="BL7">
    <cfRule type="containsText" dxfId="2452" priority="61" operator="containsText" text="Significant increase">
      <formula>NOT(ISERROR(SEARCH("Significant increase",BL7)))</formula>
    </cfRule>
    <cfRule type="containsText" dxfId="2451" priority="62" operator="containsText" text="Significant decrease">
      <formula>NOT(ISERROR(SEARCH("Significant decrease",BL7)))</formula>
    </cfRule>
  </conditionalFormatting>
  <conditionalFormatting sqref="BL3">
    <cfRule type="containsText" dxfId="2450" priority="59" operator="containsText" text="Significant increase">
      <formula>NOT(ISERROR(SEARCH("Significant increase",BL3)))</formula>
    </cfRule>
    <cfRule type="containsText" dxfId="2449" priority="60" operator="containsText" text="Significant decrease">
      <formula>NOT(ISERROR(SEARCH("Significant decrease",BL3)))</formula>
    </cfRule>
  </conditionalFormatting>
  <conditionalFormatting sqref="CX9:CX10">
    <cfRule type="containsText" dxfId="2448" priority="57" operator="containsText" text="Significant increase">
      <formula>NOT(ISERROR(SEARCH("Significant increase",CX9)))</formula>
    </cfRule>
    <cfRule type="containsText" dxfId="2447" priority="58" operator="containsText" text="Significant decrease">
      <formula>NOT(ISERROR(SEARCH("Significant decrease",CX9)))</formula>
    </cfRule>
  </conditionalFormatting>
  <conditionalFormatting sqref="CX8">
    <cfRule type="containsText" dxfId="2446" priority="55" operator="containsText" text="Significant increase">
      <formula>NOT(ISERROR(SEARCH("Significant increase",CX8)))</formula>
    </cfRule>
    <cfRule type="containsText" dxfId="2445" priority="56" operator="containsText" text="Significant decrease">
      <formula>NOT(ISERROR(SEARCH("Significant decrease",CX8)))</formula>
    </cfRule>
  </conditionalFormatting>
  <conditionalFormatting sqref="CX7">
    <cfRule type="containsText" dxfId="2444" priority="53" operator="containsText" text="Significant increase">
      <formula>NOT(ISERROR(SEARCH("Significant increase",CX7)))</formula>
    </cfRule>
    <cfRule type="containsText" dxfId="2443" priority="54" operator="containsText" text="Significant decrease">
      <formula>NOT(ISERROR(SEARCH("Significant decrease",CX7)))</formula>
    </cfRule>
  </conditionalFormatting>
  <conditionalFormatting sqref="CX6">
    <cfRule type="containsText" dxfId="2442" priority="51" operator="containsText" text="Significant increase">
      <formula>NOT(ISERROR(SEARCH("Significant increase",CX6)))</formula>
    </cfRule>
    <cfRule type="containsText" dxfId="2441" priority="52" operator="containsText" text="Significant decrease">
      <formula>NOT(ISERROR(SEARCH("Significant decrease",CX6)))</formula>
    </cfRule>
  </conditionalFormatting>
  <conditionalFormatting sqref="CX4">
    <cfRule type="containsText" dxfId="2440" priority="49" operator="containsText" text="Significant increase">
      <formula>NOT(ISERROR(SEARCH("Significant increase",CX4)))</formula>
    </cfRule>
    <cfRule type="containsText" dxfId="2439" priority="50" operator="containsText" text="Significant decrease">
      <formula>NOT(ISERROR(SEARCH("Significant decrease",CX4)))</formula>
    </cfRule>
  </conditionalFormatting>
  <conditionalFormatting sqref="D10">
    <cfRule type="containsText" dxfId="2438" priority="47" operator="containsText" text="Significant increase">
      <formula>NOT(ISERROR(SEARCH("Significant increase",D10)))</formula>
    </cfRule>
    <cfRule type="containsText" dxfId="2437" priority="48" operator="containsText" text="Significant decrease">
      <formula>NOT(ISERROR(SEARCH("Significant decrease",D10)))</formula>
    </cfRule>
  </conditionalFormatting>
  <conditionalFormatting sqref="AH10">
    <cfRule type="containsText" dxfId="2436" priority="45" operator="containsText" text="Significant increase">
      <formula>NOT(ISERROR(SEARCH("Significant increase",AH10)))</formula>
    </cfRule>
    <cfRule type="containsText" dxfId="2435" priority="46" operator="containsText" text="Significant decrease">
      <formula>NOT(ISERROR(SEARCH("Significant decrease",AH10)))</formula>
    </cfRule>
  </conditionalFormatting>
  <conditionalFormatting sqref="BL10">
    <cfRule type="containsText" dxfId="2434" priority="43" operator="containsText" text="Significant increase">
      <formula>NOT(ISERROR(SEARCH("Significant increase",BL10)))</formula>
    </cfRule>
    <cfRule type="containsText" dxfId="2433" priority="44" operator="containsText" text="Significant decrease">
      <formula>NOT(ISERROR(SEARCH("Significant decrease",BL10)))</formula>
    </cfRule>
  </conditionalFormatting>
  <conditionalFormatting sqref="E10:F10">
    <cfRule type="containsText" dxfId="2432" priority="41" operator="containsText" text="Significant decrease">
      <formula>NOT(ISERROR(SEARCH("Significant decrease",E10)))</formula>
    </cfRule>
    <cfRule type="containsText" dxfId="2431" priority="42" operator="containsText" text="Significant increase">
      <formula>NOT(ISERROR(SEARCH("Significant increase",E10)))</formula>
    </cfRule>
  </conditionalFormatting>
  <conditionalFormatting sqref="G10:J10">
    <cfRule type="containsText" dxfId="2430" priority="39" operator="containsText" text="Significant decrease">
      <formula>NOT(ISERROR(SEARCH("Significant decrease",G10)))</formula>
    </cfRule>
    <cfRule type="containsText" dxfId="2429" priority="40" operator="containsText" text="Significant increase">
      <formula>NOT(ISERROR(SEARCH("Significant increase",G10)))</formula>
    </cfRule>
  </conditionalFormatting>
  <conditionalFormatting sqref="K10:L10">
    <cfRule type="containsText" dxfId="2428" priority="37" operator="containsText" text="Significant decrease">
      <formula>NOT(ISERROR(SEARCH("Significant decrease",K10)))</formula>
    </cfRule>
    <cfRule type="containsText" dxfId="2427" priority="38" operator="containsText" text="Significant increase">
      <formula>NOT(ISERROR(SEARCH("Significant increase",K10)))</formula>
    </cfRule>
  </conditionalFormatting>
  <conditionalFormatting sqref="M10:N10">
    <cfRule type="containsText" dxfId="2426" priority="35" operator="containsText" text="Significant decrease">
      <formula>NOT(ISERROR(SEARCH("Significant decrease",M10)))</formula>
    </cfRule>
    <cfRule type="containsText" dxfId="2425" priority="36" operator="containsText" text="Significant increase">
      <formula>NOT(ISERROR(SEARCH("Significant increase",M10)))</formula>
    </cfRule>
  </conditionalFormatting>
  <conditionalFormatting sqref="O10:U10">
    <cfRule type="containsText" dxfId="2424" priority="33" operator="containsText" text="Significant decrease">
      <formula>NOT(ISERROR(SEARCH("Significant decrease",O10)))</formula>
    </cfRule>
    <cfRule type="containsText" dxfId="2423" priority="34" operator="containsText" text="Significant increase">
      <formula>NOT(ISERROR(SEARCH("Significant increase",O10)))</formula>
    </cfRule>
  </conditionalFormatting>
  <conditionalFormatting sqref="V10:Y10">
    <cfRule type="containsText" dxfId="2422" priority="31" operator="containsText" text="Significant decrease">
      <formula>NOT(ISERROR(SEARCH("Significant decrease",V10)))</formula>
    </cfRule>
    <cfRule type="containsText" dxfId="2421" priority="32" operator="containsText" text="Significant increase">
      <formula>NOT(ISERROR(SEARCH("Significant increase",V10)))</formula>
    </cfRule>
  </conditionalFormatting>
  <conditionalFormatting sqref="Z10:AF10">
    <cfRule type="containsText" dxfId="2420" priority="29" operator="containsText" text="Significant decrease">
      <formula>NOT(ISERROR(SEARCH("Significant decrease",Z10)))</formula>
    </cfRule>
    <cfRule type="containsText" dxfId="2419" priority="30" operator="containsText" text="Significant increase">
      <formula>NOT(ISERROR(SEARCH("Significant increase",Z10)))</formula>
    </cfRule>
  </conditionalFormatting>
  <conditionalFormatting sqref="AI10:AJ10">
    <cfRule type="containsText" dxfId="2418" priority="27" operator="containsText" text="Significant decrease">
      <formula>NOT(ISERROR(SEARCH("Significant decrease",AI10)))</formula>
    </cfRule>
    <cfRule type="containsText" dxfId="2417" priority="28" operator="containsText" text="Significant increase">
      <formula>NOT(ISERROR(SEARCH("Significant increase",AI10)))</formula>
    </cfRule>
  </conditionalFormatting>
  <conditionalFormatting sqref="AK10:AN10">
    <cfRule type="containsText" dxfId="2416" priority="25" operator="containsText" text="Significant decrease">
      <formula>NOT(ISERROR(SEARCH("Significant decrease",AK10)))</formula>
    </cfRule>
    <cfRule type="containsText" dxfId="2415" priority="26" operator="containsText" text="Significant increase">
      <formula>NOT(ISERROR(SEARCH("Significant increase",AK10)))</formula>
    </cfRule>
  </conditionalFormatting>
  <conditionalFormatting sqref="AO10:AP10">
    <cfRule type="containsText" dxfId="2414" priority="23" operator="containsText" text="Significant decrease">
      <formula>NOT(ISERROR(SEARCH("Significant decrease",AO10)))</formula>
    </cfRule>
    <cfRule type="containsText" dxfId="2413" priority="24" operator="containsText" text="Significant increase">
      <formula>NOT(ISERROR(SEARCH("Significant increase",AO10)))</formula>
    </cfRule>
  </conditionalFormatting>
  <conditionalFormatting sqref="AQ10:AR10">
    <cfRule type="containsText" dxfId="2412" priority="21" operator="containsText" text="Significant decrease">
      <formula>NOT(ISERROR(SEARCH("Significant decrease",AQ10)))</formula>
    </cfRule>
    <cfRule type="containsText" dxfId="2411" priority="22" operator="containsText" text="Significant increase">
      <formula>NOT(ISERROR(SEARCH("Significant increase",AQ10)))</formula>
    </cfRule>
  </conditionalFormatting>
  <conditionalFormatting sqref="AS10:AY10">
    <cfRule type="containsText" dxfId="2410" priority="19" operator="containsText" text="Significant decrease">
      <formula>NOT(ISERROR(SEARCH("Significant decrease",AS10)))</formula>
    </cfRule>
    <cfRule type="containsText" dxfId="2409" priority="20" operator="containsText" text="Significant increase">
      <formula>NOT(ISERROR(SEARCH("Significant increase",AS10)))</formula>
    </cfRule>
  </conditionalFormatting>
  <conditionalFormatting sqref="AZ10:BC10">
    <cfRule type="containsText" dxfId="2408" priority="17" operator="containsText" text="Significant decrease">
      <formula>NOT(ISERROR(SEARCH("Significant decrease",AZ10)))</formula>
    </cfRule>
    <cfRule type="containsText" dxfId="2407" priority="18" operator="containsText" text="Significant increase">
      <formula>NOT(ISERROR(SEARCH("Significant increase",AZ10)))</formula>
    </cfRule>
  </conditionalFormatting>
  <conditionalFormatting sqref="BD10:BJ10">
    <cfRule type="containsText" dxfId="2406" priority="15" operator="containsText" text="Significant decrease">
      <formula>NOT(ISERROR(SEARCH("Significant decrease",BD10)))</formula>
    </cfRule>
    <cfRule type="containsText" dxfId="2405" priority="16" operator="containsText" text="Significant increase">
      <formula>NOT(ISERROR(SEARCH("Significant increase",BD10)))</formula>
    </cfRule>
  </conditionalFormatting>
  <conditionalFormatting sqref="BM10:BN10">
    <cfRule type="containsText" dxfId="2404" priority="13" operator="containsText" text="Significant decrease">
      <formula>NOT(ISERROR(SEARCH("Significant decrease",BM10)))</formula>
    </cfRule>
    <cfRule type="containsText" dxfId="2403" priority="14" operator="containsText" text="Significant increase">
      <formula>NOT(ISERROR(SEARCH("Significant increase",BM10)))</formula>
    </cfRule>
  </conditionalFormatting>
  <conditionalFormatting sqref="BO10:BR10">
    <cfRule type="containsText" dxfId="2402" priority="11" operator="containsText" text="Significant decrease">
      <formula>NOT(ISERROR(SEARCH("Significant decrease",BO10)))</formula>
    </cfRule>
    <cfRule type="containsText" dxfId="2401" priority="12" operator="containsText" text="Significant increase">
      <formula>NOT(ISERROR(SEARCH("Significant increase",BO10)))</formula>
    </cfRule>
  </conditionalFormatting>
  <conditionalFormatting sqref="BS10:BT10">
    <cfRule type="containsText" dxfId="2400" priority="9" operator="containsText" text="Significant decrease">
      <formula>NOT(ISERROR(SEARCH("Significant decrease",BS10)))</formula>
    </cfRule>
    <cfRule type="containsText" dxfId="2399" priority="10" operator="containsText" text="Significant increase">
      <formula>NOT(ISERROR(SEARCH("Significant increase",BS10)))</formula>
    </cfRule>
  </conditionalFormatting>
  <conditionalFormatting sqref="BU10:BV10">
    <cfRule type="containsText" dxfId="2398" priority="7" operator="containsText" text="Significant decrease">
      <formula>NOT(ISERROR(SEARCH("Significant decrease",BU10)))</formula>
    </cfRule>
    <cfRule type="containsText" dxfId="2397" priority="8" operator="containsText" text="Significant increase">
      <formula>NOT(ISERROR(SEARCH("Significant increase",BU10)))</formula>
    </cfRule>
  </conditionalFormatting>
  <conditionalFormatting sqref="BW10:CC10">
    <cfRule type="containsText" dxfId="2396" priority="5" operator="containsText" text="Significant decrease">
      <formula>NOT(ISERROR(SEARCH("Significant decrease",BW10)))</formula>
    </cfRule>
    <cfRule type="containsText" dxfId="2395" priority="6" operator="containsText" text="Significant increase">
      <formula>NOT(ISERROR(SEARCH("Significant increase",BW10)))</formula>
    </cfRule>
  </conditionalFormatting>
  <conditionalFormatting sqref="CD10:CG10">
    <cfRule type="containsText" dxfId="2394" priority="3" operator="containsText" text="Significant decrease">
      <formula>NOT(ISERROR(SEARCH("Significant decrease",CD10)))</formula>
    </cfRule>
    <cfRule type="containsText" dxfId="2393" priority="4" operator="containsText" text="Significant increase">
      <formula>NOT(ISERROR(SEARCH("Significant increase",CD10)))</formula>
    </cfRule>
  </conditionalFormatting>
  <conditionalFormatting sqref="CH10:CN10">
    <cfRule type="containsText" dxfId="2392" priority="1" operator="containsText" text="Significant decrease">
      <formula>NOT(ISERROR(SEARCH("Significant decrease",CH10)))</formula>
    </cfRule>
    <cfRule type="containsText" dxfId="2391" priority="2" operator="containsText" text="Significant increase">
      <formula>NOT(ISERROR(SEARCH("Significant increase",CH10)))</formula>
    </cfRule>
  </conditionalFormatting>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X13"/>
  <sheetViews>
    <sheetView zoomScale="90" zoomScaleNormal="90" workbookViewId="0">
      <pane xSplit="2" ySplit="2" topLeftCell="CJ3" activePane="bottomRight" state="frozen"/>
      <selection activeCell="CE39" sqref="CE39"/>
      <selection pane="topRight" activeCell="CE39" sqref="CE39"/>
      <selection pane="bottomLeft" activeCell="CE39" sqref="CE39"/>
      <selection pane="bottomRight" activeCell="CV10" sqref="CV10"/>
    </sheetView>
  </sheetViews>
  <sheetFormatPr defaultRowHeight="14.25" outlineLevelCol="1" x14ac:dyDescent="0.2"/>
  <cols>
    <col min="2" max="2" width="11.69921875" customWidth="1"/>
    <col min="3" max="3" width="23.5" customWidth="1"/>
    <col min="4" max="4" width="10.59765625" customWidth="1" outlineLevel="1"/>
    <col min="5" max="11" width="8.69921875" customWidth="1" outlineLevel="1"/>
    <col min="12" max="12" width="18.296875" customWidth="1" outlineLevel="1"/>
    <col min="13" max="13" width="21" customWidth="1" outlineLevel="1"/>
    <col min="14" max="14" width="12.796875" customWidth="1" outlineLevel="1"/>
    <col min="15" max="15" width="12.19921875" customWidth="1" outlineLevel="1"/>
    <col min="16" max="16" width="12.09765625" customWidth="1" outlineLevel="1"/>
    <col min="17" max="17" width="8.69921875" customWidth="1" outlineLevel="1"/>
    <col min="18" max="18" width="9.296875" customWidth="1" outlineLevel="1"/>
    <col min="19" max="19" width="8.69921875" customWidth="1" outlineLevel="1"/>
    <col min="20" max="20" width="17.69921875" customWidth="1" outlineLevel="1"/>
    <col min="21" max="22" width="29" customWidth="1" outlineLevel="1"/>
    <col min="23" max="23" width="28.5" customWidth="1" outlineLevel="1"/>
    <col min="24" max="24" width="26.296875" customWidth="1" outlineLevel="1"/>
    <col min="25" max="25" width="21.5" customWidth="1" outlineLevel="1"/>
    <col min="26" max="26" width="12.5" customWidth="1" outlineLevel="1"/>
    <col min="27" max="27" width="19" customWidth="1" outlineLevel="1"/>
    <col min="28" max="28" width="35.69921875" customWidth="1" outlineLevel="1"/>
    <col min="29" max="29" width="33.796875" customWidth="1" outlineLevel="1"/>
    <col min="30" max="30" width="21.296875" customWidth="1" outlineLevel="1"/>
    <col min="31" max="31" width="19.19921875" customWidth="1" outlineLevel="1"/>
    <col min="32" max="32" width="28.296875" customWidth="1"/>
    <col min="33" max="33" width="8.69921875" customWidth="1" outlineLevel="1"/>
    <col min="34" max="34" width="9.296875" customWidth="1" outlineLevel="1"/>
    <col min="35" max="40" width="8.69921875" customWidth="1" outlineLevel="1"/>
    <col min="41" max="41" width="20.09765625" customWidth="1" outlineLevel="1"/>
    <col min="42" max="42" width="22.69921875" customWidth="1" outlineLevel="1"/>
    <col min="43" max="43" width="14.59765625" customWidth="1" outlineLevel="1"/>
    <col min="44" max="44" width="14" customWidth="1" outlineLevel="1"/>
    <col min="45" max="45" width="13.796875" customWidth="1" outlineLevel="1"/>
    <col min="46" max="46" width="8.796875" customWidth="1" outlineLevel="1"/>
    <col min="47" max="47" width="11.09765625" customWidth="1" outlineLevel="1"/>
    <col min="48" max="48" width="9.296875" customWidth="1" outlineLevel="1"/>
    <col min="49" max="49" width="19.5" customWidth="1" outlineLevel="1"/>
    <col min="50" max="51" width="30.69921875" customWidth="1" outlineLevel="1"/>
    <col min="52" max="52" width="30.296875" customWidth="1" outlineLevel="1"/>
    <col min="53" max="53" width="28.09765625" customWidth="1" outlineLevel="1"/>
    <col min="54" max="54" width="23.296875" customWidth="1" outlineLevel="1"/>
    <col min="55" max="55" width="14.296875" customWidth="1" outlineLevel="1"/>
    <col min="56" max="56" width="20.69921875" customWidth="1" outlineLevel="1"/>
    <col min="57" max="57" width="37.5" customWidth="1" outlineLevel="1"/>
    <col min="58" max="58" width="35.59765625" customWidth="1" outlineLevel="1"/>
    <col min="59" max="59" width="23.09765625" customWidth="1" outlineLevel="1"/>
    <col min="60" max="60" width="21" customWidth="1" outlineLevel="1"/>
    <col min="61" max="61" width="24.796875" customWidth="1"/>
    <col min="62" max="62" width="8.69921875" customWidth="1" outlineLevel="1"/>
    <col min="63" max="63" width="10.19921875" customWidth="1" outlineLevel="1"/>
    <col min="64" max="69" width="8.69921875" customWidth="1" outlineLevel="1"/>
    <col min="70" max="70" width="20.09765625" customWidth="1" outlineLevel="1"/>
    <col min="71" max="71" width="22.69921875" customWidth="1" outlineLevel="1"/>
    <col min="72" max="72" width="14.59765625" customWidth="1" outlineLevel="1"/>
    <col min="73" max="73" width="14" customWidth="1" outlineLevel="1"/>
    <col min="74" max="74" width="13.796875" customWidth="1" outlineLevel="1"/>
    <col min="75" max="75" width="8.796875" customWidth="1" outlineLevel="1"/>
    <col min="76" max="76" width="11.09765625" customWidth="1" outlineLevel="1"/>
    <col min="77" max="77" width="9.296875" customWidth="1" outlineLevel="1"/>
    <col min="78" max="78" width="19.5" customWidth="1" outlineLevel="1"/>
    <col min="79" max="80" width="30.69921875" customWidth="1" outlineLevel="1"/>
    <col min="81" max="81" width="30.296875" customWidth="1" outlineLevel="1"/>
    <col min="82" max="82" width="28.09765625" customWidth="1" outlineLevel="1"/>
    <col min="83" max="83" width="23.296875" customWidth="1" outlineLevel="1"/>
    <col min="84" max="84" width="14.296875" customWidth="1" outlineLevel="1"/>
    <col min="85" max="85" width="20.69921875" customWidth="1" outlineLevel="1"/>
    <col min="86" max="86" width="37.5" customWidth="1" outlineLevel="1"/>
    <col min="87" max="87" width="35.59765625" customWidth="1" outlineLevel="1"/>
    <col min="88" max="88" width="23.09765625" customWidth="1" outlineLevel="1"/>
    <col min="89" max="89" width="21" customWidth="1" outlineLevel="1"/>
    <col min="94" max="94" width="14.5" style="29" customWidth="1"/>
  </cols>
  <sheetData>
    <row r="1" spans="1:102" x14ac:dyDescent="0.2">
      <c r="D1" s="229" t="s">
        <v>30</v>
      </c>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E1" s="229"/>
      <c r="AG1" s="229" t="s">
        <v>32</v>
      </c>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H1" s="229"/>
      <c r="BJ1" s="229" t="s">
        <v>34</v>
      </c>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c r="CK1" s="229"/>
    </row>
    <row r="2" spans="1:102" x14ac:dyDescent="0.2">
      <c r="A2" s="2" t="s">
        <v>106</v>
      </c>
      <c r="B2" t="s">
        <v>0</v>
      </c>
      <c r="C2" t="s">
        <v>29</v>
      </c>
      <c r="D2"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2" t="s">
        <v>165</v>
      </c>
      <c r="CQ2" s="2" t="s">
        <v>102</v>
      </c>
      <c r="CR2" s="2" t="s">
        <v>103</v>
      </c>
      <c r="CS2" s="2" t="s">
        <v>104</v>
      </c>
      <c r="CT2" s="2" t="s">
        <v>105</v>
      </c>
      <c r="CU2" s="2" t="s">
        <v>207</v>
      </c>
      <c r="CV2" s="2" t="s">
        <v>208</v>
      </c>
      <c r="CW2" s="2" t="s">
        <v>209</v>
      </c>
      <c r="CX2" s="2" t="s">
        <v>301</v>
      </c>
    </row>
    <row r="3" spans="1:102" x14ac:dyDescent="0.2">
      <c r="A3" s="4" t="s">
        <v>108</v>
      </c>
      <c r="B3" s="4" t="s">
        <v>35</v>
      </c>
      <c r="C3" s="4">
        <v>0.59354515323705681</v>
      </c>
      <c r="D3" s="27">
        <v>1304400</v>
      </c>
      <c r="E3" s="4">
        <v>0.62127982286135219</v>
      </c>
      <c r="F3" s="4">
        <v>0.5685940128941529</v>
      </c>
      <c r="G3" s="4">
        <v>0.69046617281694611</v>
      </c>
      <c r="H3" s="4">
        <v>0.60897500112828895</v>
      </c>
      <c r="I3" s="4">
        <v>0.53122579009302817</v>
      </c>
      <c r="J3" s="4">
        <v>0.3242959633915089</v>
      </c>
      <c r="K3" s="4"/>
      <c r="L3" s="4"/>
      <c r="M3" s="4">
        <v>0.40983400149099447</v>
      </c>
      <c r="N3" s="4">
        <v>0.64463428535327405</v>
      </c>
      <c r="O3" s="4">
        <v>0.60303692507886897</v>
      </c>
      <c r="P3" s="4">
        <v>0.63657029755625028</v>
      </c>
      <c r="Q3" s="4">
        <v>0.56447615375128979</v>
      </c>
      <c r="R3" s="4">
        <v>0.50882067292621136</v>
      </c>
      <c r="S3" s="4">
        <v>0.40122575806746846</v>
      </c>
      <c r="T3" s="4">
        <v>0.66594707585075186</v>
      </c>
      <c r="U3" s="4">
        <v>0.50178122506959022</v>
      </c>
      <c r="V3" s="4">
        <v>0.69099733866269131</v>
      </c>
      <c r="W3" s="4">
        <v>0.58400888756618086</v>
      </c>
      <c r="X3" s="4">
        <v>0.50818780381991213</v>
      </c>
      <c r="Y3" s="4"/>
      <c r="Z3" s="4"/>
      <c r="AA3" s="4"/>
      <c r="AB3" s="4"/>
      <c r="AC3" s="4"/>
      <c r="AD3" s="4"/>
      <c r="AE3" s="4"/>
      <c r="AF3" s="4"/>
      <c r="AG3" s="4">
        <v>0.12127418328612977</v>
      </c>
      <c r="AH3" s="27">
        <v>266500</v>
      </c>
      <c r="AI3" s="4">
        <v>0.11040878040071769</v>
      </c>
      <c r="AJ3" s="4">
        <v>0.13187914490560534</v>
      </c>
      <c r="AK3" s="4">
        <v>0.11126373831207653</v>
      </c>
      <c r="AL3" s="4">
        <v>0.12264871264464845</v>
      </c>
      <c r="AM3" s="4">
        <v>0.1335728966901058</v>
      </c>
      <c r="AN3" s="4">
        <v>0.12516436675498957</v>
      </c>
      <c r="AO3" s="4"/>
      <c r="AP3" s="4"/>
      <c r="AQ3" s="4">
        <v>0.12950228862944746</v>
      </c>
      <c r="AR3" s="4">
        <v>0.12154361704710497</v>
      </c>
      <c r="AS3" s="4">
        <v>0.12247662414758667</v>
      </c>
      <c r="AT3" s="4">
        <v>0.12308579474122761</v>
      </c>
      <c r="AU3" s="4">
        <v>0.12433155192032926</v>
      </c>
      <c r="AV3" s="4"/>
      <c r="AW3" s="4"/>
      <c r="AX3" s="4"/>
      <c r="AY3" s="4">
        <v>8.1783837408066912E-2</v>
      </c>
      <c r="AZ3" s="4">
        <v>0.12082074225616024</v>
      </c>
      <c r="BA3" s="4">
        <v>0.13661283962201806</v>
      </c>
      <c r="BB3" s="4">
        <v>0.11721325521426502</v>
      </c>
      <c r="BC3" s="4"/>
      <c r="BD3" s="4"/>
      <c r="BE3" s="4"/>
      <c r="BF3" s="4"/>
      <c r="BG3" s="4"/>
      <c r="BH3" s="4"/>
      <c r="BI3" s="4"/>
      <c r="BJ3" s="4"/>
      <c r="BK3" s="4">
        <v>0.28520000000000001</v>
      </c>
      <c r="BL3" s="30">
        <v>626700</v>
      </c>
      <c r="BM3" s="4">
        <v>0.26831139673792948</v>
      </c>
      <c r="BN3" s="4">
        <v>0.299526842200245</v>
      </c>
      <c r="BO3" s="4">
        <v>0.19827008887097503</v>
      </c>
      <c r="BP3" s="4">
        <v>0.26837628622706239</v>
      </c>
      <c r="BQ3" s="4">
        <v>0.33520131321686619</v>
      </c>
      <c r="BR3" s="4">
        <v>0.55053966985350034</v>
      </c>
      <c r="BS3" s="4"/>
      <c r="BT3" s="4"/>
      <c r="BU3" s="4">
        <v>0.46066370987955918</v>
      </c>
      <c r="BV3" s="4">
        <v>0.23382209759962425</v>
      </c>
      <c r="BW3" s="4">
        <v>0.27448645077355166</v>
      </c>
      <c r="BX3" s="4">
        <v>0.24034390770252326</v>
      </c>
      <c r="BY3" s="4">
        <v>0.31119229432838003</v>
      </c>
      <c r="BZ3" s="4">
        <v>0.37036705049796176</v>
      </c>
      <c r="CA3" s="4">
        <v>0.46304899568934182</v>
      </c>
      <c r="CB3" s="4">
        <v>0.26741989559591312</v>
      </c>
      <c r="CC3" s="4">
        <v>0.41643493752234273</v>
      </c>
      <c r="CD3" s="4">
        <v>0.18818191908114837</v>
      </c>
      <c r="CE3" s="4">
        <v>0.27937827281180072</v>
      </c>
      <c r="CF3" s="4">
        <v>0.37459894096582291</v>
      </c>
      <c r="CG3" s="4"/>
      <c r="CH3" s="4"/>
      <c r="CI3" s="4"/>
      <c r="CJ3" s="4"/>
      <c r="CK3" s="4"/>
      <c r="CL3" s="4"/>
      <c r="CM3" s="4"/>
      <c r="CN3" s="4"/>
      <c r="CO3" s="4">
        <f t="shared" ref="CO3:CO9" si="0">SUM(C3,AG3)</f>
        <v>0.71481933652318652</v>
      </c>
      <c r="CP3" s="30">
        <f>GM[[#This Row],[Active - Numbers]]+GM[[#This Row],[Fairly Active - Numbers]]</f>
        <v>1570900</v>
      </c>
      <c r="CQ3" s="4">
        <f>GM[[#This Row],[Male I]]-GM[[#This Row],[Female I]]</f>
        <v>-3.1215445462315528E-2</v>
      </c>
      <c r="CR3" s="4">
        <f>GM[[#This Row],[NS SEC 1-2: Higher social groups I]]-GM[[#This Row],[NS SEC 6-8: Lower social groups I]]</f>
        <v>-0.18641702188467454</v>
      </c>
      <c r="CS3" s="4">
        <f>GM[[#This Row],[No LT limiting disability I]]-GM[[#This Row],[LT limiting disability I]]</f>
        <v>-0.22684161227993493</v>
      </c>
      <c r="CT3" s="4">
        <f>GM[[#This Row],[16-34 I]]-GM[[#This Row],[75+ I]]</f>
        <v>-0.35226958098252531</v>
      </c>
      <c r="CU3" s="64"/>
      <c r="CV3" s="64"/>
      <c r="CW3" s="64"/>
      <c r="CX3" s="64"/>
    </row>
    <row r="4" spans="1:102" x14ac:dyDescent="0.2">
      <c r="A4" s="4" t="s">
        <v>108</v>
      </c>
      <c r="B4" s="4" t="s">
        <v>36</v>
      </c>
      <c r="C4" s="44">
        <v>0.60929999999999995</v>
      </c>
      <c r="D4" s="30">
        <v>1350400</v>
      </c>
      <c r="E4" s="4">
        <v>0.62867111800971665</v>
      </c>
      <c r="F4" s="4">
        <v>0.5643879092836146</v>
      </c>
      <c r="G4" s="4">
        <v>0.69171791546731498</v>
      </c>
      <c r="H4" s="4">
        <v>0.61007485659089022</v>
      </c>
      <c r="I4" s="4">
        <v>0.52442355161275511</v>
      </c>
      <c r="J4" s="4">
        <v>0.33935377397751693</v>
      </c>
      <c r="K4" s="4"/>
      <c r="L4" s="4"/>
      <c r="M4" s="4">
        <v>0.41840850345296871</v>
      </c>
      <c r="N4" s="4">
        <v>0.64607571722742962</v>
      </c>
      <c r="O4" s="4">
        <v>0.60864624127975697</v>
      </c>
      <c r="P4" s="4">
        <v>0.63543248123991258</v>
      </c>
      <c r="Q4" s="4">
        <v>0.52185299240156457</v>
      </c>
      <c r="R4" s="4">
        <v>0.5424808143899239</v>
      </c>
      <c r="S4" s="4">
        <v>0.44668366626311518</v>
      </c>
      <c r="T4" s="4">
        <v>0.69777673333470058</v>
      </c>
      <c r="U4" s="4">
        <v>0.50954814529969705</v>
      </c>
      <c r="V4" s="4">
        <v>0.67986245374984966</v>
      </c>
      <c r="W4" s="4">
        <v>0.59005977935888609</v>
      </c>
      <c r="X4" s="4">
        <v>0.51109188178914022</v>
      </c>
      <c r="Y4" s="4"/>
      <c r="Z4" s="4"/>
      <c r="AA4" s="4"/>
      <c r="AB4" s="4"/>
      <c r="AC4" s="4"/>
      <c r="AD4" s="4"/>
      <c r="AE4" s="4"/>
      <c r="AF4" s="4"/>
      <c r="AG4" s="44">
        <v>0.1149</v>
      </c>
      <c r="AH4" s="30">
        <v>254700</v>
      </c>
      <c r="AI4" s="4">
        <v>0.11113083956927362</v>
      </c>
      <c r="AJ4" s="4">
        <v>0.14618292678652123</v>
      </c>
      <c r="AK4" s="4">
        <v>0.11647662351509747</v>
      </c>
      <c r="AL4" s="4">
        <v>0.13178524030408895</v>
      </c>
      <c r="AM4" s="4">
        <v>0.14080576508389028</v>
      </c>
      <c r="AN4" s="4">
        <v>0.1333730721530561</v>
      </c>
      <c r="AO4" s="4"/>
      <c r="AP4" s="4"/>
      <c r="AQ4" s="4">
        <v>0.12483938239139084</v>
      </c>
      <c r="AR4" s="4">
        <v>0.13079767645874493</v>
      </c>
      <c r="AS4" s="4">
        <v>0.12655909613742769</v>
      </c>
      <c r="AT4" s="4">
        <v>0.13222838271396117</v>
      </c>
      <c r="AU4" s="4">
        <v>0.1500949973325067</v>
      </c>
      <c r="AV4" s="4"/>
      <c r="AW4" s="4"/>
      <c r="AX4" s="4"/>
      <c r="AY4" s="4"/>
      <c r="AZ4" s="4">
        <v>0.1290959668291225</v>
      </c>
      <c r="BA4" s="4">
        <v>0.14096881769460248</v>
      </c>
      <c r="BB4" s="4">
        <v>0.12046609313007391</v>
      </c>
      <c r="BC4" s="4"/>
      <c r="BD4" s="4"/>
      <c r="BE4" s="4"/>
      <c r="BF4" s="4"/>
      <c r="BG4" s="4"/>
      <c r="BH4" s="4"/>
      <c r="BI4" s="4"/>
      <c r="BJ4" s="4"/>
      <c r="BK4" s="4">
        <v>0.27572606825876445</v>
      </c>
      <c r="BL4" s="30">
        <v>611000</v>
      </c>
      <c r="BM4" s="4">
        <v>0.26019804242101058</v>
      </c>
      <c r="BN4" s="4">
        <v>0.28942916392986345</v>
      </c>
      <c r="BO4" s="4">
        <v>0.1918054610175865</v>
      </c>
      <c r="BP4" s="4">
        <v>0.25813990310502283</v>
      </c>
      <c r="BQ4" s="4">
        <v>0.33477068330335263</v>
      </c>
      <c r="BR4" s="4">
        <v>0.52727315386942686</v>
      </c>
      <c r="BS4" s="4"/>
      <c r="BT4" s="4"/>
      <c r="BU4" s="4">
        <v>0.45675211415563893</v>
      </c>
      <c r="BV4" s="4">
        <v>0.22312660631382378</v>
      </c>
      <c r="BW4" s="4">
        <v>0.26479466258281464</v>
      </c>
      <c r="BX4" s="4">
        <v>0.23233913604612585</v>
      </c>
      <c r="BY4" s="4">
        <v>0.32805201026592828</v>
      </c>
      <c r="BZ4" s="4">
        <v>0.33349278996262782</v>
      </c>
      <c r="CA4" s="4"/>
      <c r="CB4" s="4">
        <v>0.20007125619449004</v>
      </c>
      <c r="CC4" s="4">
        <v>0.36038526655397268</v>
      </c>
      <c r="CD4" s="4">
        <v>0.19104157942102934</v>
      </c>
      <c r="CE4" s="4">
        <v>0.26897140294651167</v>
      </c>
      <c r="CF4" s="4">
        <v>0.36844202508078788</v>
      </c>
      <c r="CG4" s="4"/>
      <c r="CH4" s="4"/>
      <c r="CI4" s="4"/>
      <c r="CJ4" s="4"/>
      <c r="CK4" s="4"/>
      <c r="CL4" s="4"/>
      <c r="CM4" s="4"/>
      <c r="CN4" s="4"/>
      <c r="CO4" s="4">
        <f t="shared" si="0"/>
        <v>0.72419999999999995</v>
      </c>
      <c r="CP4" s="30">
        <f>GM[[#This Row],[Active - Numbers]]+GM[[#This Row],[Fairly Active - Numbers]]</f>
        <v>1605100</v>
      </c>
      <c r="CQ4" s="4">
        <f>GM[[#This Row],[Male I]]-GM[[#This Row],[Female I]]</f>
        <v>-2.9231121508852875E-2</v>
      </c>
      <c r="CR4" s="4">
        <f>GM[[#This Row],[NS SEC 1-2: Higher social groups I]]-GM[[#This Row],[NS SEC 6-8: Lower social groups I]]</f>
        <v>-0.17740044565975854</v>
      </c>
      <c r="CS4" s="4">
        <f>GM[[#This Row],[No LT limiting disability I]]-GM[[#This Row],[LT limiting disability I]]</f>
        <v>-0.23362550784181516</v>
      </c>
      <c r="CT4" s="4">
        <f>GM[[#This Row],[16-34 I]]-GM[[#This Row],[75+ I]]</f>
        <v>-0.33546769285184036</v>
      </c>
      <c r="CU4" s="64"/>
      <c r="CV4" s="64"/>
      <c r="CW4" s="64"/>
      <c r="CX4" s="152">
        <v>0.14549999999999999</v>
      </c>
    </row>
    <row r="5" spans="1:102" x14ac:dyDescent="0.2">
      <c r="A5" s="4" t="s">
        <v>108</v>
      </c>
      <c r="B5" s="4" t="s">
        <v>37</v>
      </c>
      <c r="C5" s="4">
        <v>0.61350000000000005</v>
      </c>
      <c r="D5" s="27">
        <v>1360400</v>
      </c>
      <c r="E5" s="4">
        <v>0.64037304338300194</v>
      </c>
      <c r="F5" s="4">
        <v>0.58656480169437364</v>
      </c>
      <c r="G5" s="4">
        <v>0.70911165079837768</v>
      </c>
      <c r="H5" s="4">
        <v>0.62989444160628172</v>
      </c>
      <c r="I5" s="4">
        <v>0.55880388261660807</v>
      </c>
      <c r="J5" s="4">
        <v>0.30296816494970363</v>
      </c>
      <c r="K5" s="4"/>
      <c r="L5" s="4"/>
      <c r="M5" s="4">
        <v>0.42286301641384133</v>
      </c>
      <c r="N5" s="4">
        <v>0.66584573135769975</v>
      </c>
      <c r="O5" s="4">
        <v>0.6300654042019429</v>
      </c>
      <c r="P5" s="4">
        <v>0.64794485090172982</v>
      </c>
      <c r="Q5" s="4">
        <v>0.52346914395599331</v>
      </c>
      <c r="R5" s="4">
        <v>0.55122602000473087</v>
      </c>
      <c r="S5" s="4">
        <v>0.52584329641212613</v>
      </c>
      <c r="T5" s="4">
        <v>0.74972373983463703</v>
      </c>
      <c r="U5" s="4">
        <v>0.5852351889697851</v>
      </c>
      <c r="V5" s="4">
        <v>0.70155801954473418</v>
      </c>
      <c r="W5" s="4">
        <v>0.61803539360058479</v>
      </c>
      <c r="X5" s="4">
        <v>0.51505236417741496</v>
      </c>
      <c r="Y5" s="4"/>
      <c r="Z5" s="4"/>
      <c r="AA5" s="4"/>
      <c r="AB5" s="4"/>
      <c r="AC5" s="4"/>
      <c r="AD5" s="4"/>
      <c r="AE5" s="4"/>
      <c r="AF5" s="4"/>
      <c r="AG5" s="4">
        <v>0.109</v>
      </c>
      <c r="AH5" s="27">
        <v>241700</v>
      </c>
      <c r="AI5" s="4">
        <v>9.6454661420770915E-2</v>
      </c>
      <c r="AJ5" s="4">
        <v>0.12131766336847045</v>
      </c>
      <c r="AK5" s="4">
        <v>8.9371904516717213E-2</v>
      </c>
      <c r="AL5" s="4">
        <v>0.11202312681154243</v>
      </c>
      <c r="AM5" s="4">
        <v>0.12689178875492993</v>
      </c>
      <c r="AN5" s="4">
        <v>0.13449958312267213</v>
      </c>
      <c r="AO5" s="4"/>
      <c r="AP5" s="4"/>
      <c r="AQ5" s="4">
        <v>0.12212070794719189</v>
      </c>
      <c r="AR5" s="4">
        <v>0.10676346160416543</v>
      </c>
      <c r="AS5" s="4">
        <v>0.10813774055965666</v>
      </c>
      <c r="AT5" s="4">
        <v>9.2851348597575267E-2</v>
      </c>
      <c r="AU5" s="4">
        <v>0.12238010418112782</v>
      </c>
      <c r="AV5" s="4"/>
      <c r="AW5" s="4"/>
      <c r="AX5" s="4"/>
      <c r="AY5" s="4"/>
      <c r="AZ5" s="4">
        <v>0.10911344152483375</v>
      </c>
      <c r="BA5" s="4">
        <v>0.11635792292424955</v>
      </c>
      <c r="BB5" s="4">
        <v>0.10745386926439325</v>
      </c>
      <c r="BC5" s="4"/>
      <c r="BD5" s="4"/>
      <c r="BE5" s="4"/>
      <c r="BF5" s="4"/>
      <c r="BG5" s="4"/>
      <c r="BH5" s="4"/>
      <c r="BI5" s="4"/>
      <c r="BJ5" s="4"/>
      <c r="BK5" s="4">
        <v>0.26650000000000001</v>
      </c>
      <c r="BL5" s="30">
        <v>615500</v>
      </c>
      <c r="BM5" s="4">
        <v>0.26317229519622576</v>
      </c>
      <c r="BN5" s="4">
        <v>0.29211753493716236</v>
      </c>
      <c r="BO5" s="4">
        <v>0.20151644468490612</v>
      </c>
      <c r="BP5" s="4">
        <v>0.25808243158217903</v>
      </c>
      <c r="BQ5" s="4">
        <v>0.3143043286284618</v>
      </c>
      <c r="BR5" s="4">
        <v>0.56253225192762324</v>
      </c>
      <c r="BS5" s="4"/>
      <c r="BT5" s="4"/>
      <c r="BU5" s="4">
        <v>0.45501627563896685</v>
      </c>
      <c r="BV5" s="4">
        <v>0.22739080703813383</v>
      </c>
      <c r="BW5" s="4">
        <v>0.26179685523840102</v>
      </c>
      <c r="BX5" s="4">
        <v>0.25920380050069447</v>
      </c>
      <c r="BY5" s="4">
        <v>0.35415075186287859</v>
      </c>
      <c r="BZ5" s="4">
        <v>0.36993058774071197</v>
      </c>
      <c r="CA5" s="4"/>
      <c r="CB5" s="4"/>
      <c r="CC5" s="4">
        <v>0.23001426135258882</v>
      </c>
      <c r="CD5" s="4">
        <v>0.18932853893043447</v>
      </c>
      <c r="CE5" s="4">
        <v>0.26560668347516864</v>
      </c>
      <c r="CF5" s="4">
        <v>0.377493766558192</v>
      </c>
      <c r="CG5" s="4"/>
      <c r="CH5" s="4"/>
      <c r="CI5" s="4"/>
      <c r="CJ5" s="4"/>
      <c r="CK5" s="4"/>
      <c r="CL5" s="4"/>
      <c r="CM5" s="4"/>
      <c r="CN5" s="4"/>
      <c r="CO5" s="4">
        <f t="shared" si="0"/>
        <v>0.72250000000000003</v>
      </c>
      <c r="CP5" s="30">
        <f>GM[[#This Row],[Active - Numbers]]+GM[[#This Row],[Fairly Active - Numbers]]</f>
        <v>1602100</v>
      </c>
      <c r="CQ5" s="4">
        <f>GM[[#This Row],[Male I]]-GM[[#This Row],[Female I]]</f>
        <v>-2.8945239740936601E-2</v>
      </c>
      <c r="CR5" s="4">
        <f>GM[[#This Row],[NS SEC 1-2: Higher social groups I]]-GM[[#This Row],[NS SEC 6-8: Lower social groups I]]</f>
        <v>-0.18816522762775753</v>
      </c>
      <c r="CS5" s="4">
        <f>GM[[#This Row],[No LT limiting disability I]]-GM[[#This Row],[LT limiting disability I]]</f>
        <v>-0.22762546860083302</v>
      </c>
      <c r="CT5" s="4">
        <f>GM[[#This Row],[16-34 I]]-GM[[#This Row],[75+ I]]</f>
        <v>-0.36101580724271709</v>
      </c>
      <c r="CU5" s="64"/>
      <c r="CV5" s="64"/>
      <c r="CW5" s="64"/>
      <c r="CX5" s="153">
        <v>0.1368</v>
      </c>
    </row>
    <row r="6" spans="1:102" x14ac:dyDescent="0.2">
      <c r="A6" s="4" t="s">
        <v>108</v>
      </c>
      <c r="B6" s="4" t="s">
        <v>38</v>
      </c>
      <c r="C6" s="4">
        <v>0.60602960631650016</v>
      </c>
      <c r="D6" s="27">
        <v>1349700</v>
      </c>
      <c r="E6" s="4">
        <v>0.63014533215805035</v>
      </c>
      <c r="F6" s="4">
        <v>0.58347968229106006</v>
      </c>
      <c r="G6" s="4">
        <v>0.69518780663267665</v>
      </c>
      <c r="H6" s="4">
        <v>0.61854502659193389</v>
      </c>
      <c r="I6" s="4">
        <v>0.5632956714631373</v>
      </c>
      <c r="J6" s="4">
        <v>0.30997534103353425</v>
      </c>
      <c r="K6" s="4"/>
      <c r="L6" s="4"/>
      <c r="M6" s="4">
        <v>0.41468789895414693</v>
      </c>
      <c r="N6" s="4">
        <v>0.65388709272443857</v>
      </c>
      <c r="O6" s="4">
        <v>0.62115694004948663</v>
      </c>
      <c r="P6" s="4">
        <v>0.63067034670976785</v>
      </c>
      <c r="Q6" s="4">
        <v>0.52205327100848831</v>
      </c>
      <c r="R6" s="4">
        <v>0.54692873449779422</v>
      </c>
      <c r="S6" s="4">
        <v>0.70175627120295725</v>
      </c>
      <c r="T6" s="4">
        <v>0.71670081724748025</v>
      </c>
      <c r="U6" s="4">
        <v>0.50743579982177878</v>
      </c>
      <c r="V6" s="4">
        <v>0.69385913330881621</v>
      </c>
      <c r="W6" s="4">
        <v>0.60582142705957165</v>
      </c>
      <c r="X6" s="4">
        <v>0.50046604389937888</v>
      </c>
      <c r="Y6" s="4"/>
      <c r="Z6" s="4"/>
      <c r="AA6" s="4"/>
      <c r="AB6" s="4"/>
      <c r="AC6" s="4"/>
      <c r="AD6" s="4"/>
      <c r="AE6" s="4"/>
      <c r="AF6" s="4"/>
      <c r="AG6" s="4">
        <v>0.12322296757519696</v>
      </c>
      <c r="AH6" s="27">
        <v>274400</v>
      </c>
      <c r="AI6" s="4">
        <v>0.11361702520994595</v>
      </c>
      <c r="AJ6" s="4">
        <v>0.13217019499274096</v>
      </c>
      <c r="AK6" s="4">
        <v>0.11216452815437496</v>
      </c>
      <c r="AL6" s="4">
        <v>0.12507448521008474</v>
      </c>
      <c r="AM6" s="4">
        <v>0.13632282022384443</v>
      </c>
      <c r="AN6" s="4">
        <v>0.13219196383821957</v>
      </c>
      <c r="AO6" s="4"/>
      <c r="AP6" s="4"/>
      <c r="AQ6" s="4">
        <v>0.13934568904292355</v>
      </c>
      <c r="AR6" s="4">
        <v>0.12114162099313877</v>
      </c>
      <c r="AS6" s="4">
        <v>0.12593854702943141</v>
      </c>
      <c r="AT6" s="4">
        <v>0.11068223713974494</v>
      </c>
      <c r="AU6" s="4">
        <v>0.11762462807767066</v>
      </c>
      <c r="AV6" s="4"/>
      <c r="AW6" s="4"/>
      <c r="AX6" s="4"/>
      <c r="AY6" s="4"/>
      <c r="AZ6" s="4">
        <v>0.12538037188219081</v>
      </c>
      <c r="BA6" s="4">
        <v>0.12648259188627242</v>
      </c>
      <c r="BB6" s="4">
        <v>0.13411775912974586</v>
      </c>
      <c r="BC6" s="4"/>
      <c r="BD6" s="4"/>
      <c r="BE6" s="4"/>
      <c r="BF6" s="4"/>
      <c r="BG6" s="4"/>
      <c r="BH6" s="4"/>
      <c r="BI6" s="4"/>
      <c r="BJ6" s="4"/>
      <c r="BK6" s="4">
        <v>0.27074742610830277</v>
      </c>
      <c r="BL6" s="30">
        <v>603000</v>
      </c>
      <c r="BM6" s="4">
        <v>0.25623764263200166</v>
      </c>
      <c r="BN6" s="4">
        <v>0.28435012271619792</v>
      </c>
      <c r="BO6" s="4">
        <v>0.19264766521294832</v>
      </c>
      <c r="BP6" s="4">
        <v>0.2563804881979827</v>
      </c>
      <c r="BQ6" s="4">
        <v>0.30038150831301591</v>
      </c>
      <c r="BR6" s="4">
        <v>0.55783269512824585</v>
      </c>
      <c r="BS6" s="4"/>
      <c r="BT6" s="4"/>
      <c r="BU6" s="4">
        <v>0.44596641200293147</v>
      </c>
      <c r="BV6" s="4">
        <v>0.22497128628241836</v>
      </c>
      <c r="BW6" s="4">
        <v>0.25290451292107424</v>
      </c>
      <c r="BX6" s="4">
        <v>0.2586474161504867</v>
      </c>
      <c r="BY6" s="4">
        <v>0.36032210091384104</v>
      </c>
      <c r="BZ6" s="4">
        <v>0.35318297378464986</v>
      </c>
      <c r="CA6" s="4"/>
      <c r="CB6" s="4">
        <v>0.19069672692777753</v>
      </c>
      <c r="CC6" s="4">
        <v>0.27771913803142984</v>
      </c>
      <c r="CD6" s="4">
        <v>0.1807604948089945</v>
      </c>
      <c r="CE6" s="4">
        <v>0.26769598105415543</v>
      </c>
      <c r="CF6" s="4">
        <v>0.36541619697087507</v>
      </c>
      <c r="CG6" s="4"/>
      <c r="CH6" s="4"/>
      <c r="CI6" s="4"/>
      <c r="CJ6" s="4"/>
      <c r="CK6" s="4"/>
      <c r="CL6" s="4"/>
      <c r="CM6" s="4"/>
      <c r="CN6" s="4"/>
      <c r="CO6" s="4">
        <f t="shared" si="0"/>
        <v>0.72925257389169706</v>
      </c>
      <c r="CP6" s="30">
        <f>GM[[#This Row],[Active - Numbers]]+GM[[#This Row],[Fairly Active - Numbers]]</f>
        <v>1624100</v>
      </c>
      <c r="CQ6" s="4">
        <f>GM[[#This Row],[Male I]]-GM[[#This Row],[Female I]]</f>
        <v>-2.8112480084196256E-2</v>
      </c>
      <c r="CR6" s="4">
        <f>GM[[#This Row],[NS SEC 1-2: Higher social groups I]]-GM[[#This Row],[NS SEC 6-8: Lower social groups I]]</f>
        <v>-0.18465570216188057</v>
      </c>
      <c r="CS6" s="4">
        <f>GM[[#This Row],[No LT limiting disability I]]-GM[[#This Row],[LT limiting disability I]]</f>
        <v>-0.22099512572051311</v>
      </c>
      <c r="CT6" s="4">
        <f>GM[[#This Row],[16-34 I]]-GM[[#This Row],[75+ I]]</f>
        <v>-0.36518502991529755</v>
      </c>
      <c r="CU6" s="64"/>
      <c r="CV6" s="64"/>
      <c r="CW6" s="64"/>
      <c r="CX6" s="152">
        <v>0.13389999999999999</v>
      </c>
    </row>
    <row r="7" spans="1:102" x14ac:dyDescent="0.2">
      <c r="A7" s="4" t="s">
        <v>108</v>
      </c>
      <c r="B7" s="4" t="s">
        <v>39</v>
      </c>
      <c r="C7" s="45">
        <v>0.60660000000000003</v>
      </c>
      <c r="D7" s="30">
        <v>1351100</v>
      </c>
      <c r="E7" s="46">
        <v>0.62665268476494562</v>
      </c>
      <c r="F7" s="4">
        <v>0.58683779323688856</v>
      </c>
      <c r="G7" s="4">
        <v>0.69221075258140419</v>
      </c>
      <c r="H7" s="4">
        <v>0.61486165149430883</v>
      </c>
      <c r="I7" s="4">
        <v>0.56462408652813767</v>
      </c>
      <c r="J7" s="4">
        <v>0.33288835593658944</v>
      </c>
      <c r="K7" s="4">
        <v>0.65477028865775044</v>
      </c>
      <c r="L7" s="4">
        <v>0.50813860816995815</v>
      </c>
      <c r="M7" s="4">
        <v>0.43609834100645062</v>
      </c>
      <c r="N7" s="4">
        <v>0.65235317862161746</v>
      </c>
      <c r="O7" s="4">
        <v>0.62056140279981964</v>
      </c>
      <c r="P7" s="4">
        <v>0.66723234091253369</v>
      </c>
      <c r="Q7" s="4">
        <v>0.53260279367240948</v>
      </c>
      <c r="R7" s="4">
        <v>0.55704208963326851</v>
      </c>
      <c r="S7" s="4">
        <v>0.67753267880589352</v>
      </c>
      <c r="T7" s="4">
        <v>0.67577321410028413</v>
      </c>
      <c r="U7" s="4">
        <v>0.46170033359345358</v>
      </c>
      <c r="V7" s="4">
        <v>0.69136932577617383</v>
      </c>
      <c r="W7" s="4">
        <v>0.60633055513247169</v>
      </c>
      <c r="X7" s="4">
        <v>0.50065789565205021</v>
      </c>
      <c r="Y7" s="4">
        <v>0.70917044510738547</v>
      </c>
      <c r="Z7" s="4"/>
      <c r="AA7" s="4"/>
      <c r="AB7" s="4"/>
      <c r="AC7" s="4"/>
      <c r="AD7" s="4"/>
      <c r="AE7" s="4"/>
      <c r="AF7" s="4"/>
      <c r="AG7" s="4">
        <v>0.12640051655468471</v>
      </c>
      <c r="AH7" s="47">
        <v>281400</v>
      </c>
      <c r="AI7" s="46">
        <v>0.11808103223244032</v>
      </c>
      <c r="AJ7" s="4">
        <v>0.13453999964838306</v>
      </c>
      <c r="AK7" s="4">
        <v>0.12029492678531584</v>
      </c>
      <c r="AL7" s="4">
        <v>0.13207024273569026</v>
      </c>
      <c r="AM7" s="4">
        <v>0.12997557206341623</v>
      </c>
      <c r="AN7" s="4">
        <v>0.12704560672932758</v>
      </c>
      <c r="AO7" s="4">
        <v>0.12599471237859811</v>
      </c>
      <c r="AP7" s="4">
        <v>0.12926139435311476</v>
      </c>
      <c r="AQ7" s="4">
        <v>0.12516287534651127</v>
      </c>
      <c r="AR7" s="4">
        <v>0.12673684197544724</v>
      </c>
      <c r="AS7" s="4">
        <v>0.12973669227903023</v>
      </c>
      <c r="AT7" s="4">
        <v>9.2748429484469555E-2</v>
      </c>
      <c r="AU7" s="4">
        <v>0.11146865231208564</v>
      </c>
      <c r="AV7" s="4">
        <v>0.14611330263299904</v>
      </c>
      <c r="AW7" s="4"/>
      <c r="AX7" s="4"/>
      <c r="AY7" s="4"/>
      <c r="AZ7" s="4">
        <v>0.13017342894928355</v>
      </c>
      <c r="BA7" s="4">
        <v>0.13168669133105934</v>
      </c>
      <c r="BB7" s="4">
        <v>0.13231432768993648</v>
      </c>
      <c r="BC7" s="4">
        <v>0.10232711402633336</v>
      </c>
      <c r="BD7" s="4"/>
      <c r="BE7" s="4"/>
      <c r="BF7" s="4"/>
      <c r="BG7" s="4"/>
      <c r="BH7" s="4"/>
      <c r="BI7" s="4"/>
      <c r="BJ7" s="4"/>
      <c r="BK7" s="43">
        <v>0.26700000000000002</v>
      </c>
      <c r="BL7" s="30">
        <v>594600</v>
      </c>
      <c r="BM7" s="4">
        <v>0.255266283002615</v>
      </c>
      <c r="BN7" s="4">
        <v>0.27862220711472691</v>
      </c>
      <c r="BO7" s="4">
        <v>0.18749432063327964</v>
      </c>
      <c r="BP7" s="4">
        <v>0.25306810577000216</v>
      </c>
      <c r="BQ7" s="4">
        <v>0.3054003414084478</v>
      </c>
      <c r="BR7" s="4">
        <v>0.54006603733408398</v>
      </c>
      <c r="BS7" s="4">
        <v>0.21923499896364845</v>
      </c>
      <c r="BT7" s="4">
        <v>0.36259999747692928</v>
      </c>
      <c r="BU7" s="4">
        <v>0.43873878364703828</v>
      </c>
      <c r="BV7" s="4">
        <v>0.22090997940293464</v>
      </c>
      <c r="BW7" s="4">
        <v>0.24970190492114838</v>
      </c>
      <c r="BX7" s="4">
        <v>0.2400192296029966</v>
      </c>
      <c r="BY7" s="4">
        <v>0.35592855401550361</v>
      </c>
      <c r="BZ7" s="4">
        <v>0.29684460773373245</v>
      </c>
      <c r="CA7" s="4"/>
      <c r="CB7" s="4">
        <v>0.20254637769800179</v>
      </c>
      <c r="CC7" s="4">
        <v>0.33942752837602602</v>
      </c>
      <c r="CD7" s="4">
        <v>0.17845724527454465</v>
      </c>
      <c r="CE7" s="4">
        <v>0.26198275353646794</v>
      </c>
      <c r="CF7" s="4">
        <v>0.36702777665801389</v>
      </c>
      <c r="CG7" s="4">
        <v>0.18850244086627976</v>
      </c>
      <c r="CH7" s="4"/>
      <c r="CI7" s="4"/>
      <c r="CJ7" s="4"/>
      <c r="CK7" s="4"/>
      <c r="CL7" s="4"/>
      <c r="CM7" s="4"/>
      <c r="CN7" s="4"/>
      <c r="CO7" s="4">
        <f t="shared" si="0"/>
        <v>0.73300051655468468</v>
      </c>
      <c r="CP7" s="30">
        <f>GM[[#This Row],[Active - Numbers]]+GM[[#This Row],[Fairly Active - Numbers]]</f>
        <v>1632500</v>
      </c>
      <c r="CQ7" s="4">
        <f>GM[[#This Row],[Male I]]-GM[[#This Row],[Female I]]</f>
        <v>-2.3355924112111903E-2</v>
      </c>
      <c r="CR7" s="4">
        <f>GM[[#This Row],[NS SEC 1-2: Higher social groups I]]-GM[[#This Row],[NS SEC 6-8: Lower social groups I]]</f>
        <v>-0.18857053138346924</v>
      </c>
      <c r="CS7" s="4">
        <f>GM[[#This Row],[No LT limiting disability I]]-GM[[#This Row],[LT limiting disability I]]</f>
        <v>-0.21782880424410364</v>
      </c>
      <c r="CT7" s="4">
        <f>GM[[#This Row],[16-34 I]]-GM[[#This Row],[75+ I]]</f>
        <v>-0.35257171670080434</v>
      </c>
      <c r="CU7" s="46">
        <v>0.38894428629363753</v>
      </c>
      <c r="CV7" s="46">
        <v>0.32786549592961367</v>
      </c>
      <c r="CW7" s="46">
        <v>0.57966027316722291</v>
      </c>
      <c r="CX7" s="152">
        <v>0.1195</v>
      </c>
    </row>
    <row r="8" spans="1:102" x14ac:dyDescent="0.2">
      <c r="A8" s="4" t="s">
        <v>108</v>
      </c>
      <c r="B8" s="4" t="s">
        <v>40</v>
      </c>
      <c r="C8" s="4">
        <v>0.61219999999999997</v>
      </c>
      <c r="D8" s="27">
        <v>1368700</v>
      </c>
      <c r="E8" s="4">
        <v>0.63880000000000003</v>
      </c>
      <c r="F8" s="4">
        <v>0.58819999999999995</v>
      </c>
      <c r="G8" s="4">
        <v>0.68320000000000003</v>
      </c>
      <c r="H8" s="4">
        <v>0.6391</v>
      </c>
      <c r="I8" s="4">
        <v>0.56230000000000002</v>
      </c>
      <c r="J8" s="4">
        <v>0.3503</v>
      </c>
      <c r="K8" s="4">
        <v>0.66210000000000002</v>
      </c>
      <c r="L8" s="4">
        <v>0.51270000000000004</v>
      </c>
      <c r="M8" s="4">
        <v>0.45190000000000002</v>
      </c>
      <c r="N8" s="4">
        <v>0.65839999999999999</v>
      </c>
      <c r="O8" s="4">
        <v>0.62929999999999997</v>
      </c>
      <c r="P8" s="4">
        <v>0.66190000000000004</v>
      </c>
      <c r="Q8" s="4">
        <v>0.52129999999999999</v>
      </c>
      <c r="R8" s="4">
        <v>0.54100000000000004</v>
      </c>
      <c r="S8" s="4">
        <v>0.54690000000000005</v>
      </c>
      <c r="T8" s="4">
        <v>0.71360000000000001</v>
      </c>
      <c r="U8" s="4">
        <v>0.61450000000000005</v>
      </c>
      <c r="V8" s="4">
        <v>0.7036</v>
      </c>
      <c r="W8" s="4">
        <v>0.6069</v>
      </c>
      <c r="X8" s="4">
        <v>0.5272</v>
      </c>
      <c r="Y8" s="4">
        <v>0.67049999999999998</v>
      </c>
      <c r="Z8" s="4">
        <v>0.65859999999999996</v>
      </c>
      <c r="AA8" s="4">
        <v>0.50349999999999995</v>
      </c>
      <c r="AB8" s="4">
        <v>0.51549999999999996</v>
      </c>
      <c r="AC8" s="4">
        <v>0.50649999999999995</v>
      </c>
      <c r="AD8" s="4">
        <v>0.34460000000000002</v>
      </c>
      <c r="AE8" s="4">
        <v>0.72240000000000004</v>
      </c>
      <c r="AF8" s="4">
        <v>0.50439999999999996</v>
      </c>
      <c r="AG8" s="4">
        <v>0.12089999999999999</v>
      </c>
      <c r="AH8" s="27">
        <v>270300</v>
      </c>
      <c r="AI8" s="4">
        <v>0.10929999999999999</v>
      </c>
      <c r="AJ8" s="4">
        <v>0.13220000000000001</v>
      </c>
      <c r="AK8" s="4">
        <v>0.11509999999999999</v>
      </c>
      <c r="AL8" s="4">
        <v>0.1158</v>
      </c>
      <c r="AM8" s="4">
        <v>0.13750000000000001</v>
      </c>
      <c r="AN8" s="4">
        <v>0.1226</v>
      </c>
      <c r="AO8" s="4">
        <v>0.1154</v>
      </c>
      <c r="AP8" s="4">
        <v>0.13400000000000001</v>
      </c>
      <c r="AQ8" s="4">
        <v>0.11459999999999999</v>
      </c>
      <c r="AR8" s="4">
        <v>0.12089999999999999</v>
      </c>
      <c r="AS8" s="4">
        <v>0.1227</v>
      </c>
      <c r="AT8" s="4">
        <v>7.9200000000000007E-2</v>
      </c>
      <c r="AU8" s="4">
        <v>0.1239</v>
      </c>
      <c r="AV8" s="4">
        <v>0.16289999999999999</v>
      </c>
      <c r="AW8" s="4"/>
      <c r="AX8" s="4"/>
      <c r="AY8" s="4"/>
      <c r="AZ8" s="4">
        <v>0.11890000000000001</v>
      </c>
      <c r="BA8" s="4">
        <v>0.13039999999999999</v>
      </c>
      <c r="BB8" s="4">
        <v>0.1153</v>
      </c>
      <c r="BC8" s="4">
        <v>0.11899999999999999</v>
      </c>
      <c r="BD8" s="4">
        <v>0.11840000000000001</v>
      </c>
      <c r="BE8" s="4">
        <v>0.1231</v>
      </c>
      <c r="BF8" s="4">
        <v>0.1234</v>
      </c>
      <c r="BG8" s="4">
        <v>0.17380000000000001</v>
      </c>
      <c r="BH8" s="4">
        <v>0.13270000000000001</v>
      </c>
      <c r="BI8" s="4">
        <v>0.11600000000000001</v>
      </c>
      <c r="BJ8" s="4">
        <v>0.1048</v>
      </c>
      <c r="BK8" s="4">
        <v>0.26690000000000003</v>
      </c>
      <c r="BL8" s="30">
        <v>596800</v>
      </c>
      <c r="BM8" s="4">
        <v>0.25190000000000001</v>
      </c>
      <c r="BN8" s="4">
        <v>0.27960000000000002</v>
      </c>
      <c r="BO8" s="4">
        <v>0.20169999999999999</v>
      </c>
      <c r="BP8" s="4">
        <v>0.2452</v>
      </c>
      <c r="BQ8" s="4">
        <v>0.30020000000000002</v>
      </c>
      <c r="BR8" s="4">
        <v>0.52710000000000001</v>
      </c>
      <c r="BS8" s="4">
        <v>0.2225</v>
      </c>
      <c r="BT8" s="4">
        <v>0.3533</v>
      </c>
      <c r="BU8" s="4">
        <v>0.4335</v>
      </c>
      <c r="BV8" s="4">
        <v>0.22059999999999999</v>
      </c>
      <c r="BW8" s="4">
        <v>0.248</v>
      </c>
      <c r="BX8" s="4">
        <v>0.25890000000000002</v>
      </c>
      <c r="BY8" s="4">
        <v>0.35470000000000002</v>
      </c>
      <c r="BZ8" s="4">
        <v>0.29609999999999997</v>
      </c>
      <c r="CA8" s="4"/>
      <c r="CB8" s="4"/>
      <c r="CC8" s="4">
        <v>0.27339999999999998</v>
      </c>
      <c r="CD8" s="4">
        <v>0.17749999999999999</v>
      </c>
      <c r="CE8" s="4">
        <v>0.26269999999999999</v>
      </c>
      <c r="CF8" s="4">
        <v>0.35749999999999998</v>
      </c>
      <c r="CG8" s="4">
        <v>0.21049999999999999</v>
      </c>
      <c r="CH8" s="4">
        <v>0.223</v>
      </c>
      <c r="CI8" s="4">
        <v>0.37340000000000001</v>
      </c>
      <c r="CJ8" s="4">
        <v>0.36109999999999998</v>
      </c>
      <c r="CK8" s="4">
        <v>0.31969999999999998</v>
      </c>
      <c r="CL8" s="4">
        <v>0.52270000000000005</v>
      </c>
      <c r="CM8" s="4">
        <v>0.16159999999999999</v>
      </c>
      <c r="CN8" s="4">
        <v>0.39079999999999998</v>
      </c>
      <c r="CO8" s="4">
        <f t="shared" si="0"/>
        <v>0.73309999999999997</v>
      </c>
      <c r="CP8" s="30">
        <f>GM[[#This Row],[Active - Numbers]]+GM[[#This Row],[Fairly Active - Numbers]]</f>
        <v>1639000</v>
      </c>
      <c r="CQ8" s="4">
        <f>GM[[#This Row],[Male I]]-GM[[#This Row],[Female I]]</f>
        <v>-2.7700000000000002E-2</v>
      </c>
      <c r="CR8" s="4">
        <f>GM[[#This Row],[NS SEC 1-2: Higher social groups I]]-GM[[#This Row],[NS SEC 6-8: Lower social groups I]]</f>
        <v>-0.18</v>
      </c>
      <c r="CS8" s="4">
        <f>GM[[#This Row],[No LT limiting disability I]]-GM[[#This Row],[LT limiting disability I]]</f>
        <v>-0.21290000000000001</v>
      </c>
      <c r="CT8" s="4">
        <f>GM[[#This Row],[16-34 I]]-GM[[#This Row],[75+ I]]</f>
        <v>-0.32540000000000002</v>
      </c>
      <c r="CU8" s="46">
        <v>0.40060000000000001</v>
      </c>
      <c r="CV8" s="46">
        <v>0.33289999999999997</v>
      </c>
      <c r="CW8" s="46">
        <v>0.58799999999999997</v>
      </c>
      <c r="CX8" s="152">
        <v>0.10730000000000001</v>
      </c>
    </row>
    <row r="9" spans="1:102" x14ac:dyDescent="0.2">
      <c r="A9" s="4" t="s">
        <v>108</v>
      </c>
      <c r="B9" s="4" t="s">
        <v>41</v>
      </c>
      <c r="C9" s="4">
        <v>0.6195605227785913</v>
      </c>
      <c r="D9" s="27">
        <v>1385200</v>
      </c>
      <c r="E9" s="4">
        <v>0.64558018018696606</v>
      </c>
      <c r="F9" s="4">
        <v>0.59596320236614664</v>
      </c>
      <c r="G9" s="4">
        <v>0.68371523137191359</v>
      </c>
      <c r="H9" s="4">
        <v>0.63669797651723858</v>
      </c>
      <c r="I9" s="4">
        <v>0.5775606155984031</v>
      </c>
      <c r="J9" s="4">
        <v>0.39372223258321937</v>
      </c>
      <c r="K9" s="4">
        <v>0.66098784686232914</v>
      </c>
      <c r="L9" s="4">
        <v>0.53452193596718245</v>
      </c>
      <c r="M9" s="4">
        <v>0.45540327126583446</v>
      </c>
      <c r="N9" s="4">
        <v>0.66246067901136196</v>
      </c>
      <c r="O9" s="4">
        <v>0.64310678742788696</v>
      </c>
      <c r="P9" s="4">
        <v>0.67656042264812566</v>
      </c>
      <c r="Q9" s="4">
        <v>0.49779653170260763</v>
      </c>
      <c r="R9" s="4">
        <v>0.48929040809198432</v>
      </c>
      <c r="S9" s="4">
        <v>0.47471173499582325</v>
      </c>
      <c r="T9" s="4">
        <v>0.61525405487363449</v>
      </c>
      <c r="U9" s="4">
        <v>0.60778904682246504</v>
      </c>
      <c r="V9" s="4">
        <v>0.70140911451878207</v>
      </c>
      <c r="W9" s="4">
        <v>0.61380619629794109</v>
      </c>
      <c r="X9" s="4">
        <v>0.54206534885262381</v>
      </c>
      <c r="Y9" s="4">
        <v>0.66670944495984008</v>
      </c>
      <c r="Z9" s="4">
        <v>0.66404685675134512</v>
      </c>
      <c r="AA9" s="4">
        <v>0.52929190781456936</v>
      </c>
      <c r="AB9" s="4">
        <v>0.53203305383345234</v>
      </c>
      <c r="AC9" s="4">
        <v>0.50482808859581052</v>
      </c>
      <c r="AD9" s="4">
        <v>0.31442669553805219</v>
      </c>
      <c r="AE9" s="4">
        <v>0.72675651361363169</v>
      </c>
      <c r="AF9" s="4">
        <v>0.48541125488082942</v>
      </c>
      <c r="AG9" s="4">
        <v>0.11840083948537654</v>
      </c>
      <c r="AH9" s="27">
        <v>264700</v>
      </c>
      <c r="AI9" s="4">
        <v>0.10606513400951158</v>
      </c>
      <c r="AJ9" s="4">
        <v>0.13085984434667339</v>
      </c>
      <c r="AK9" s="4">
        <v>0.10258494142168577</v>
      </c>
      <c r="AL9" s="4">
        <v>0.1173084846311668</v>
      </c>
      <c r="AM9" s="4">
        <v>0.14198315262879913</v>
      </c>
      <c r="AN9" s="4">
        <v>0.12203062026473928</v>
      </c>
      <c r="AO9" s="4">
        <v>0.10970206531374782</v>
      </c>
      <c r="AP9" s="4">
        <v>0.13731203534543254</v>
      </c>
      <c r="AQ9" s="4">
        <v>0.11259297474170368</v>
      </c>
      <c r="AR9" s="4">
        <v>0.11970710357354301</v>
      </c>
      <c r="AS9" s="4">
        <v>0.11588668386613418</v>
      </c>
      <c r="AT9" s="4">
        <v>9.6403983881246463E-2</v>
      </c>
      <c r="AU9" s="4">
        <v>0.14330913883625843</v>
      </c>
      <c r="AV9" s="4">
        <v>0.11483815882654066</v>
      </c>
      <c r="AW9" s="4"/>
      <c r="AX9" s="4"/>
      <c r="AY9" s="4"/>
      <c r="AZ9" s="4">
        <v>0.11885735959036435</v>
      </c>
      <c r="BA9" s="4">
        <v>0.12195816546156105</v>
      </c>
      <c r="BB9" s="4">
        <v>0.12282283383161884</v>
      </c>
      <c r="BC9" s="4">
        <v>0.10504151832323005</v>
      </c>
      <c r="BD9" s="4">
        <v>0.11800977042589642</v>
      </c>
      <c r="BE9" s="4">
        <v>0.13600634715296273</v>
      </c>
      <c r="BF9" s="4">
        <v>0.12073388761444737</v>
      </c>
      <c r="BG9" s="4">
        <v>0.15062920009443512</v>
      </c>
      <c r="BH9" s="4">
        <v>0.13223668226478144</v>
      </c>
      <c r="BI9" s="4">
        <v>9.0442332242039014E-2</v>
      </c>
      <c r="BJ9" s="4">
        <v>0.13631953575134972</v>
      </c>
      <c r="BK9" s="4">
        <v>0.26203863773603581</v>
      </c>
      <c r="BL9" s="30">
        <v>585900</v>
      </c>
      <c r="BM9" s="4">
        <v>0.24835468580352213</v>
      </c>
      <c r="BN9" s="4">
        <v>0.27317695328717839</v>
      </c>
      <c r="BO9" s="4">
        <v>0.21369982720640238</v>
      </c>
      <c r="BP9" s="4">
        <v>0.24599353885159292</v>
      </c>
      <c r="BQ9" s="4">
        <v>0.28045623177279977</v>
      </c>
      <c r="BR9" s="4">
        <v>0.48424714715204042</v>
      </c>
      <c r="BS9" s="4">
        <v>0.22931008782392479</v>
      </c>
      <c r="BT9" s="4">
        <v>0.32816602868738343</v>
      </c>
      <c r="BU9" s="4">
        <v>0.4320037539924616</v>
      </c>
      <c r="BV9" s="4">
        <v>0.21783221741509673</v>
      </c>
      <c r="BW9" s="4">
        <v>0.2410065287059818</v>
      </c>
      <c r="BX9" s="4">
        <v>0.22703559347062854</v>
      </c>
      <c r="BY9" s="4">
        <v>0.35889432946113264</v>
      </c>
      <c r="BZ9" s="4">
        <v>0.39587143308147477</v>
      </c>
      <c r="CA9" s="4"/>
      <c r="CB9" s="4">
        <v>0.28294038795762499</v>
      </c>
      <c r="CC9" s="4"/>
      <c r="CD9" s="4">
        <v>0.17973352589085501</v>
      </c>
      <c r="CE9" s="4">
        <v>0.26423563824049784</v>
      </c>
      <c r="CF9" s="4">
        <v>0.33511181731575673</v>
      </c>
      <c r="CG9" s="4">
        <v>0.22824903671692945</v>
      </c>
      <c r="CH9" s="4">
        <v>0.21794337282276069</v>
      </c>
      <c r="CI9" s="4">
        <v>0.33470174503246702</v>
      </c>
      <c r="CJ9" s="4">
        <v>0.34723305855209835</v>
      </c>
      <c r="CK9" s="4">
        <v>0.34454271130975572</v>
      </c>
      <c r="CL9" s="4">
        <v>0.55333662219716595</v>
      </c>
      <c r="CM9" s="4">
        <v>0.18280115414432918</v>
      </c>
      <c r="CN9" s="4">
        <v>0.37826920936782182</v>
      </c>
      <c r="CO9" s="4">
        <f t="shared" si="0"/>
        <v>0.7379613622639678</v>
      </c>
      <c r="CP9" s="30">
        <f>GM[[#This Row],[Active - Numbers]]+GM[[#This Row],[Fairly Active - Numbers]]</f>
        <v>1649900</v>
      </c>
      <c r="CQ9" s="4">
        <f>GM[[#This Row],[Male I]]-GM[[#This Row],[Female I]]</f>
        <v>-2.4822267483656263E-2</v>
      </c>
      <c r="CR9" s="4">
        <f>GM[[#This Row],[NS SEC 1-2: Higher social groups I]]-GM[[#This Row],[NS SEC 6-8: Lower social groups I]]</f>
        <v>-0.15537829142490173</v>
      </c>
      <c r="CS9" s="4">
        <f>GM[[#This Row],[No LT limiting disability I]]-GM[[#This Row],[LT limiting disability I]]</f>
        <v>-0.21417153657736487</v>
      </c>
      <c r="CT9" s="4">
        <f>GM[[#This Row],[16-34 I]]-GM[[#This Row],[75+ I]]</f>
        <v>-0.27054731994563808</v>
      </c>
      <c r="CU9" s="46">
        <v>0.40530100037052391</v>
      </c>
      <c r="CV9" s="46">
        <v>0.33964720666925524</v>
      </c>
      <c r="CW9" s="46">
        <v>0.59750143398389743</v>
      </c>
      <c r="CX9" s="152">
        <v>0.11070000000000001</v>
      </c>
    </row>
    <row r="10" spans="1:102" s="29" customFormat="1" x14ac:dyDescent="0.2">
      <c r="A10" s="156" t="s">
        <v>108</v>
      </c>
      <c r="B10" s="156" t="s">
        <v>155</v>
      </c>
      <c r="C10" s="64">
        <v>0.61019999999999996</v>
      </c>
      <c r="D10" s="30">
        <v>1375300</v>
      </c>
      <c r="E10" s="170">
        <v>0.63738273459321615</v>
      </c>
      <c r="F10" s="170">
        <v>0.58570756006145719</v>
      </c>
      <c r="G10" s="170">
        <v>0.68011928427043444</v>
      </c>
      <c r="H10" s="170">
        <v>0.61722995596428554</v>
      </c>
      <c r="I10" s="170">
        <v>0.57987463673587691</v>
      </c>
      <c r="J10" s="170">
        <v>0.38453137617568606</v>
      </c>
      <c r="K10" s="170">
        <v>0.64918346583439868</v>
      </c>
      <c r="L10" s="170">
        <v>0.53189041319503128</v>
      </c>
      <c r="M10" s="170">
        <v>0.44375942668087071</v>
      </c>
      <c r="N10" s="170">
        <v>0.65285645008675519</v>
      </c>
      <c r="O10" s="170">
        <v>0.63617213188793498</v>
      </c>
      <c r="P10" s="170">
        <v>0.65994969185704566</v>
      </c>
      <c r="Q10" s="170">
        <v>0.47582232976328326</v>
      </c>
      <c r="R10" s="170">
        <v>0.45119980179447194</v>
      </c>
      <c r="S10" s="170">
        <v>0.56517470628188027</v>
      </c>
      <c r="T10" s="170">
        <v>0.66430434204867961</v>
      </c>
      <c r="U10" s="170">
        <v>0.42995591049085363</v>
      </c>
      <c r="V10" s="170">
        <v>0.70618831670525584</v>
      </c>
      <c r="W10" s="170">
        <v>0.59410202320888594</v>
      </c>
      <c r="X10" s="170">
        <v>0.5179843582144098</v>
      </c>
      <c r="Y10" s="170">
        <v>0.66943243116204199</v>
      </c>
      <c r="Z10" s="170">
        <v>0.65652384366127992</v>
      </c>
      <c r="AA10" s="170">
        <v>0.52485793739042153</v>
      </c>
      <c r="AB10" s="170">
        <v>0.51853430979373483</v>
      </c>
      <c r="AC10" s="170">
        <v>0.43903812561513322</v>
      </c>
      <c r="AD10" s="170">
        <v>0.28484388111483816</v>
      </c>
      <c r="AE10" s="170">
        <v>0.73801322122625235</v>
      </c>
      <c r="AF10" s="170">
        <v>0.49249719369660461</v>
      </c>
      <c r="AG10" s="171">
        <v>0.10929999999999999</v>
      </c>
      <c r="AH10" s="172">
        <v>246400</v>
      </c>
      <c r="AI10" s="170">
        <v>9.3409616278763249E-2</v>
      </c>
      <c r="AJ10" s="170">
        <v>0.12597369775650516</v>
      </c>
      <c r="AK10" s="170">
        <v>9.7439461401791924E-2</v>
      </c>
      <c r="AL10" s="170">
        <v>0.11423973973649555</v>
      </c>
      <c r="AM10" s="170">
        <v>0.11651557563009969</v>
      </c>
      <c r="AN10" s="170">
        <v>0.11418124936078607</v>
      </c>
      <c r="AO10" s="170">
        <v>0.10570366733681442</v>
      </c>
      <c r="AP10" s="170">
        <v>0.11594217047036831</v>
      </c>
      <c r="AQ10" s="170">
        <v>0.11705828814915571</v>
      </c>
      <c r="AR10" s="170">
        <v>0.10914207812121965</v>
      </c>
      <c r="AS10" s="170">
        <v>0.10590082164363969</v>
      </c>
      <c r="AT10" s="170">
        <v>0.10553845521285696</v>
      </c>
      <c r="AU10" s="170">
        <v>0.1362181357723973</v>
      </c>
      <c r="AV10" s="170">
        <v>8.7100265400702467E-2</v>
      </c>
      <c r="AW10" s="46"/>
      <c r="AX10" s="46"/>
      <c r="AY10" s="46"/>
      <c r="AZ10" s="170">
        <v>0.11063386104571692</v>
      </c>
      <c r="BA10" s="170">
        <v>0.12345071599046661</v>
      </c>
      <c r="BB10" s="170">
        <v>0.10453364579100664</v>
      </c>
      <c r="BC10" s="170">
        <v>8.7393718409609952E-2</v>
      </c>
      <c r="BD10" s="170">
        <v>0.1129113260241989</v>
      </c>
      <c r="BE10" s="170">
        <v>0.12118139395924085</v>
      </c>
      <c r="BF10" s="170">
        <v>0.10968432015153634</v>
      </c>
      <c r="BG10" s="170">
        <v>0.15839203009575123</v>
      </c>
      <c r="BH10" s="170">
        <v>0.1233041842506333</v>
      </c>
      <c r="BI10" s="170">
        <v>7.7961385964911797E-2</v>
      </c>
      <c r="BJ10" s="170">
        <v>8.9441625190955248E-2</v>
      </c>
      <c r="BK10" s="171">
        <v>0.28050000000000003</v>
      </c>
      <c r="BL10" s="172">
        <v>632200</v>
      </c>
      <c r="BM10" s="170">
        <v>0.26920764912802153</v>
      </c>
      <c r="BN10" s="170">
        <v>0.28831874218203785</v>
      </c>
      <c r="BO10" s="170">
        <v>0.22244125432777362</v>
      </c>
      <c r="BP10" s="170">
        <v>0.26853030429921915</v>
      </c>
      <c r="BQ10" s="170">
        <v>0.30360978763402757</v>
      </c>
      <c r="BR10" s="170">
        <v>0.50128737446352789</v>
      </c>
      <c r="BS10" s="170">
        <v>0.24511286682878677</v>
      </c>
      <c r="BT10" s="170">
        <v>0.35216741633460524</v>
      </c>
      <c r="BU10" s="170">
        <v>0.43918228516997332</v>
      </c>
      <c r="BV10" s="170">
        <v>0.23800147179202341</v>
      </c>
      <c r="BW10" s="170">
        <v>0.25792704646842401</v>
      </c>
      <c r="BX10" s="170">
        <v>0.23451185293009758</v>
      </c>
      <c r="BY10" s="170">
        <v>0.38795953446431936</v>
      </c>
      <c r="BZ10" s="170">
        <v>0.4616999328048253</v>
      </c>
      <c r="CA10" s="170">
        <v>0.2902565754492758</v>
      </c>
      <c r="CB10" s="170">
        <v>0.22791204366454973</v>
      </c>
      <c r="CC10" s="170">
        <v>0.45939382382357347</v>
      </c>
      <c r="CD10" s="170">
        <v>0.18317782224902929</v>
      </c>
      <c r="CE10" s="170">
        <v>0.28244726080064925</v>
      </c>
      <c r="CF10" s="170">
        <v>0.37748199599458082</v>
      </c>
      <c r="CG10" s="170">
        <v>0.24317385042834799</v>
      </c>
      <c r="CH10" s="170">
        <v>0.23056483031451805</v>
      </c>
      <c r="CI10" s="170">
        <v>0.35396066865033904</v>
      </c>
      <c r="CJ10" s="170">
        <v>0.37178137005472528</v>
      </c>
      <c r="CK10" s="170">
        <v>0.40256984428911602</v>
      </c>
      <c r="CL10" s="170">
        <v>0.59185193463452856</v>
      </c>
      <c r="CM10" s="170">
        <v>0.18402539280883567</v>
      </c>
      <c r="CN10" s="170">
        <v>0.41806118111244123</v>
      </c>
      <c r="CO10" s="64">
        <f>SUM(C10,AG10)</f>
        <v>0.71949999999999992</v>
      </c>
      <c r="CP10" s="30">
        <f>GM[[#This Row],[Active - Numbers]]+GM[[#This Row],[Fairly Active - Numbers]]</f>
        <v>1621700</v>
      </c>
      <c r="CQ10" s="64">
        <f>GM[[#This Row],[Male I]]-GM[[#This Row],[Female I]]</f>
        <v>-1.9111093054016315E-2</v>
      </c>
      <c r="CR10" s="64">
        <f>GM[[#This Row],[NS SEC 1-2: Higher social groups I]]-GM[[#This Row],[NS SEC 6-8: Lower social groups I]]</f>
        <v>-0.19430417374555153</v>
      </c>
      <c r="CS10" s="64">
        <f>GM[[#This Row],[No LT limiting disability I]]-GM[[#This Row],[LT limiting disability I]]</f>
        <v>-0.20118081337794991</v>
      </c>
      <c r="CT10" s="64">
        <f>GM[[#This Row],[16-34 I]]-GM[[#This Row],[75+ I]]</f>
        <v>-0.27884612013575427</v>
      </c>
      <c r="CU10" s="65">
        <v>0.40543091476720522</v>
      </c>
      <c r="CV10" s="65">
        <v>0.30565360374688755</v>
      </c>
      <c r="CW10" s="65">
        <v>0.56733255801786553</v>
      </c>
      <c r="CX10" s="150">
        <v>0.1113</v>
      </c>
    </row>
    <row r="11" spans="1:102" x14ac:dyDescent="0.2">
      <c r="A11" s="4" t="s">
        <v>108</v>
      </c>
      <c r="B11" s="4" t="s">
        <v>42</v>
      </c>
      <c r="C11" s="4">
        <f>C10-C3</f>
        <v>1.6654846762943154E-2</v>
      </c>
      <c r="D11" s="25"/>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-1.1974183286129772E-2</v>
      </c>
      <c r="AH11" s="25"/>
      <c r="AI11" s="4">
        <f t="shared" ref="AI11:BK11" si="1">AI10-AI3</f>
        <v>-1.6999164121954444E-2</v>
      </c>
      <c r="AJ11" s="4">
        <f t="shared" si="1"/>
        <v>-5.9054471491001848E-3</v>
      </c>
      <c r="AK11" s="4">
        <f t="shared" si="1"/>
        <v>-1.3824276910284608E-2</v>
      </c>
      <c r="AL11" s="4">
        <f t="shared" si="1"/>
        <v>-8.4089729081529008E-3</v>
      </c>
      <c r="AM11" s="4">
        <f t="shared" si="1"/>
        <v>-1.7057321060006111E-2</v>
      </c>
      <c r="AN11" s="4">
        <f t="shared" si="1"/>
        <v>-1.0983117394203504E-2</v>
      </c>
      <c r="AO11" s="4">
        <f t="shared" si="1"/>
        <v>0.10570366733681442</v>
      </c>
      <c r="AP11" s="4">
        <f t="shared" si="1"/>
        <v>0.11594217047036831</v>
      </c>
      <c r="AQ11" s="4">
        <f t="shared" si="1"/>
        <v>-1.2444000480291748E-2</v>
      </c>
      <c r="AR11" s="4">
        <f t="shared" si="1"/>
        <v>-1.2401538925885316E-2</v>
      </c>
      <c r="AS11" s="4">
        <f t="shared" si="1"/>
        <v>-1.6575802503946982E-2</v>
      </c>
      <c r="AT11" s="4">
        <f t="shared" si="1"/>
        <v>-1.7547339528370648E-2</v>
      </c>
      <c r="AU11" s="4">
        <f t="shared" si="1"/>
        <v>1.1886583852068047E-2</v>
      </c>
      <c r="AV11" s="4">
        <f t="shared" si="1"/>
        <v>8.7100265400702467E-2</v>
      </c>
      <c r="AW11" s="4">
        <f t="shared" si="1"/>
        <v>0</v>
      </c>
      <c r="AX11" s="4">
        <f t="shared" si="1"/>
        <v>0</v>
      </c>
      <c r="AY11" s="4">
        <f t="shared" si="1"/>
        <v>-8.1783837408066912E-2</v>
      </c>
      <c r="AZ11" s="4">
        <f t="shared" si="1"/>
        <v>-1.0186881210443324E-2</v>
      </c>
      <c r="BA11" s="4">
        <f t="shared" si="1"/>
        <v>-1.3162123631551448E-2</v>
      </c>
      <c r="BB11" s="4">
        <f t="shared" si="1"/>
        <v>-1.2679609423258381E-2</v>
      </c>
      <c r="BC11" s="4">
        <f t="shared" si="1"/>
        <v>8.7393718409609952E-2</v>
      </c>
      <c r="BD11" s="4">
        <f t="shared" si="1"/>
        <v>0.1129113260241989</v>
      </c>
      <c r="BE11" s="4">
        <f t="shared" si="1"/>
        <v>0.12118139395924085</v>
      </c>
      <c r="BF11" s="4">
        <f t="shared" si="1"/>
        <v>0.10968432015153634</v>
      </c>
      <c r="BG11" s="4">
        <f t="shared" si="1"/>
        <v>0.15839203009575123</v>
      </c>
      <c r="BH11" s="4">
        <f t="shared" si="1"/>
        <v>0.1233041842506333</v>
      </c>
      <c r="BI11" s="4">
        <f t="shared" si="1"/>
        <v>7.7961385964911797E-2</v>
      </c>
      <c r="BJ11" s="4">
        <f t="shared" si="1"/>
        <v>8.9441625190955248E-2</v>
      </c>
      <c r="BK11" s="4">
        <f t="shared" si="1"/>
        <v>-4.699999999999982E-3</v>
      </c>
      <c r="BL11" s="25"/>
      <c r="BM11" s="4">
        <f t="shared" ref="BM11:CP11" si="2">BM10-BM3</f>
        <v>8.9625239009205604E-4</v>
      </c>
      <c r="BN11" s="4">
        <f t="shared" si="2"/>
        <v>-1.1208100018207157E-2</v>
      </c>
      <c r="BO11" s="4">
        <f t="shared" si="2"/>
        <v>2.4171165456798593E-2</v>
      </c>
      <c r="BP11" s="4">
        <f t="shared" si="2"/>
        <v>1.5401807215675856E-4</v>
      </c>
      <c r="BQ11" s="4">
        <f t="shared" si="2"/>
        <v>-3.159152558283862E-2</v>
      </c>
      <c r="BR11" s="4">
        <f t="shared" si="2"/>
        <v>-4.9252295389972445E-2</v>
      </c>
      <c r="BS11" s="4">
        <f t="shared" si="2"/>
        <v>0.24511286682878677</v>
      </c>
      <c r="BT11" s="4">
        <f t="shared" si="2"/>
        <v>0.35216741633460524</v>
      </c>
      <c r="BU11" s="4">
        <f t="shared" si="2"/>
        <v>-2.1481424709585861E-2</v>
      </c>
      <c r="BV11" s="4">
        <f t="shared" si="2"/>
        <v>4.1793741923991656E-3</v>
      </c>
      <c r="BW11" s="4">
        <f t="shared" si="2"/>
        <v>-1.6559404305127645E-2</v>
      </c>
      <c r="BX11" s="4">
        <f t="shared" si="2"/>
        <v>-5.8320547724256822E-3</v>
      </c>
      <c r="BY11" s="4">
        <f t="shared" si="2"/>
        <v>7.676724013593933E-2</v>
      </c>
      <c r="BZ11" s="4">
        <f t="shared" si="2"/>
        <v>9.1332882306863539E-2</v>
      </c>
      <c r="CA11" s="4">
        <f t="shared" si="2"/>
        <v>-0.17279242024006602</v>
      </c>
      <c r="CB11" s="4">
        <f t="shared" si="2"/>
        <v>-3.9507851931363386E-2</v>
      </c>
      <c r="CC11" s="4">
        <f t="shared" si="2"/>
        <v>4.2958886301230736E-2</v>
      </c>
      <c r="CD11" s="4">
        <f t="shared" si="2"/>
        <v>-5.0040968321190815E-3</v>
      </c>
      <c r="CE11" s="4">
        <f t="shared" si="2"/>
        <v>3.0689879888485261E-3</v>
      </c>
      <c r="CF11" s="4">
        <f t="shared" si="2"/>
        <v>2.8830550287579082E-3</v>
      </c>
      <c r="CG11" s="4">
        <f t="shared" si="2"/>
        <v>0.24317385042834799</v>
      </c>
      <c r="CH11" s="4">
        <f t="shared" si="2"/>
        <v>0.23056483031451805</v>
      </c>
      <c r="CI11" s="4">
        <f t="shared" si="2"/>
        <v>0.35396066865033904</v>
      </c>
      <c r="CJ11" s="4">
        <f t="shared" si="2"/>
        <v>0.37178137005472528</v>
      </c>
      <c r="CK11" s="4">
        <f t="shared" si="2"/>
        <v>0.40256984428911602</v>
      </c>
      <c r="CL11" s="4">
        <f t="shared" si="2"/>
        <v>0.59185193463452856</v>
      </c>
      <c r="CM11" s="4">
        <f t="shared" si="2"/>
        <v>0.18402539280883567</v>
      </c>
      <c r="CN11" s="4">
        <f t="shared" si="2"/>
        <v>0.41806118111244123</v>
      </c>
      <c r="CO11" s="4">
        <f t="shared" si="2"/>
        <v>4.6806634768133959E-3</v>
      </c>
      <c r="CP11" s="30">
        <f t="shared" si="2"/>
        <v>50800</v>
      </c>
      <c r="CQ11" s="4">
        <f>GM[[#This Row],[Male I]]-GM[[#This Row],[Female I]]</f>
        <v>1.2104352408299213E-2</v>
      </c>
      <c r="CR11" s="4">
        <f>GM[[#This Row],[NS SEC 1-2: Higher social groups I]]-GM[[#This Row],[NS SEC 6-8: Lower social groups I]]</f>
        <v>-7.8871518608769897E-3</v>
      </c>
      <c r="CS11" s="4">
        <f>GM[[#This Row],[No LT limiting disability I]]-GM[[#This Row],[LT limiting disability I]]</f>
        <v>2.5660798901985027E-2</v>
      </c>
      <c r="CT11" s="4">
        <f>GM[[#This Row],[16-34 I]]-GM[[#This Row],[75+ I]]</f>
        <v>7.3423460846771038E-2</v>
      </c>
      <c r="CU11" s="64">
        <f>CU10-CU7</f>
        <v>1.6486628473567688E-2</v>
      </c>
      <c r="CV11" s="64">
        <f>CV10-CV7</f>
        <v>-2.2211892182726123E-2</v>
      </c>
      <c r="CW11" s="64">
        <f>CW10-CW7</f>
        <v>-1.2327715149357377E-2</v>
      </c>
      <c r="CX11" s="64"/>
    </row>
    <row r="13" spans="1:102" x14ac:dyDescent="0.2">
      <c r="BX13" s="3">
        <f>BZ9-BW9</f>
        <v>0.15486490437549297</v>
      </c>
    </row>
  </sheetData>
  <mergeCells count="3">
    <mergeCell ref="D1:AE1"/>
    <mergeCell ref="AG1:BH1"/>
    <mergeCell ref="BJ1:CK1"/>
  </mergeCells>
  <conditionalFormatting sqref="AG8">
    <cfRule type="containsText" dxfId="2287" priority="59" operator="containsText" text="Significant increase">
      <formula>NOT(ISERROR(SEARCH("Significant increase",AG8)))</formula>
    </cfRule>
    <cfRule type="containsText" dxfId="2286" priority="60" operator="containsText" text="Significant decrease">
      <formula>NOT(ISERROR(SEARCH("Significant decrease",AG8)))</formula>
    </cfRule>
  </conditionalFormatting>
  <conditionalFormatting sqref="AH9:AH10">
    <cfRule type="containsText" dxfId="2285" priority="45" operator="containsText" text="Significant increase">
      <formula>NOT(ISERROR(SEARCH("Significant increase",AH9)))</formula>
    </cfRule>
    <cfRule type="containsText" dxfId="2284" priority="46" operator="containsText" text="Significant decrease">
      <formula>NOT(ISERROR(SEARCH("Significant decrease",AH9)))</formula>
    </cfRule>
  </conditionalFormatting>
  <conditionalFormatting sqref="AH6">
    <cfRule type="containsText" dxfId="2283" priority="39" operator="containsText" text="Significant increase">
      <formula>NOT(ISERROR(SEARCH("Significant increase",AH6)))</formula>
    </cfRule>
    <cfRule type="containsText" dxfId="2282" priority="40" operator="containsText" text="Significant decrease">
      <formula>NOT(ISERROR(SEARCH("Significant decrease",AH6)))</formula>
    </cfRule>
  </conditionalFormatting>
  <conditionalFormatting sqref="AH3">
    <cfRule type="containsText" dxfId="2281" priority="41" operator="containsText" text="Significant increase">
      <formula>NOT(ISERROR(SEARCH("Significant increase",AH3)))</formula>
    </cfRule>
    <cfRule type="containsText" dxfId="2280" priority="42" operator="containsText" text="Significant decrease">
      <formula>NOT(ISERROR(SEARCH("Significant decrease",AH3)))</formula>
    </cfRule>
  </conditionalFormatting>
  <conditionalFormatting sqref="AH8">
    <cfRule type="containsText" dxfId="2279" priority="37" operator="containsText" text="Significant increase">
      <formula>NOT(ISERROR(SEARCH("Significant increase",AH8)))</formula>
    </cfRule>
    <cfRule type="containsText" dxfId="2278" priority="38" operator="containsText" text="Significant decrease">
      <formula>NOT(ISERROR(SEARCH("Significant decrease",AH8)))</formula>
    </cfRule>
  </conditionalFormatting>
  <conditionalFormatting sqref="D9:D10">
    <cfRule type="containsText" dxfId="2277" priority="31" operator="containsText" text="Significant increase">
      <formula>NOT(ISERROR(SEARCH("Significant increase",D9)))</formula>
    </cfRule>
    <cfRule type="containsText" dxfId="2276" priority="32" operator="containsText" text="Significant decrease">
      <formula>NOT(ISERROR(SEARCH("Significant decrease",D9)))</formula>
    </cfRule>
  </conditionalFormatting>
  <conditionalFormatting sqref="D8">
    <cfRule type="containsText" dxfId="2275" priority="29" operator="containsText" text="Significant increase">
      <formula>NOT(ISERROR(SEARCH("Significant increase",D8)))</formula>
    </cfRule>
    <cfRule type="containsText" dxfId="2274" priority="30" operator="containsText" text="Significant decrease">
      <formula>NOT(ISERROR(SEARCH("Significant decrease",D8)))</formula>
    </cfRule>
  </conditionalFormatting>
  <conditionalFormatting sqref="D3">
    <cfRule type="containsText" dxfId="2273" priority="27" operator="containsText" text="Significant increase">
      <formula>NOT(ISERROR(SEARCH("Significant increase",D3)))</formula>
    </cfRule>
    <cfRule type="containsText" dxfId="2272" priority="28" operator="containsText" text="Significant decrease">
      <formula>NOT(ISERROR(SEARCH("Significant decrease",D3)))</formula>
    </cfRule>
  </conditionalFormatting>
  <conditionalFormatting sqref="BL8:BL10 BL3">
    <cfRule type="containsText" dxfId="2271" priority="25" operator="containsText" text="Significant increase">
      <formula>NOT(ISERROR(SEARCH("Significant increase",BL3)))</formula>
    </cfRule>
    <cfRule type="containsText" dxfId="2270" priority="26" operator="containsText" text="Significant decrease">
      <formula>NOT(ISERROR(SEARCH("Significant decrease",BL3)))</formula>
    </cfRule>
  </conditionalFormatting>
  <conditionalFormatting sqref="D7">
    <cfRule type="containsText" dxfId="2269" priority="23" operator="containsText" text="Significant increase">
      <formula>NOT(ISERROR(SEARCH("Significant increase",D7)))</formula>
    </cfRule>
    <cfRule type="containsText" dxfId="2268" priority="24" operator="containsText" text="Significant decrease">
      <formula>NOT(ISERROR(SEARCH("Significant decrease",D7)))</formula>
    </cfRule>
  </conditionalFormatting>
  <conditionalFormatting sqref="E7">
    <cfRule type="containsText" dxfId="2267" priority="21" operator="containsText" text="Significant increase">
      <formula>NOT(ISERROR(SEARCH("Significant increase",E7)))</formula>
    </cfRule>
    <cfRule type="containsText" dxfId="2266" priority="22" operator="containsText" text="Significant decrease">
      <formula>NOT(ISERROR(SEARCH("Significant decrease",E7)))</formula>
    </cfRule>
  </conditionalFormatting>
  <conditionalFormatting sqref="AI7">
    <cfRule type="containsText" dxfId="2265" priority="19" operator="containsText" text="Significant increase">
      <formula>NOT(ISERROR(SEARCH("Significant increase",AI7)))</formula>
    </cfRule>
    <cfRule type="containsText" dxfId="2264" priority="20" operator="containsText" text="Significant decrease">
      <formula>NOT(ISERROR(SEARCH("Significant decrease",AI7)))</formula>
    </cfRule>
  </conditionalFormatting>
  <conditionalFormatting sqref="AH7">
    <cfRule type="containsText" dxfId="2263" priority="17" operator="containsText" text="Significant increase">
      <formula>NOT(ISERROR(SEARCH("Significant increase",AH7)))</formula>
    </cfRule>
    <cfRule type="containsText" dxfId="2262" priority="18" operator="containsText" text="Significant decrease">
      <formula>NOT(ISERROR(SEARCH("Significant decrease",AH7)))</formula>
    </cfRule>
  </conditionalFormatting>
  <conditionalFormatting sqref="BL7">
    <cfRule type="containsText" dxfId="2261" priority="15" operator="containsText" text="Significant increase">
      <formula>NOT(ISERROR(SEARCH("Significant increase",BL7)))</formula>
    </cfRule>
    <cfRule type="containsText" dxfId="2260" priority="16" operator="containsText" text="Significant decrease">
      <formula>NOT(ISERROR(SEARCH("Significant decrease",BL7)))</formula>
    </cfRule>
  </conditionalFormatting>
  <conditionalFormatting sqref="BK7">
    <cfRule type="containsText" dxfId="2259" priority="13" operator="containsText" text="Significant increase">
      <formula>NOT(ISERROR(SEARCH("Significant increase",BK7)))</formula>
    </cfRule>
    <cfRule type="containsText" dxfId="2258" priority="14" operator="containsText" text="Significant decrease">
      <formula>NOT(ISERROR(SEARCH("Significant decrease",BK7)))</formula>
    </cfRule>
  </conditionalFormatting>
  <conditionalFormatting sqref="C7">
    <cfRule type="containsText" dxfId="2257" priority="11" operator="containsText" text="Significant increase">
      <formula>NOT(ISERROR(SEARCH("Significant increase",C7)))</formula>
    </cfRule>
    <cfRule type="containsText" dxfId="2256" priority="12" operator="containsText" text="Significant decrease">
      <formula>NOT(ISERROR(SEARCH("Significant decrease",C7)))</formula>
    </cfRule>
  </conditionalFormatting>
  <conditionalFormatting sqref="CX9:CX10">
    <cfRule type="containsText" dxfId="2255" priority="9" operator="containsText" text="Significant increase">
      <formula>NOT(ISERROR(SEARCH("Significant increase",CX9)))</formula>
    </cfRule>
    <cfRule type="containsText" dxfId="2254" priority="10" operator="containsText" text="Significant decrease">
      <formula>NOT(ISERROR(SEARCH("Significant decrease",CX9)))</formula>
    </cfRule>
  </conditionalFormatting>
  <conditionalFormatting sqref="CX8">
    <cfRule type="containsText" dxfId="2253" priority="7" operator="containsText" text="Significant increase">
      <formula>NOT(ISERROR(SEARCH("Significant increase",CX8)))</formula>
    </cfRule>
    <cfRule type="containsText" dxfId="2252" priority="8" operator="containsText" text="Significant decrease">
      <formula>NOT(ISERROR(SEARCH("Significant decrease",CX8)))</formula>
    </cfRule>
  </conditionalFormatting>
  <conditionalFormatting sqref="CX7">
    <cfRule type="containsText" dxfId="2251" priority="5" operator="containsText" text="Significant increase">
      <formula>NOT(ISERROR(SEARCH("Significant increase",CX7)))</formula>
    </cfRule>
    <cfRule type="containsText" dxfId="2250" priority="6" operator="containsText" text="Significant decrease">
      <formula>NOT(ISERROR(SEARCH("Significant decrease",CX7)))</formula>
    </cfRule>
  </conditionalFormatting>
  <conditionalFormatting sqref="CX6">
    <cfRule type="containsText" dxfId="2249" priority="3" operator="containsText" text="Significant increase">
      <formula>NOT(ISERROR(SEARCH("Significant increase",CX6)))</formula>
    </cfRule>
    <cfRule type="containsText" dxfId="2248" priority="4" operator="containsText" text="Significant decrease">
      <formula>NOT(ISERROR(SEARCH("Significant decrease",CX6)))</formula>
    </cfRule>
  </conditionalFormatting>
  <conditionalFormatting sqref="CX4">
    <cfRule type="containsText" dxfId="2247" priority="1" operator="containsText" text="Significant increase">
      <formula>NOT(ISERROR(SEARCH("Significant increase",CX4)))</formula>
    </cfRule>
    <cfRule type="containsText" dxfId="2246" priority="2" operator="containsText" text="Significant decrease">
      <formula>NOT(ISERROR(SEARCH("Significant decrease",CX4)))</formula>
    </cfRule>
  </conditionalFormatting>
  <pageMargins left="0.7" right="0.7" top="0.75" bottom="0.75" header="0.3" footer="0.3"/>
  <pageSetup paperSize="9"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CX15"/>
  <sheetViews>
    <sheetView zoomScaleNormal="100" workbookViewId="0">
      <pane xSplit="2" ySplit="2" topLeftCell="BH3" activePane="bottomRight" state="frozen"/>
      <selection activeCell="CE39" sqref="CE39"/>
      <selection pane="topRight" activeCell="CE39" sqref="CE39"/>
      <selection pane="bottomLeft" activeCell="CE39" sqref="CE39"/>
      <selection pane="bottomRight" activeCell="CM29" sqref="CM29"/>
    </sheetView>
  </sheetViews>
  <sheetFormatPr defaultRowHeight="14.25" outlineLevelCol="1" x14ac:dyDescent="0.2"/>
  <cols>
    <col min="2" max="2" width="11.69921875" customWidth="1"/>
    <col min="3" max="4" width="23.5" customWidth="1"/>
    <col min="5" max="12" width="8.69921875" customWidth="1" outlineLevel="1"/>
    <col min="13" max="13" width="18.296875" customWidth="1" outlineLevel="1"/>
    <col min="14" max="14" width="21" customWidth="1" outlineLevel="1"/>
    <col min="15" max="15" width="12.796875" customWidth="1" outlineLevel="1"/>
    <col min="16" max="16" width="12.19921875" customWidth="1" outlineLevel="1"/>
    <col min="17" max="17" width="12.09765625" customWidth="1" outlineLevel="1"/>
    <col min="18" max="18" width="8.69921875" customWidth="1" outlineLevel="1"/>
    <col min="19" max="19" width="9.296875" customWidth="1" outlineLevel="1"/>
    <col min="20" max="20" width="8.69921875" customWidth="1" outlineLevel="1"/>
    <col min="21" max="21" width="17.69921875" customWidth="1" outlineLevel="1"/>
    <col min="22" max="23" width="29" customWidth="1" outlineLevel="1"/>
    <col min="24" max="24" width="28.5" customWidth="1" outlineLevel="1"/>
    <col min="25" max="25" width="26.296875" customWidth="1" outlineLevel="1"/>
    <col min="26" max="26" width="21.5" customWidth="1" outlineLevel="1"/>
    <col min="27" max="27" width="12.5" customWidth="1" outlineLevel="1"/>
    <col min="28" max="28" width="19" customWidth="1" outlineLevel="1"/>
    <col min="29" max="29" width="35.69921875" customWidth="1" outlineLevel="1"/>
    <col min="30" max="30" width="33.796875" customWidth="1" outlineLevel="1"/>
    <col min="31" max="31" width="21.296875" customWidth="1" outlineLevel="1"/>
    <col min="32" max="32" width="19.19921875" customWidth="1" outlineLevel="1"/>
    <col min="33" max="33" width="28.296875" customWidth="1"/>
    <col min="34" max="34" width="8.69921875" customWidth="1" outlineLevel="1"/>
    <col min="35" max="35" width="9.296875" customWidth="1" outlineLevel="1"/>
    <col min="36" max="41" width="8.69921875" customWidth="1" outlineLevel="1"/>
    <col min="42" max="42" width="20.09765625" customWidth="1" outlineLevel="1"/>
    <col min="43" max="43" width="22.69921875" customWidth="1" outlineLevel="1"/>
    <col min="44" max="44" width="14.59765625" customWidth="1" outlineLevel="1"/>
    <col min="45" max="45" width="14" customWidth="1" outlineLevel="1"/>
    <col min="46" max="46" width="13.796875" customWidth="1" outlineLevel="1"/>
    <col min="47" max="47" width="8.796875" customWidth="1" outlineLevel="1"/>
    <col min="48" max="48" width="11.09765625" customWidth="1" outlineLevel="1"/>
    <col min="49" max="49" width="9.296875" customWidth="1" outlineLevel="1"/>
    <col min="50" max="50" width="19.5" customWidth="1" outlineLevel="1"/>
    <col min="51" max="52" width="30.69921875" customWidth="1" outlineLevel="1"/>
    <col min="53" max="53" width="30.296875" customWidth="1" outlineLevel="1"/>
    <col min="54" max="54" width="28.09765625" customWidth="1" outlineLevel="1"/>
    <col min="55" max="55" width="23.296875" customWidth="1" outlineLevel="1"/>
    <col min="56" max="56" width="14.296875" customWidth="1" outlineLevel="1"/>
    <col min="57" max="57" width="20.69921875" customWidth="1" outlineLevel="1"/>
    <col min="58" max="58" width="37.5" customWidth="1" outlineLevel="1"/>
    <col min="59" max="59" width="35.59765625" customWidth="1" outlineLevel="1"/>
    <col min="60" max="60" width="23.09765625" customWidth="1" outlineLevel="1"/>
    <col min="61" max="61" width="21" customWidth="1" outlineLevel="1"/>
    <col min="62" max="62" width="24.796875" customWidth="1"/>
    <col min="63" max="63" width="8.69921875" customWidth="1" outlineLevel="1"/>
    <col min="64" max="64" width="10.19921875" customWidth="1" outlineLevel="1"/>
    <col min="65" max="70" width="8.69921875" customWidth="1" outlineLevel="1"/>
    <col min="71" max="71" width="20.09765625" customWidth="1" outlineLevel="1"/>
    <col min="72" max="72" width="22.69921875" customWidth="1" outlineLevel="1"/>
    <col min="73" max="73" width="14.59765625" customWidth="1" outlineLevel="1"/>
    <col min="74" max="74" width="14" customWidth="1" outlineLevel="1"/>
    <col min="75" max="75" width="13.796875" customWidth="1" outlineLevel="1"/>
    <col min="76" max="76" width="8.796875" customWidth="1" outlineLevel="1"/>
    <col min="77" max="77" width="11.09765625" customWidth="1" outlineLevel="1"/>
    <col min="78" max="78" width="9.296875" customWidth="1" outlineLevel="1"/>
    <col min="79" max="79" width="19.5" customWidth="1" outlineLevel="1"/>
    <col min="80" max="81" width="30.69921875" customWidth="1" outlineLevel="1"/>
    <col min="82" max="82" width="30.296875" customWidth="1" outlineLevel="1"/>
    <col min="83" max="83" width="28.09765625" customWidth="1" outlineLevel="1"/>
    <col min="84" max="84" width="23.296875" customWidth="1" outlineLevel="1"/>
    <col min="85" max="85" width="14.296875" customWidth="1" outlineLevel="1"/>
    <col min="86" max="86" width="20.69921875" customWidth="1" outlineLevel="1"/>
    <col min="87" max="87" width="37.5" customWidth="1" outlineLevel="1"/>
    <col min="88" max="88" width="35.59765625" customWidth="1" outlineLevel="1"/>
    <col min="89" max="89" width="23.09765625" customWidth="1" outlineLevel="1"/>
    <col min="90" max="90" width="21" customWidth="1" outlineLevel="1"/>
    <col min="94" max="94" width="8.69921875" style="29"/>
    <col min="96" max="96" width="20.3984375" customWidth="1"/>
  </cols>
  <sheetData>
    <row r="1" spans="1:102" x14ac:dyDescent="0.2">
      <c r="E1" s="229" t="s">
        <v>30</v>
      </c>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E1" s="229"/>
      <c r="AF1" s="229"/>
      <c r="AH1" s="229" t="s">
        <v>32</v>
      </c>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H1" s="229"/>
      <c r="BI1" s="229"/>
      <c r="BK1" s="229" t="s">
        <v>34</v>
      </c>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c r="CK1" s="229"/>
      <c r="CL1" s="229"/>
    </row>
    <row r="2" spans="1:102" x14ac:dyDescent="0.2">
      <c r="A2" s="2" t="s">
        <v>106</v>
      </c>
      <c r="B2" t="s">
        <v>0</v>
      </c>
      <c r="C2" t="s">
        <v>29</v>
      </c>
      <c r="D2"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2" t="s">
        <v>165</v>
      </c>
      <c r="CQ2" s="2" t="s">
        <v>102</v>
      </c>
      <c r="CR2" s="2" t="s">
        <v>103</v>
      </c>
      <c r="CS2" s="2" t="s">
        <v>104</v>
      </c>
      <c r="CT2" s="2" t="s">
        <v>105</v>
      </c>
      <c r="CU2" s="2" t="s">
        <v>207</v>
      </c>
      <c r="CV2" s="2" t="s">
        <v>208</v>
      </c>
      <c r="CW2" s="2" t="s">
        <v>209</v>
      </c>
      <c r="CX2" s="2" t="s">
        <v>301</v>
      </c>
    </row>
    <row r="3" spans="1:102" x14ac:dyDescent="0.2">
      <c r="A3" s="4" t="s">
        <v>109</v>
      </c>
      <c r="B3" s="4" t="s">
        <v>35</v>
      </c>
      <c r="C3" s="48">
        <v>0.5665</v>
      </c>
      <c r="D3" s="30">
        <v>126300</v>
      </c>
      <c r="E3" s="4">
        <v>0.61943870250101518</v>
      </c>
      <c r="F3" s="4">
        <v>0.51591988682871071</v>
      </c>
      <c r="G3" s="4">
        <v>0.68812934392931513</v>
      </c>
      <c r="H3" s="4">
        <v>0.56721266053166364</v>
      </c>
      <c r="I3" s="4">
        <v>0.47894319356251691</v>
      </c>
      <c r="J3" s="4">
        <v>0.44058255012086656</v>
      </c>
      <c r="K3" s="4"/>
      <c r="L3" s="4"/>
      <c r="M3" s="4">
        <v>0.42192059980684854</v>
      </c>
      <c r="N3" s="4">
        <v>0.60705523970899866</v>
      </c>
      <c r="O3" s="4">
        <v>0.5765692576837721</v>
      </c>
      <c r="P3" s="4"/>
      <c r="Q3" s="4">
        <v>0.60155311265671962</v>
      </c>
      <c r="R3" s="4"/>
      <c r="S3" s="4"/>
      <c r="T3" s="4"/>
      <c r="U3" s="4"/>
      <c r="V3" s="4">
        <v>0.6575278098646884</v>
      </c>
      <c r="W3" s="4">
        <v>0.57358890515420236</v>
      </c>
      <c r="X3" s="4">
        <v>0.45576433771721914</v>
      </c>
      <c r="Y3" s="4"/>
      <c r="Z3" s="4"/>
      <c r="AA3" s="4"/>
      <c r="AB3" s="4"/>
      <c r="AC3" s="4"/>
      <c r="AD3" s="4"/>
      <c r="AE3" s="4"/>
      <c r="AF3" s="4"/>
      <c r="AG3" s="48">
        <v>0.14230000000000001</v>
      </c>
      <c r="AH3" s="30">
        <v>31700</v>
      </c>
      <c r="AI3" s="4">
        <v>0.11789877141187097</v>
      </c>
      <c r="AJ3" s="4">
        <v>0.16743679878358286</v>
      </c>
      <c r="AK3" s="4">
        <v>0.16375509386441497</v>
      </c>
      <c r="AL3" s="4">
        <v>0.12922386437271174</v>
      </c>
      <c r="AM3" s="4">
        <v>0.17456096938588292</v>
      </c>
      <c r="AN3" s="4"/>
      <c r="AO3" s="4"/>
      <c r="AP3" s="4"/>
      <c r="AQ3" s="4">
        <v>0.14797489493816099</v>
      </c>
      <c r="AR3" s="4">
        <v>0.14898299724487304</v>
      </c>
      <c r="AS3" s="4">
        <v>0.14188461387189391</v>
      </c>
      <c r="AT3" s="4"/>
      <c r="AU3" s="4"/>
      <c r="AV3" s="4"/>
      <c r="AW3" s="4"/>
      <c r="AX3" s="4"/>
      <c r="AY3" s="4"/>
      <c r="AZ3" s="4">
        <v>0.14109985807121819</v>
      </c>
      <c r="BA3" s="4">
        <v>0.18521002890857069</v>
      </c>
      <c r="BB3" s="4"/>
      <c r="BC3" s="4"/>
      <c r="BD3" s="4"/>
      <c r="BE3" s="4"/>
      <c r="BF3" s="4"/>
      <c r="BG3" s="4"/>
      <c r="BH3" s="4"/>
      <c r="BI3" s="4"/>
      <c r="BJ3" s="4"/>
      <c r="BK3" s="48">
        <v>0.29120000000000001</v>
      </c>
      <c r="BL3" s="30">
        <v>64900</v>
      </c>
      <c r="BM3" s="4">
        <v>0.26266252608711377</v>
      </c>
      <c r="BN3" s="4">
        <v>0.31664331438770499</v>
      </c>
      <c r="BO3" s="4">
        <v>0.14811556220626965</v>
      </c>
      <c r="BP3" s="4">
        <v>0.30356347509562365</v>
      </c>
      <c r="BQ3" s="4">
        <v>0.34649583705160081</v>
      </c>
      <c r="BR3" s="4">
        <v>0.49948195235101644</v>
      </c>
      <c r="BS3" s="4"/>
      <c r="BT3" s="4"/>
      <c r="BU3" s="4">
        <v>0.43010450525499172</v>
      </c>
      <c r="BV3" s="4">
        <v>0.24396176304612996</v>
      </c>
      <c r="BW3" s="4">
        <v>0.28154612844433613</v>
      </c>
      <c r="BX3" s="4"/>
      <c r="BY3" s="4"/>
      <c r="BZ3" s="4"/>
      <c r="CA3" s="4"/>
      <c r="CB3" s="4"/>
      <c r="CC3" s="4"/>
      <c r="CD3" s="4">
        <v>0.20137233206409291</v>
      </c>
      <c r="CE3" s="4">
        <v>0.2412010659372272</v>
      </c>
      <c r="CF3" s="4">
        <v>0.38534974151782087</v>
      </c>
      <c r="CG3" s="4"/>
      <c r="CH3" s="4"/>
      <c r="CI3" s="4"/>
      <c r="CJ3" s="4"/>
      <c r="CK3" s="4"/>
      <c r="CL3" s="4"/>
      <c r="CM3" s="4"/>
      <c r="CN3" s="4"/>
      <c r="CO3" s="4">
        <f t="shared" ref="CO3:CO9" si="0">SUM(C3,AG3)</f>
        <v>0.70879999999999999</v>
      </c>
      <c r="CP3" s="41">
        <f>Bolton1[[#This Row],[Active - Numbers]]+Bolton1[[#This Row],[Fairly Active - Numbers]]</f>
        <v>158000</v>
      </c>
      <c r="CQ3" s="4">
        <f>Bolton1[[#This Row],[Male I]]-Bolton1[[#This Row],[Female I]]</f>
        <v>-5.398078830059122E-2</v>
      </c>
      <c r="CR3" s="4">
        <f>Bolton1[[#This Row],[NS SEC 1-2: Higher social groups I]]-Bolton1[[#This Row],[NS SEC 6-8: Lower social groups I]]</f>
        <v>-0.18397740945372795</v>
      </c>
      <c r="CS3" s="4">
        <f>Bolton1[[#This Row],[No LT limiting disability I]]-Bolton1[[#This Row],[LT limiting disability I]]</f>
        <v>-0.18614274220886176</v>
      </c>
      <c r="CT3" s="4">
        <f>Bolton1[[#This Row],[16-34 I]]-Bolton1[[#This Row],[75+ I]]</f>
        <v>-0.3513663901447468</v>
      </c>
      <c r="CU3" s="176"/>
      <c r="CV3" s="176"/>
      <c r="CW3" s="176"/>
      <c r="CX3" s="176"/>
    </row>
    <row r="4" spans="1:102" x14ac:dyDescent="0.2">
      <c r="A4" s="4" t="s">
        <v>109</v>
      </c>
      <c r="B4" s="4" t="s">
        <v>36</v>
      </c>
      <c r="C4" s="44">
        <v>0.57699999999999996</v>
      </c>
      <c r="D4" s="30">
        <v>129200</v>
      </c>
      <c r="E4" s="4">
        <v>0.60275110999734538</v>
      </c>
      <c r="F4" s="4">
        <v>0.51961200311037092</v>
      </c>
      <c r="G4" s="4">
        <v>0.65817090935647049</v>
      </c>
      <c r="H4" s="4">
        <v>0.55841685607736991</v>
      </c>
      <c r="I4" s="4">
        <v>0.48379867347058336</v>
      </c>
      <c r="J4" s="4">
        <v>0.41740230760327884</v>
      </c>
      <c r="K4" s="4"/>
      <c r="L4" s="4"/>
      <c r="M4" s="4">
        <v>0.41333671744403899</v>
      </c>
      <c r="N4" s="4">
        <v>0.61480633928039274</v>
      </c>
      <c r="O4" s="4">
        <v>0.56460561051856251</v>
      </c>
      <c r="P4" s="4"/>
      <c r="Q4" s="4">
        <v>0.51261645053770799</v>
      </c>
      <c r="R4" s="4"/>
      <c r="S4" s="4"/>
      <c r="T4" s="4"/>
      <c r="U4" s="4"/>
      <c r="V4" s="4">
        <v>0.65807993193408909</v>
      </c>
      <c r="W4" s="4">
        <v>0.56459723988484167</v>
      </c>
      <c r="X4" s="4">
        <v>0.48990148039671383</v>
      </c>
      <c r="Y4" s="4"/>
      <c r="Z4" s="4"/>
      <c r="AA4" s="4"/>
      <c r="AB4" s="4"/>
      <c r="AC4" s="4"/>
      <c r="AD4" s="4"/>
      <c r="AE4" s="4"/>
      <c r="AF4" s="4"/>
      <c r="AG4" s="44">
        <v>0.1222</v>
      </c>
      <c r="AH4" s="30">
        <v>27400</v>
      </c>
      <c r="AI4" s="4">
        <v>0.12196245123190541</v>
      </c>
      <c r="AJ4" s="4">
        <v>0.15844909406086802</v>
      </c>
      <c r="AK4" s="4">
        <v>0.13685986972448735</v>
      </c>
      <c r="AL4" s="4">
        <v>0.15956429214264556</v>
      </c>
      <c r="AM4" s="4">
        <v>0.13775513117195148</v>
      </c>
      <c r="AN4" s="4"/>
      <c r="AO4" s="4"/>
      <c r="AP4" s="4"/>
      <c r="AQ4" s="4">
        <v>0.14107886656599158</v>
      </c>
      <c r="AR4" s="4">
        <v>0.14354991506843565</v>
      </c>
      <c r="AS4" s="4">
        <v>0.1318162373911998</v>
      </c>
      <c r="AT4" s="4"/>
      <c r="AU4" s="4"/>
      <c r="AV4" s="4"/>
      <c r="AW4" s="4"/>
      <c r="AX4" s="4"/>
      <c r="AY4" s="4"/>
      <c r="AZ4" s="4">
        <v>0.11272468121885887</v>
      </c>
      <c r="BA4" s="4">
        <v>0.16485917832203378</v>
      </c>
      <c r="BB4" s="4"/>
      <c r="BC4" s="4"/>
      <c r="BD4" s="4"/>
      <c r="BE4" s="4"/>
      <c r="BF4" s="4"/>
      <c r="BG4" s="4"/>
      <c r="BH4" s="4"/>
      <c r="BI4" s="4"/>
      <c r="BJ4" s="4"/>
      <c r="BK4" s="48">
        <v>0.30074989547068853</v>
      </c>
      <c r="BL4" s="30">
        <v>67400</v>
      </c>
      <c r="BM4" s="4">
        <v>0.27528643877074832</v>
      </c>
      <c r="BN4" s="4">
        <v>0.32193890282876181</v>
      </c>
      <c r="BO4" s="4">
        <v>0.20496922091904196</v>
      </c>
      <c r="BP4" s="4">
        <v>0.28201885177998426</v>
      </c>
      <c r="BQ4" s="4">
        <v>0.37844619535746449</v>
      </c>
      <c r="BR4" s="4">
        <v>0.49331528847544848</v>
      </c>
      <c r="BS4" s="4"/>
      <c r="BT4" s="4"/>
      <c r="BU4" s="4">
        <v>0.44558441598996901</v>
      </c>
      <c r="BV4" s="4">
        <v>0.24164374565117133</v>
      </c>
      <c r="BW4" s="4">
        <v>0.3035781520902377</v>
      </c>
      <c r="BX4" s="4"/>
      <c r="BY4" s="4">
        <v>0.35113201688828433</v>
      </c>
      <c r="BZ4" s="4"/>
      <c r="CA4" s="4"/>
      <c r="CB4" s="4"/>
      <c r="CC4" s="4"/>
      <c r="CD4" s="4">
        <v>0.22919538684705254</v>
      </c>
      <c r="CE4" s="4">
        <v>0.27054358179312354</v>
      </c>
      <c r="CF4" s="4">
        <v>0.34793208154153127</v>
      </c>
      <c r="CG4" s="4"/>
      <c r="CH4" s="4"/>
      <c r="CI4" s="4"/>
      <c r="CJ4" s="4"/>
      <c r="CK4" s="4"/>
      <c r="CL4" s="4"/>
      <c r="CM4" s="4"/>
      <c r="CN4" s="4"/>
      <c r="CO4" s="4">
        <f t="shared" si="0"/>
        <v>0.69919999999999993</v>
      </c>
      <c r="CP4" s="41">
        <f>Bolton1[[#This Row],[Active - Numbers]]+Bolton1[[#This Row],[Fairly Active - Numbers]]</f>
        <v>156600</v>
      </c>
      <c r="CQ4" s="4">
        <f>Bolton1[[#This Row],[Male I]]-Bolton1[[#This Row],[Female I]]</f>
        <v>-4.6652464058013488E-2</v>
      </c>
      <c r="CR4" s="4">
        <f>Bolton1[[#This Row],[NS SEC 1-2: Higher social groups I]]-Bolton1[[#This Row],[NS SEC 6-8: Lower social groups I]]</f>
        <v>-0.11873669469447873</v>
      </c>
      <c r="CS4" s="4">
        <f>Bolton1[[#This Row],[No LT limiting disability I]]-Bolton1[[#This Row],[LT limiting disability I]]</f>
        <v>-0.20394067033879767</v>
      </c>
      <c r="CT4" s="4">
        <f>Bolton1[[#This Row],[16-34 I]]-Bolton1[[#This Row],[75+ I]]</f>
        <v>-0.28834606755640652</v>
      </c>
      <c r="CU4" s="176"/>
      <c r="CV4" s="176"/>
      <c r="CW4" s="176"/>
      <c r="CX4" s="150">
        <v>0.15079999999999999</v>
      </c>
    </row>
    <row r="5" spans="1:102" x14ac:dyDescent="0.2">
      <c r="A5" s="4" t="s">
        <v>109</v>
      </c>
      <c r="B5" s="4" t="s">
        <v>37</v>
      </c>
      <c r="C5" s="48">
        <v>0.57330000000000003</v>
      </c>
      <c r="D5" s="30">
        <v>128100</v>
      </c>
      <c r="E5" s="4">
        <v>0.59940754731927637</v>
      </c>
      <c r="F5" s="4">
        <v>0.54917883234701892</v>
      </c>
      <c r="G5" s="4">
        <v>0.66804657826720293</v>
      </c>
      <c r="H5" s="4">
        <v>0.55763070416338945</v>
      </c>
      <c r="I5" s="4">
        <v>0.54557500059592667</v>
      </c>
      <c r="J5" s="4">
        <v>0.3405455123713414</v>
      </c>
      <c r="K5" s="4"/>
      <c r="L5" s="4"/>
      <c r="M5" s="4">
        <v>0.39392064290583489</v>
      </c>
      <c r="N5" s="4">
        <v>0.6329062602502834</v>
      </c>
      <c r="O5" s="4">
        <v>0.5956479396395804</v>
      </c>
      <c r="P5" s="4">
        <v>0.52699628501767204</v>
      </c>
      <c r="Q5" s="4">
        <v>0.5078018980176614</v>
      </c>
      <c r="R5" s="4"/>
      <c r="S5" s="4"/>
      <c r="T5" s="4"/>
      <c r="U5" s="4"/>
      <c r="V5" s="4">
        <v>0.65414088621023436</v>
      </c>
      <c r="W5" s="4">
        <v>0.58507170486868565</v>
      </c>
      <c r="X5" s="4">
        <v>0.47463366883981206</v>
      </c>
      <c r="Y5" s="4"/>
      <c r="Z5" s="4"/>
      <c r="AA5" s="4"/>
      <c r="AB5" s="4"/>
      <c r="AC5" s="4"/>
      <c r="AD5" s="4"/>
      <c r="AE5" s="4"/>
      <c r="AF5" s="4"/>
      <c r="AG5" s="48">
        <v>0.13539999999999999</v>
      </c>
      <c r="AH5" s="30">
        <v>30200</v>
      </c>
      <c r="AI5" s="4">
        <v>0.14727451026922889</v>
      </c>
      <c r="AJ5" s="4">
        <v>0.12437572162819391</v>
      </c>
      <c r="AK5" s="4"/>
      <c r="AL5" s="4">
        <v>0.14100369288552403</v>
      </c>
      <c r="AM5" s="4">
        <v>0.14507575099020908</v>
      </c>
      <c r="AN5" s="4"/>
      <c r="AO5" s="4"/>
      <c r="AP5" s="4"/>
      <c r="AQ5" s="4">
        <v>0.17377766188973465</v>
      </c>
      <c r="AR5" s="4">
        <v>0.12751346846152173</v>
      </c>
      <c r="AS5" s="4">
        <v>0.12260920596923766</v>
      </c>
      <c r="AT5" s="4"/>
      <c r="AU5" s="4"/>
      <c r="AV5" s="4"/>
      <c r="AW5" s="4"/>
      <c r="AX5" s="4"/>
      <c r="AY5" s="4"/>
      <c r="AZ5" s="4">
        <v>0.12114709571195101</v>
      </c>
      <c r="BA5" s="4">
        <v>0.14081725379603643</v>
      </c>
      <c r="BB5" s="4"/>
      <c r="BC5" s="4"/>
      <c r="BD5" s="4"/>
      <c r="BE5" s="4"/>
      <c r="BF5" s="4"/>
      <c r="BG5" s="4"/>
      <c r="BH5" s="4"/>
      <c r="BI5" s="4"/>
      <c r="BJ5" s="4"/>
      <c r="BK5" s="48">
        <v>0.2913</v>
      </c>
      <c r="BL5" s="30">
        <v>65100</v>
      </c>
      <c r="BM5" s="4">
        <v>0.25331794241149447</v>
      </c>
      <c r="BN5" s="4">
        <v>0.32644544602478698</v>
      </c>
      <c r="BO5" s="4">
        <v>0.2014362700207328</v>
      </c>
      <c r="BP5" s="4">
        <v>0.30136560295108611</v>
      </c>
      <c r="BQ5" s="4">
        <v>0.30934924841386491</v>
      </c>
      <c r="BR5" s="4">
        <v>0.54527096811356346</v>
      </c>
      <c r="BS5" s="4"/>
      <c r="BT5" s="4"/>
      <c r="BU5" s="4">
        <v>0.43230169520443051</v>
      </c>
      <c r="BV5" s="4">
        <v>0.23958027128819381</v>
      </c>
      <c r="BW5" s="4">
        <v>0.2817428543911808</v>
      </c>
      <c r="BX5" s="4"/>
      <c r="BY5" s="4">
        <v>0.35193627974739405</v>
      </c>
      <c r="BZ5" s="4"/>
      <c r="CA5" s="4"/>
      <c r="CB5" s="4"/>
      <c r="CC5" s="4"/>
      <c r="CD5" s="4">
        <v>0.22471201807781471</v>
      </c>
      <c r="CE5" s="4">
        <v>0.27411104133527842</v>
      </c>
      <c r="CF5" s="4">
        <v>0.38139290178373175</v>
      </c>
      <c r="CG5" s="4"/>
      <c r="CH5" s="4"/>
      <c r="CI5" s="4"/>
      <c r="CJ5" s="4"/>
      <c r="CK5" s="4"/>
      <c r="CL5" s="4"/>
      <c r="CM5" s="4"/>
      <c r="CN5" s="4"/>
      <c r="CO5" s="4">
        <f t="shared" si="0"/>
        <v>0.7087</v>
      </c>
      <c r="CP5" s="41">
        <f>Bolton1[[#This Row],[Active - Numbers]]+Bolton1[[#This Row],[Fairly Active - Numbers]]</f>
        <v>158300</v>
      </c>
      <c r="CQ5" s="4">
        <f>Bolton1[[#This Row],[Male I]]-Bolton1[[#This Row],[Female I]]</f>
        <v>-7.312750361329251E-2</v>
      </c>
      <c r="CR5" s="4">
        <f>Bolton1[[#This Row],[NS SEC 1-2: Higher social groups I]]-Bolton1[[#This Row],[NS SEC 6-8: Lower social groups I]]</f>
        <v>-0.15668088370591704</v>
      </c>
      <c r="CS5" s="4">
        <f>Bolton1[[#This Row],[No LT limiting disability I]]-Bolton1[[#This Row],[LT limiting disability I]]</f>
        <v>-0.1927214239162367</v>
      </c>
      <c r="CT5" s="4">
        <f>Bolton1[[#This Row],[16-34 I]]-Bolton1[[#This Row],[75+ I]]</f>
        <v>-0.34383469809283063</v>
      </c>
      <c r="CU5" s="176"/>
      <c r="CV5" s="176"/>
      <c r="CW5" s="176"/>
      <c r="CX5" s="154">
        <v>0.155</v>
      </c>
    </row>
    <row r="6" spans="1:102" x14ac:dyDescent="0.2">
      <c r="A6" s="4" t="s">
        <v>109</v>
      </c>
      <c r="B6" s="4" t="s">
        <v>38</v>
      </c>
      <c r="C6" s="48">
        <v>0.56805499173481355</v>
      </c>
      <c r="D6" s="30">
        <v>127400</v>
      </c>
      <c r="E6" s="4">
        <v>0.62640636099390734</v>
      </c>
      <c r="F6" s="4">
        <v>0.51821248889255189</v>
      </c>
      <c r="G6" s="4">
        <v>0.62184845449893011</v>
      </c>
      <c r="H6" s="4">
        <v>0.59598434290157043</v>
      </c>
      <c r="I6" s="4">
        <v>0.54650866186865898</v>
      </c>
      <c r="J6" s="4"/>
      <c r="K6" s="4"/>
      <c r="L6" s="4"/>
      <c r="M6" s="4">
        <v>0.3971989093262962</v>
      </c>
      <c r="N6" s="4">
        <v>0.61392727163633432</v>
      </c>
      <c r="O6" s="4">
        <v>0.61603241933087105</v>
      </c>
      <c r="P6" s="4"/>
      <c r="Q6" s="4">
        <v>0.35489474788386571</v>
      </c>
      <c r="R6" s="4"/>
      <c r="S6" s="4"/>
      <c r="T6" s="4"/>
      <c r="U6" s="4"/>
      <c r="V6" s="4">
        <v>0.68145377306521115</v>
      </c>
      <c r="W6" s="4">
        <v>0.59684165156873958</v>
      </c>
      <c r="X6" s="4">
        <v>0.45896330086993858</v>
      </c>
      <c r="Y6" s="4"/>
      <c r="Z6" s="4"/>
      <c r="AA6" s="4"/>
      <c r="AB6" s="4"/>
      <c r="AC6" s="4"/>
      <c r="AD6" s="4"/>
      <c r="AE6" s="4"/>
      <c r="AF6" s="4"/>
      <c r="AG6" s="48">
        <v>0.14409866701179655</v>
      </c>
      <c r="AH6" s="30">
        <v>32300</v>
      </c>
      <c r="AI6" s="4">
        <v>0.12832483089558439</v>
      </c>
      <c r="AJ6" s="4">
        <v>0.15739030868522336</v>
      </c>
      <c r="AK6" s="4"/>
      <c r="AL6" s="4">
        <v>0.12713560548079239</v>
      </c>
      <c r="AM6" s="4">
        <v>0.11996105541293592</v>
      </c>
      <c r="AN6" s="4"/>
      <c r="AO6" s="4"/>
      <c r="AP6" s="4"/>
      <c r="AQ6" s="4"/>
      <c r="AR6" s="4">
        <v>0.14549660441325543</v>
      </c>
      <c r="AS6" s="4">
        <v>0.13617482132099415</v>
      </c>
      <c r="AT6" s="4"/>
      <c r="AU6" s="4"/>
      <c r="AV6" s="4"/>
      <c r="AW6" s="4"/>
      <c r="AX6" s="4"/>
      <c r="AY6" s="4"/>
      <c r="AZ6" s="4">
        <v>0.1399926329693677</v>
      </c>
      <c r="BA6" s="4">
        <v>9.3528424886510239E-2</v>
      </c>
      <c r="BB6" s="4">
        <v>0.14780359878211882</v>
      </c>
      <c r="BC6" s="4"/>
      <c r="BD6" s="4"/>
      <c r="BE6" s="4"/>
      <c r="BF6" s="4"/>
      <c r="BG6" s="4"/>
      <c r="BH6" s="4"/>
      <c r="BI6" s="4"/>
      <c r="BJ6" s="4"/>
      <c r="BK6" s="48">
        <v>0.28784634125338993</v>
      </c>
      <c r="BL6" s="30">
        <v>64600</v>
      </c>
      <c r="BM6" s="4">
        <v>0.24526880811050775</v>
      </c>
      <c r="BN6" s="4">
        <v>0.32439720242222381</v>
      </c>
      <c r="BO6" s="4">
        <v>0.20403732014701167</v>
      </c>
      <c r="BP6" s="4">
        <v>0.27688005161763735</v>
      </c>
      <c r="BQ6" s="4">
        <v>0.33353028271840496</v>
      </c>
      <c r="BR6" s="4">
        <v>0.53414778853670108</v>
      </c>
      <c r="BS6" s="4"/>
      <c r="BT6" s="4"/>
      <c r="BU6" s="4">
        <v>0.44525243733458431</v>
      </c>
      <c r="BV6" s="4">
        <v>0.24057612395040967</v>
      </c>
      <c r="BW6" s="4">
        <v>0.24779275934813497</v>
      </c>
      <c r="BX6" s="4"/>
      <c r="BY6" s="4">
        <v>0.47627264319745</v>
      </c>
      <c r="BZ6" s="4"/>
      <c r="CA6" s="4"/>
      <c r="CB6" s="4"/>
      <c r="CC6" s="4"/>
      <c r="CD6" s="4">
        <v>0.17855359396542095</v>
      </c>
      <c r="CE6" s="4">
        <v>0.30962992354475044</v>
      </c>
      <c r="CF6" s="4">
        <v>0.39323310034794262</v>
      </c>
      <c r="CG6" s="4"/>
      <c r="CH6" s="4"/>
      <c r="CI6" s="4"/>
      <c r="CJ6" s="4"/>
      <c r="CK6" s="4"/>
      <c r="CL6" s="4"/>
      <c r="CM6" s="4"/>
      <c r="CN6" s="4"/>
      <c r="CO6" s="4">
        <f t="shared" si="0"/>
        <v>0.71215365874661007</v>
      </c>
      <c r="CP6" s="41">
        <f>Bolton1[[#This Row],[Active - Numbers]]+Bolton1[[#This Row],[Fairly Active - Numbers]]</f>
        <v>159700</v>
      </c>
      <c r="CQ6" s="4">
        <f>Bolton1[[#This Row],[Male I]]-Bolton1[[#This Row],[Female I]]</f>
        <v>-7.912839431171606E-2</v>
      </c>
      <c r="CR6" s="4">
        <f>Bolton1[[#This Row],[NS SEC 1-2: Higher social groups I]]-Bolton1[[#This Row],[NS SEC 6-8: Lower social groups I]]</f>
        <v>-0.21467950638252167</v>
      </c>
      <c r="CS6" s="4">
        <f>Bolton1[[#This Row],[No LT limiting disability I]]-Bolton1[[#This Row],[LT limiting disability I]]</f>
        <v>-0.20467631338417464</v>
      </c>
      <c r="CT6" s="4">
        <f>Bolton1[[#This Row],[16-34 I]]-Bolton1[[#This Row],[75+ I]]</f>
        <v>-0.33011046838968938</v>
      </c>
      <c r="CU6" s="176"/>
      <c r="CV6" s="176"/>
      <c r="CW6" s="176"/>
      <c r="CX6" s="150">
        <v>0.16470000000000001</v>
      </c>
    </row>
    <row r="7" spans="1:102" x14ac:dyDescent="0.2">
      <c r="A7" s="4" t="s">
        <v>109</v>
      </c>
      <c r="B7" s="4" t="s">
        <v>39</v>
      </c>
      <c r="C7" s="45">
        <v>0.58320000000000005</v>
      </c>
      <c r="D7" s="30">
        <v>130800</v>
      </c>
      <c r="E7" s="4">
        <v>0.64355619739336656</v>
      </c>
      <c r="F7" s="4">
        <v>0.52497037405199709</v>
      </c>
      <c r="G7" s="4">
        <v>0.61222021190656728</v>
      </c>
      <c r="H7" s="4">
        <v>0.63922752921942816</v>
      </c>
      <c r="I7" s="4">
        <v>0.55559241811725413</v>
      </c>
      <c r="J7" s="4"/>
      <c r="K7" s="4">
        <v>0.62508562646322763</v>
      </c>
      <c r="L7" s="4">
        <v>0.50148050999450078</v>
      </c>
      <c r="M7" s="4">
        <v>0.4176320931115784</v>
      </c>
      <c r="N7" s="4">
        <v>0.6355453504147156</v>
      </c>
      <c r="O7" s="4">
        <v>0.60303953033775581</v>
      </c>
      <c r="P7" s="4"/>
      <c r="Q7" s="4">
        <v>0.36437085919548584</v>
      </c>
      <c r="R7" s="4"/>
      <c r="S7" s="4"/>
      <c r="T7" s="4"/>
      <c r="U7" s="4"/>
      <c r="V7" s="4">
        <v>0.69672619467067576</v>
      </c>
      <c r="W7" s="4">
        <v>0.59585161957909072</v>
      </c>
      <c r="X7" s="4">
        <v>0.52398852158166365</v>
      </c>
      <c r="Y7" s="4">
        <v>0.51392288589707658</v>
      </c>
      <c r="Z7" s="4"/>
      <c r="AA7" s="4"/>
      <c r="AB7" s="4"/>
      <c r="AC7" s="4"/>
      <c r="AD7" s="4"/>
      <c r="AE7" s="4"/>
      <c r="AF7" s="4"/>
      <c r="AG7" s="45">
        <v>0.12920000000000001</v>
      </c>
      <c r="AH7" s="30">
        <v>29000</v>
      </c>
      <c r="AI7" s="4">
        <v>9.4138399794545316E-2</v>
      </c>
      <c r="AJ7" s="4">
        <v>0.16131818487453434</v>
      </c>
      <c r="AK7" s="4">
        <v>0.16624270649180187</v>
      </c>
      <c r="AL7" s="4">
        <v>0.11669565544321486</v>
      </c>
      <c r="AM7" s="4">
        <v>9.3011140687616539E-2</v>
      </c>
      <c r="AN7" s="4"/>
      <c r="AO7" s="4">
        <v>0.14264009004471903</v>
      </c>
      <c r="AP7" s="4">
        <v>0.10901950327232905</v>
      </c>
      <c r="AQ7" s="4"/>
      <c r="AR7" s="4">
        <v>0.13023757244261627</v>
      </c>
      <c r="AS7" s="4">
        <v>0.12783647924885574</v>
      </c>
      <c r="AT7" s="4"/>
      <c r="AU7" s="4"/>
      <c r="AV7" s="4"/>
      <c r="AW7" s="4"/>
      <c r="AX7" s="4"/>
      <c r="AY7" s="4"/>
      <c r="AZ7" s="4">
        <v>0.12111505260487011</v>
      </c>
      <c r="BA7" s="4"/>
      <c r="BB7" s="4"/>
      <c r="BC7" s="4"/>
      <c r="BD7" s="4"/>
      <c r="BE7" s="4"/>
      <c r="BF7" s="4"/>
      <c r="BG7" s="4"/>
      <c r="BH7" s="4"/>
      <c r="BI7" s="4"/>
      <c r="BJ7" s="4"/>
      <c r="BK7" s="45">
        <v>0.28760000000000002</v>
      </c>
      <c r="BL7" s="30">
        <v>64500</v>
      </c>
      <c r="BM7" s="4">
        <v>0.26230540281208797</v>
      </c>
      <c r="BN7" s="4">
        <v>0.31371144107346793</v>
      </c>
      <c r="BO7" s="4">
        <v>0.22153708160163049</v>
      </c>
      <c r="BP7" s="4">
        <v>0.24407681533735753</v>
      </c>
      <c r="BQ7" s="4">
        <v>0.35139644119512931</v>
      </c>
      <c r="BR7" s="4">
        <v>0.51974849803147261</v>
      </c>
      <c r="BS7" s="4">
        <v>0.23227428349205273</v>
      </c>
      <c r="BT7" s="4">
        <v>0.38949998673317027</v>
      </c>
      <c r="BU7" s="4">
        <v>0.46922422342031</v>
      </c>
      <c r="BV7" s="4">
        <v>0.23421707714266735</v>
      </c>
      <c r="BW7" s="4">
        <v>0.26912399041338791</v>
      </c>
      <c r="BX7" s="4"/>
      <c r="BY7" s="4">
        <v>0.47195239115828747</v>
      </c>
      <c r="BZ7" s="4"/>
      <c r="CA7" s="4"/>
      <c r="CB7" s="4"/>
      <c r="CC7" s="4"/>
      <c r="CD7" s="4">
        <v>0.18215875272445473</v>
      </c>
      <c r="CE7" s="4">
        <v>0.31500927243310978</v>
      </c>
      <c r="CF7" s="4">
        <v>0.33529881472284551</v>
      </c>
      <c r="CG7" s="4"/>
      <c r="CH7" s="4"/>
      <c r="CI7" s="4"/>
      <c r="CJ7" s="4"/>
      <c r="CK7" s="4"/>
      <c r="CL7" s="4"/>
      <c r="CM7" s="4"/>
      <c r="CN7" s="4"/>
      <c r="CO7" s="4">
        <f t="shared" si="0"/>
        <v>0.71240000000000003</v>
      </c>
      <c r="CP7" s="41">
        <f>Bolton1[[#This Row],[Active - Numbers]]+Bolton1[[#This Row],[Fairly Active - Numbers]]</f>
        <v>159800</v>
      </c>
      <c r="CQ7" s="4">
        <f>Bolton1[[#This Row],[Male I]]-Bolton1[[#This Row],[Female I]]</f>
        <v>-5.140603826137996E-2</v>
      </c>
      <c r="CR7" s="4">
        <f>Bolton1[[#This Row],[NS SEC 1-2: Higher social groups I]]-Bolton1[[#This Row],[NS SEC 6-8: Lower social groups I]]</f>
        <v>-0.15314006199839078</v>
      </c>
      <c r="CS7" s="4">
        <f>Bolton1[[#This Row],[No LT limiting disability I]]-Bolton1[[#This Row],[LT limiting disability I]]</f>
        <v>-0.23500714627764266</v>
      </c>
      <c r="CT7" s="4">
        <f>Bolton1[[#This Row],[16-34 I]]-Bolton1[[#This Row],[75+ I]]</f>
        <v>-0.29821141642984211</v>
      </c>
      <c r="CU7" s="46">
        <v>0.44128463024003317</v>
      </c>
      <c r="CV7" s="46">
        <v>0.31953654607778709</v>
      </c>
      <c r="CW7" s="46">
        <v>0.60827627845258969</v>
      </c>
      <c r="CX7" s="150">
        <v>0.10920000000000001</v>
      </c>
    </row>
    <row r="8" spans="1:102" x14ac:dyDescent="0.2">
      <c r="A8" s="4" t="s">
        <v>109</v>
      </c>
      <c r="B8" s="4" t="s">
        <v>40</v>
      </c>
      <c r="C8" s="48">
        <v>0.59119999999999995</v>
      </c>
      <c r="D8" s="30">
        <v>132700</v>
      </c>
      <c r="E8" s="4">
        <v>0.6321</v>
      </c>
      <c r="F8" s="4">
        <v>0.55230000000000001</v>
      </c>
      <c r="G8" s="4">
        <v>0.62860000000000005</v>
      </c>
      <c r="H8" s="4">
        <v>0.6462</v>
      </c>
      <c r="I8" s="4">
        <v>0.57709999999999995</v>
      </c>
      <c r="J8" s="4"/>
      <c r="K8" s="4">
        <v>0.63670000000000004</v>
      </c>
      <c r="L8" s="4">
        <v>0.51439999999999997</v>
      </c>
      <c r="M8" s="4">
        <v>0.434</v>
      </c>
      <c r="N8" s="4">
        <v>0.64580000000000004</v>
      </c>
      <c r="O8" s="4">
        <v>0.61029999999999995</v>
      </c>
      <c r="P8" s="4"/>
      <c r="Q8" s="4">
        <v>0.43890000000000001</v>
      </c>
      <c r="R8" s="4"/>
      <c r="S8" s="4"/>
      <c r="T8" s="4"/>
      <c r="U8" s="4"/>
      <c r="V8" s="4">
        <v>0.69299999999999995</v>
      </c>
      <c r="W8" s="4">
        <v>0.61599999999999999</v>
      </c>
      <c r="X8" s="4">
        <v>0.56120000000000003</v>
      </c>
      <c r="Y8" s="4">
        <v>0.53749999999999998</v>
      </c>
      <c r="Z8" s="4">
        <v>0.66359999999999997</v>
      </c>
      <c r="AA8" s="4"/>
      <c r="AB8" s="4">
        <v>0.49590000000000001</v>
      </c>
      <c r="AC8" s="4"/>
      <c r="AD8" s="4"/>
      <c r="AE8" s="4"/>
      <c r="AF8" s="4"/>
      <c r="AG8" s="48">
        <v>0.1414</v>
      </c>
      <c r="AH8" s="30">
        <v>31700</v>
      </c>
      <c r="AI8" s="4">
        <v>0.1202</v>
      </c>
      <c r="AJ8" s="4">
        <v>0.16309999999999999</v>
      </c>
      <c r="AK8" s="4"/>
      <c r="AL8" s="4">
        <v>0.1009</v>
      </c>
      <c r="AM8" s="4">
        <v>0.13009999999999999</v>
      </c>
      <c r="AN8" s="4"/>
      <c r="AO8" s="4">
        <v>0.1394</v>
      </c>
      <c r="AP8" s="4">
        <v>0.1462</v>
      </c>
      <c r="AQ8" s="4"/>
      <c r="AR8" s="4">
        <v>0.14180000000000001</v>
      </c>
      <c r="AS8" s="4">
        <v>0.13250000000000001</v>
      </c>
      <c r="AT8" s="4"/>
      <c r="AU8" s="4"/>
      <c r="AV8" s="4"/>
      <c r="AW8" s="4"/>
      <c r="AX8" s="4"/>
      <c r="AY8" s="4"/>
      <c r="AZ8" s="4">
        <v>0.11650000000000001</v>
      </c>
      <c r="BA8" s="4">
        <v>0.15559999999999999</v>
      </c>
      <c r="BB8" s="4"/>
      <c r="BC8" s="4"/>
      <c r="BD8" s="4">
        <v>0.1225</v>
      </c>
      <c r="BE8" s="4"/>
      <c r="BF8" s="4">
        <v>0.14929999999999999</v>
      </c>
      <c r="BG8" s="4"/>
      <c r="BH8" s="4"/>
      <c r="BI8" s="4"/>
      <c r="BJ8" s="4"/>
      <c r="BK8" s="48">
        <v>0.26740000000000003</v>
      </c>
      <c r="BL8" s="30">
        <v>60000</v>
      </c>
      <c r="BM8" s="4">
        <v>0.2477</v>
      </c>
      <c r="BN8" s="4">
        <v>0.28460000000000002</v>
      </c>
      <c r="BO8" s="4">
        <v>0.19889999999999999</v>
      </c>
      <c r="BP8" s="4">
        <v>0.25290000000000001</v>
      </c>
      <c r="BQ8" s="4">
        <v>0.2928</v>
      </c>
      <c r="BR8" s="4">
        <v>0.4824</v>
      </c>
      <c r="BS8" s="4">
        <v>0.22389999999999999</v>
      </c>
      <c r="BT8" s="4">
        <v>0.33939999999999998</v>
      </c>
      <c r="BU8" s="4">
        <v>0.44769999999999999</v>
      </c>
      <c r="BV8" s="4">
        <v>0.21249999999999999</v>
      </c>
      <c r="BW8" s="4">
        <v>0.25719999999999998</v>
      </c>
      <c r="BX8" s="4"/>
      <c r="BY8" s="4">
        <v>0.35439999999999999</v>
      </c>
      <c r="BZ8" s="4"/>
      <c r="CA8" s="4"/>
      <c r="CB8" s="4"/>
      <c r="CC8" s="4"/>
      <c r="CD8" s="4">
        <v>0.1905</v>
      </c>
      <c r="CE8" s="4">
        <v>0.22839999999999999</v>
      </c>
      <c r="CF8" s="4">
        <v>0.34470000000000001</v>
      </c>
      <c r="CG8" s="4"/>
      <c r="CH8" s="4">
        <v>0.21379999999999999</v>
      </c>
      <c r="CI8" s="4"/>
      <c r="CJ8" s="4">
        <v>0.3548</v>
      </c>
      <c r="CK8" s="4"/>
      <c r="CL8" s="4"/>
      <c r="CM8" s="4"/>
      <c r="CN8" s="4"/>
      <c r="CO8" s="4">
        <f t="shared" si="0"/>
        <v>0.73259999999999992</v>
      </c>
      <c r="CP8" s="41">
        <f>Bolton1[[#This Row],[Active - Numbers]]+Bolton1[[#This Row],[Fairly Active - Numbers]]</f>
        <v>164400</v>
      </c>
      <c r="CQ8" s="4">
        <f>Bolton1[[#This Row],[Male I]]-Bolton1[[#This Row],[Female I]]</f>
        <v>-3.6900000000000016E-2</v>
      </c>
      <c r="CR8" s="4">
        <f>Bolton1[[#This Row],[NS SEC 1-2: Higher social groups I]]-Bolton1[[#This Row],[NS SEC 6-8: Lower social groups I]]</f>
        <v>-0.1542</v>
      </c>
      <c r="CS8" s="4">
        <f>Bolton1[[#This Row],[No LT limiting disability I]]-Bolton1[[#This Row],[LT limiting disability I]]</f>
        <v>-0.23519999999999999</v>
      </c>
      <c r="CT8" s="4">
        <f>Bolton1[[#This Row],[16-34 I]]-Bolton1[[#This Row],[75+ I]]</f>
        <v>-0.28349999999999997</v>
      </c>
      <c r="CU8" s="46">
        <v>0.45379999999999998</v>
      </c>
      <c r="CV8" s="46">
        <v>0.33250000000000002</v>
      </c>
      <c r="CW8" s="46">
        <v>0.63790000000000002</v>
      </c>
      <c r="CX8" s="150">
        <v>7.8600000000000003E-2</v>
      </c>
    </row>
    <row r="9" spans="1:102" x14ac:dyDescent="0.2">
      <c r="A9" s="4" t="s">
        <v>109</v>
      </c>
      <c r="B9" s="4" t="s">
        <v>41</v>
      </c>
      <c r="C9" s="48">
        <v>0.57423045374563231</v>
      </c>
      <c r="D9" s="30">
        <v>128900</v>
      </c>
      <c r="E9" s="4">
        <v>0.58604681393051583</v>
      </c>
      <c r="F9" s="4">
        <v>0.562241257682629</v>
      </c>
      <c r="G9" s="4">
        <v>0.58169795073742248</v>
      </c>
      <c r="H9" s="4">
        <v>0.61265869619038305</v>
      </c>
      <c r="I9" s="4">
        <v>0.57573962838571235</v>
      </c>
      <c r="J9" s="4">
        <v>0.41779686439314001</v>
      </c>
      <c r="K9" s="4">
        <v>0.59584528859214481</v>
      </c>
      <c r="L9" s="4">
        <v>0.53427666190395218</v>
      </c>
      <c r="M9" s="4">
        <v>0.39050930988293414</v>
      </c>
      <c r="N9" s="4">
        <v>0.61955209861777416</v>
      </c>
      <c r="O9" s="4">
        <v>0.61396461051203022</v>
      </c>
      <c r="P9" s="4"/>
      <c r="Q9" s="4">
        <v>0.43497038291255863</v>
      </c>
      <c r="R9" s="4"/>
      <c r="S9" s="4"/>
      <c r="T9" s="4"/>
      <c r="U9" s="4"/>
      <c r="V9" s="4">
        <v>0.70544998405378234</v>
      </c>
      <c r="W9" s="4">
        <v>0.56112396924210661</v>
      </c>
      <c r="X9" s="4">
        <v>0.50879912733500332</v>
      </c>
      <c r="Y9" s="4">
        <v>0.5482797289188388</v>
      </c>
      <c r="Z9" s="4">
        <v>0.66283260314278758</v>
      </c>
      <c r="AA9" s="4"/>
      <c r="AB9" s="4">
        <v>0.52346801754227235</v>
      </c>
      <c r="AC9" s="4"/>
      <c r="AD9" s="4"/>
      <c r="AE9" s="4">
        <v>0.56219168276870712</v>
      </c>
      <c r="AF9" s="4"/>
      <c r="AG9" s="48">
        <v>0.14787165597525576</v>
      </c>
      <c r="AH9" s="30">
        <v>33200</v>
      </c>
      <c r="AI9" s="4">
        <v>0.13109680833336482</v>
      </c>
      <c r="AJ9" s="4">
        <v>0.16620743580339375</v>
      </c>
      <c r="AK9" s="4">
        <v>0.16821640245598385</v>
      </c>
      <c r="AL9" s="4">
        <v>0.12183751691700116</v>
      </c>
      <c r="AM9" s="4">
        <v>0.14749684395583432</v>
      </c>
      <c r="AN9" s="4">
        <v>0.15840326159160323</v>
      </c>
      <c r="AO9" s="4">
        <v>0.14702383252764056</v>
      </c>
      <c r="AP9" s="4">
        <v>0.15035998511809254</v>
      </c>
      <c r="AQ9" s="4"/>
      <c r="AR9" s="4">
        <v>0.1579044912598061</v>
      </c>
      <c r="AS9" s="4">
        <v>0.1232844601076029</v>
      </c>
      <c r="AT9" s="4"/>
      <c r="AU9" s="4"/>
      <c r="AV9" s="4"/>
      <c r="AW9" s="4"/>
      <c r="AX9" s="4"/>
      <c r="AY9" s="4"/>
      <c r="AZ9" s="4">
        <v>0.11226712722661131</v>
      </c>
      <c r="BA9" s="4">
        <v>0.17148717551857667</v>
      </c>
      <c r="BB9" s="4"/>
      <c r="BC9" s="4"/>
      <c r="BD9" s="4">
        <v>0.13364738654996919</v>
      </c>
      <c r="BE9" s="4"/>
      <c r="BF9" s="4">
        <v>0.14502116265773191</v>
      </c>
      <c r="BG9" s="4"/>
      <c r="BH9" s="4"/>
      <c r="BI9" s="4"/>
      <c r="BJ9" s="4"/>
      <c r="BK9" s="48">
        <v>0.27789789027910972</v>
      </c>
      <c r="BL9" s="30">
        <v>62400</v>
      </c>
      <c r="BM9" s="4">
        <v>0.28285637773611949</v>
      </c>
      <c r="BN9" s="4">
        <v>0.27155130651397813</v>
      </c>
      <c r="BO9" s="4">
        <v>0.25008564680659395</v>
      </c>
      <c r="BP9" s="4">
        <v>0.265503786892616</v>
      </c>
      <c r="BQ9" s="4">
        <v>0.27676352765845219</v>
      </c>
      <c r="BR9" s="4">
        <v>0.42379987401525698</v>
      </c>
      <c r="BS9" s="4">
        <v>0.25713087888021452</v>
      </c>
      <c r="BT9" s="4">
        <v>0.31536335297795498</v>
      </c>
      <c r="BU9" s="4">
        <v>0.50415482473544615</v>
      </c>
      <c r="BV9" s="4">
        <v>0.22254341012241824</v>
      </c>
      <c r="BW9" s="4">
        <v>0.26275092938036476</v>
      </c>
      <c r="BX9" s="4"/>
      <c r="BY9" s="4">
        <v>0.3192828587343291</v>
      </c>
      <c r="BZ9" s="4"/>
      <c r="CA9" s="4"/>
      <c r="CB9" s="4"/>
      <c r="CC9" s="4"/>
      <c r="CD9" s="4">
        <v>0.18228288871960591</v>
      </c>
      <c r="CE9" s="4">
        <v>0.26738885523931716</v>
      </c>
      <c r="CF9" s="4">
        <v>0.36581198934781622</v>
      </c>
      <c r="CG9" s="4"/>
      <c r="CH9" s="4">
        <v>0.20352001030724359</v>
      </c>
      <c r="CI9" s="4"/>
      <c r="CJ9" s="4">
        <v>0.33151081979999492</v>
      </c>
      <c r="CK9" s="4"/>
      <c r="CL9" s="4"/>
      <c r="CM9" s="4"/>
      <c r="CN9" s="4"/>
      <c r="CO9" s="4">
        <f t="shared" si="0"/>
        <v>0.72210210972088806</v>
      </c>
      <c r="CP9" s="41">
        <f>Bolton1[[#This Row],[Active - Numbers]]+Bolton1[[#This Row],[Fairly Active - Numbers]]</f>
        <v>162100</v>
      </c>
      <c r="CQ9" s="4">
        <f>Bolton1[[#This Row],[Male I]]-Bolton1[[#This Row],[Female I]]</f>
        <v>1.1305071222141361E-2</v>
      </c>
      <c r="CR9" s="4">
        <f>Bolton1[[#This Row],[NS SEC 1-2: Higher social groups I]]-Bolton1[[#This Row],[NS SEC 6-8: Lower social groups I]]</f>
        <v>-0.18352910062821032</v>
      </c>
      <c r="CS9" s="4">
        <f>Bolton1[[#This Row],[No LT limiting disability I]]-Bolton1[[#This Row],[LT limiting disability I]]</f>
        <v>-0.28161141461302791</v>
      </c>
      <c r="CT9" s="4">
        <f>Bolton1[[#This Row],[16-34 I]]-Bolton1[[#This Row],[75+ I]]</f>
        <v>-0.17371422720866303</v>
      </c>
      <c r="CU9" s="46">
        <v>0.42674493656394619</v>
      </c>
      <c r="CV9" s="46">
        <v>0.29229566423617515</v>
      </c>
      <c r="CW9" s="46">
        <v>0.5916334622960272</v>
      </c>
      <c r="CX9" s="150">
        <v>0.1273</v>
      </c>
    </row>
    <row r="10" spans="1:102" s="29" customFormat="1" x14ac:dyDescent="0.2">
      <c r="A10" s="156" t="s">
        <v>109</v>
      </c>
      <c r="B10" s="156" t="s">
        <v>155</v>
      </c>
      <c r="C10" s="155">
        <v>0.57340000000000002</v>
      </c>
      <c r="D10" s="30">
        <v>129500</v>
      </c>
      <c r="E10" s="170">
        <v>0.56014940644294464</v>
      </c>
      <c r="F10" s="170">
        <v>0.58927031827387333</v>
      </c>
      <c r="G10" s="170">
        <v>0.60566060086065365</v>
      </c>
      <c r="H10" s="170">
        <v>0.59816693143369148</v>
      </c>
      <c r="I10" s="170">
        <v>0.55436686900687526</v>
      </c>
      <c r="J10" s="170">
        <v>0.44246982278461922</v>
      </c>
      <c r="K10" s="170">
        <v>0.60199906823847515</v>
      </c>
      <c r="L10" s="170">
        <v>0.52545878851936134</v>
      </c>
      <c r="M10" s="170">
        <v>0.39008802182449431</v>
      </c>
      <c r="N10" s="170">
        <v>0.62376477331815339</v>
      </c>
      <c r="O10" s="170">
        <v>0.60436747228524679</v>
      </c>
      <c r="P10" s="46"/>
      <c r="Q10" s="170">
        <v>0.46529788413736389</v>
      </c>
      <c r="R10" s="46"/>
      <c r="S10" s="46"/>
      <c r="T10" s="46"/>
      <c r="U10" s="46"/>
      <c r="V10" s="170">
        <v>0.68599767168197912</v>
      </c>
      <c r="W10" s="170">
        <v>0.55539891551508713</v>
      </c>
      <c r="X10" s="170">
        <v>0.47800517820457489</v>
      </c>
      <c r="Y10" s="170">
        <v>0.59410832723802853</v>
      </c>
      <c r="Z10" s="170">
        <v>0.62269268057276006</v>
      </c>
      <c r="AA10" s="46"/>
      <c r="AB10" s="170">
        <v>0.52417356702213169</v>
      </c>
      <c r="AC10" s="46"/>
      <c r="AD10" s="46"/>
      <c r="AE10" s="170">
        <v>0.6217464616665116</v>
      </c>
      <c r="AF10" s="46"/>
      <c r="AG10" s="155">
        <v>0.10589999999999999</v>
      </c>
      <c r="AH10" s="30">
        <v>23900</v>
      </c>
      <c r="AI10" s="170">
        <v>9.1598458695081153E-2</v>
      </c>
      <c r="AJ10" s="170">
        <v>0.12049047913494829</v>
      </c>
      <c r="AK10" s="46"/>
      <c r="AL10" s="170">
        <v>0.11018383346143952</v>
      </c>
      <c r="AM10" s="170">
        <v>9.7878151830108867E-2</v>
      </c>
      <c r="AN10" s="46"/>
      <c r="AO10" s="170">
        <v>0.10895099997884597</v>
      </c>
      <c r="AP10" s="170">
        <v>9.9604809392561722E-2</v>
      </c>
      <c r="AQ10" s="46"/>
      <c r="AR10" s="170">
        <v>0.10849830976068614</v>
      </c>
      <c r="AS10" s="170">
        <v>8.8621022676783276E-2</v>
      </c>
      <c r="AT10" s="46"/>
      <c r="AU10" s="46"/>
      <c r="AV10" s="46"/>
      <c r="AW10" s="46"/>
      <c r="AX10" s="46"/>
      <c r="AY10" s="46"/>
      <c r="AZ10" s="170">
        <v>0.10684988166499117</v>
      </c>
      <c r="BA10" s="46"/>
      <c r="BB10" s="46"/>
      <c r="BC10" s="46"/>
      <c r="BD10" s="170">
        <v>0.10444670098357038</v>
      </c>
      <c r="BE10" s="46"/>
      <c r="BF10" s="170">
        <v>9.5579413668131996E-2</v>
      </c>
      <c r="BG10" s="46"/>
      <c r="BH10" s="46"/>
      <c r="BI10" s="46"/>
      <c r="BJ10" s="46"/>
      <c r="BK10" s="155">
        <v>0.32069999999999999</v>
      </c>
      <c r="BL10" s="30">
        <v>72400</v>
      </c>
      <c r="BM10" s="170">
        <v>0.34825213486197265</v>
      </c>
      <c r="BN10" s="170">
        <v>0.29023920259117963</v>
      </c>
      <c r="BO10" s="170">
        <v>0.28656634771614697</v>
      </c>
      <c r="BP10" s="170">
        <v>0.29164923510486801</v>
      </c>
      <c r="BQ10" s="170">
        <v>0.34775497916301701</v>
      </c>
      <c r="BR10" s="170">
        <v>0.45296850030102248</v>
      </c>
      <c r="BS10" s="170">
        <v>0.28904993178267979</v>
      </c>
      <c r="BT10" s="170">
        <v>0.37493640208807749</v>
      </c>
      <c r="BU10" s="170">
        <v>0.51183141071929172</v>
      </c>
      <c r="BV10" s="170">
        <v>0.26773691692116047</v>
      </c>
      <c r="BW10" s="170">
        <v>0.30701150503797003</v>
      </c>
      <c r="BX10" s="46"/>
      <c r="BY10" s="170">
        <v>0.36783158941503763</v>
      </c>
      <c r="BZ10" s="46"/>
      <c r="CA10" s="46"/>
      <c r="CB10" s="46"/>
      <c r="CC10" s="46"/>
      <c r="CD10" s="170">
        <v>0.20715244665302859</v>
      </c>
      <c r="CE10" s="170">
        <v>0.35180114555097303</v>
      </c>
      <c r="CF10" s="170">
        <v>0.42295950782213781</v>
      </c>
      <c r="CG10" s="170">
        <v>0.27729344590868188</v>
      </c>
      <c r="CH10" s="170">
        <v>0.27286061844366938</v>
      </c>
      <c r="CI10" s="46"/>
      <c r="CJ10" s="170">
        <v>0.3802470193097372</v>
      </c>
      <c r="CK10" s="46"/>
      <c r="CL10" s="46"/>
      <c r="CM10" s="46"/>
      <c r="CN10" s="46"/>
      <c r="CO10" s="64">
        <f>SUM(C12,AG10)</f>
        <v>0.10589999999999999</v>
      </c>
      <c r="CP10" s="157">
        <f>Bolton1[[#This Row],[Active - Numbers]]+Bolton1[[#This Row],[Fairly Active - Numbers]]</f>
        <v>153400</v>
      </c>
      <c r="CQ10" s="64">
        <f>Bolton1[[#This Row],[Male I]]-Bolton1[[#This Row],[Female I]]</f>
        <v>5.8012932270793016E-2</v>
      </c>
      <c r="CR10" s="64">
        <f>Bolton1[[#This Row],[NS SEC 1-2: Higher social groups I]]-Bolton1[[#This Row],[NS SEC 6-8: Lower social groups I]]</f>
        <v>-0.21580706116910922</v>
      </c>
      <c r="CS10" s="64">
        <f>Bolton1[[#This Row],[No LT limiting disability I]]-Bolton1[[#This Row],[LT limiting disability I]]</f>
        <v>-0.24409449379813125</v>
      </c>
      <c r="CT10" s="64">
        <f>Bolton1[[#This Row],[16-34 I]]-Bolton1[[#This Row],[75+ I]]</f>
        <v>-0.16640215258487551</v>
      </c>
      <c r="CU10" s="65">
        <v>0.41717510253653584</v>
      </c>
      <c r="CV10" s="65">
        <v>0.2566695511961587</v>
      </c>
      <c r="CW10" s="65">
        <v>0.5531866608534749</v>
      </c>
      <c r="CX10" s="150"/>
    </row>
    <row r="11" spans="1:102" x14ac:dyDescent="0.2">
      <c r="A11" s="4" t="s">
        <v>109</v>
      </c>
      <c r="B11" s="4" t="s">
        <v>42</v>
      </c>
      <c r="C11" s="4">
        <f>C10-C5</f>
        <v>9.9999999999988987E-5</v>
      </c>
      <c r="D11" s="42"/>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-3.6400000000000016E-2</v>
      </c>
      <c r="AH11" s="26"/>
      <c r="AI11" s="4">
        <f t="shared" ref="AI11:BK11" si="1">AI10-AI3</f>
        <v>-2.6300312716789814E-2</v>
      </c>
      <c r="AJ11" s="4">
        <f t="shared" si="1"/>
        <v>-4.6946319648634577E-2</v>
      </c>
      <c r="AK11" s="4">
        <f t="shared" si="1"/>
        <v>-0.16375509386441497</v>
      </c>
      <c r="AL11" s="4">
        <f t="shared" si="1"/>
        <v>-1.9040030911272224E-2</v>
      </c>
      <c r="AM11" s="4">
        <f t="shared" si="1"/>
        <v>-7.6682817555774052E-2</v>
      </c>
      <c r="AN11" s="4">
        <f t="shared" si="1"/>
        <v>0</v>
      </c>
      <c r="AO11" s="4">
        <f t="shared" si="1"/>
        <v>0.10895099997884597</v>
      </c>
      <c r="AP11" s="4">
        <f t="shared" si="1"/>
        <v>9.9604809392561722E-2</v>
      </c>
      <c r="AQ11" s="4">
        <f t="shared" si="1"/>
        <v>-0.14797489493816099</v>
      </c>
      <c r="AR11" s="4">
        <f t="shared" si="1"/>
        <v>-4.0484687484186904E-2</v>
      </c>
      <c r="AS11" s="4">
        <f t="shared" si="1"/>
        <v>-5.3263591195110635E-2</v>
      </c>
      <c r="AT11" s="4">
        <f t="shared" si="1"/>
        <v>0</v>
      </c>
      <c r="AU11" s="4">
        <f t="shared" si="1"/>
        <v>0</v>
      </c>
      <c r="AV11" s="4">
        <f t="shared" si="1"/>
        <v>0</v>
      </c>
      <c r="AW11" s="4">
        <f t="shared" si="1"/>
        <v>0</v>
      </c>
      <c r="AX11" s="4">
        <f t="shared" si="1"/>
        <v>0</v>
      </c>
      <c r="AY11" s="4">
        <f t="shared" si="1"/>
        <v>0</v>
      </c>
      <c r="AZ11" s="4">
        <f t="shared" si="1"/>
        <v>-3.4249976406227026E-2</v>
      </c>
      <c r="BA11" s="4">
        <f t="shared" si="1"/>
        <v>-0.18521002890857069</v>
      </c>
      <c r="BB11" s="4">
        <f t="shared" si="1"/>
        <v>0</v>
      </c>
      <c r="BC11" s="4">
        <f t="shared" si="1"/>
        <v>0</v>
      </c>
      <c r="BD11" s="4">
        <f t="shared" si="1"/>
        <v>0.10444670098357038</v>
      </c>
      <c r="BE11" s="4">
        <f t="shared" si="1"/>
        <v>0</v>
      </c>
      <c r="BF11" s="4">
        <f t="shared" si="1"/>
        <v>9.5579413668131996E-2</v>
      </c>
      <c r="BG11" s="4">
        <f t="shared" si="1"/>
        <v>0</v>
      </c>
      <c r="BH11" s="4">
        <f t="shared" si="1"/>
        <v>0</v>
      </c>
      <c r="BI11" s="4">
        <f t="shared" si="1"/>
        <v>0</v>
      </c>
      <c r="BJ11" s="4">
        <f t="shared" si="1"/>
        <v>0</v>
      </c>
      <c r="BK11" s="4">
        <f t="shared" si="1"/>
        <v>2.9499999999999971E-2</v>
      </c>
      <c r="BL11" s="26"/>
      <c r="BM11" s="4">
        <f t="shared" ref="BM11:CP11" si="2">BM10-BM3</f>
        <v>8.5589608774858883E-2</v>
      </c>
      <c r="BN11" s="4">
        <f t="shared" si="2"/>
        <v>-2.6404111796525354E-2</v>
      </c>
      <c r="BO11" s="4">
        <f t="shared" si="2"/>
        <v>0.13845078550987733</v>
      </c>
      <c r="BP11" s="4">
        <f t="shared" si="2"/>
        <v>-1.1914239990755637E-2</v>
      </c>
      <c r="BQ11" s="4">
        <f t="shared" si="2"/>
        <v>1.2591421114162005E-3</v>
      </c>
      <c r="BR11" s="4">
        <f t="shared" si="2"/>
        <v>-4.6513452049993964E-2</v>
      </c>
      <c r="BS11" s="4">
        <f t="shared" si="2"/>
        <v>0.28904993178267979</v>
      </c>
      <c r="BT11" s="4">
        <f t="shared" si="2"/>
        <v>0.37493640208807749</v>
      </c>
      <c r="BU11" s="4">
        <f t="shared" si="2"/>
        <v>8.1726905464300004E-2</v>
      </c>
      <c r="BV11" s="4">
        <f t="shared" si="2"/>
        <v>2.3775153875030514E-2</v>
      </c>
      <c r="BW11" s="4">
        <f t="shared" si="2"/>
        <v>2.5465376593633904E-2</v>
      </c>
      <c r="BX11" s="4">
        <f t="shared" si="2"/>
        <v>0</v>
      </c>
      <c r="BY11" s="4">
        <f t="shared" si="2"/>
        <v>0.36783158941503763</v>
      </c>
      <c r="BZ11" s="4">
        <f t="shared" si="2"/>
        <v>0</v>
      </c>
      <c r="CA11" s="4">
        <f t="shared" si="2"/>
        <v>0</v>
      </c>
      <c r="CB11" s="4">
        <f t="shared" si="2"/>
        <v>0</v>
      </c>
      <c r="CC11" s="4">
        <f t="shared" si="2"/>
        <v>0</v>
      </c>
      <c r="CD11" s="4">
        <f t="shared" si="2"/>
        <v>5.7801145889356809E-3</v>
      </c>
      <c r="CE11" s="4">
        <f t="shared" si="2"/>
        <v>0.11060007961374582</v>
      </c>
      <c r="CF11" s="4">
        <f t="shared" si="2"/>
        <v>3.7609766304316949E-2</v>
      </c>
      <c r="CG11" s="4">
        <f t="shared" si="2"/>
        <v>0.27729344590868188</v>
      </c>
      <c r="CH11" s="4">
        <f t="shared" si="2"/>
        <v>0.27286061844366938</v>
      </c>
      <c r="CI11" s="4">
        <f t="shared" si="2"/>
        <v>0</v>
      </c>
      <c r="CJ11" s="4">
        <f t="shared" si="2"/>
        <v>0.3802470193097372</v>
      </c>
      <c r="CK11" s="4">
        <f t="shared" si="2"/>
        <v>0</v>
      </c>
      <c r="CL11" s="4">
        <f t="shared" si="2"/>
        <v>0</v>
      </c>
      <c r="CM11" s="4">
        <f t="shared" si="2"/>
        <v>0</v>
      </c>
      <c r="CN11" s="4">
        <f t="shared" si="2"/>
        <v>0</v>
      </c>
      <c r="CO11" s="4">
        <f t="shared" si="2"/>
        <v>-0.60289999999999999</v>
      </c>
      <c r="CP11" s="41">
        <f t="shared" si="2"/>
        <v>-4600</v>
      </c>
      <c r="CQ11" s="4">
        <f>Bolton1[[#This Row],[Male I]]-Bolton1[[#This Row],[Female I]]</f>
        <v>0.11199372057138424</v>
      </c>
      <c r="CR11" s="4">
        <f>Bolton1[[#This Row],[NS SEC 1-2: Higher social groups I]]-Bolton1[[#This Row],[NS SEC 6-8: Lower social groups I]]</f>
        <v>-3.1829651715381269E-2</v>
      </c>
      <c r="CS11" s="4">
        <f>Bolton1[[#This Row],[No LT limiting disability I]]-Bolton1[[#This Row],[LT limiting disability I]]</f>
        <v>-5.795175158926949E-2</v>
      </c>
      <c r="CT11" s="4">
        <f>Bolton1[[#This Row],[16-34 I]]-Bolton1[[#This Row],[75+ I]]</f>
        <v>0.18496423755987129</v>
      </c>
      <c r="CU11" s="176">
        <f>CU10-CU7</f>
        <v>-2.4109527703497335E-2</v>
      </c>
      <c r="CV11" s="176">
        <f>CV10-CV7</f>
        <v>-6.2866994881628391E-2</v>
      </c>
      <c r="CW11" s="176">
        <f>CW10-CW7</f>
        <v>-5.5089617599114793E-2</v>
      </c>
      <c r="CX11" s="176"/>
    </row>
    <row r="12" spans="1:102" x14ac:dyDescent="0.2">
      <c r="CU12" s="177"/>
      <c r="CV12" s="177"/>
      <c r="CW12" s="177"/>
      <c r="CX12" s="177"/>
    </row>
    <row r="13" spans="1:102" x14ac:dyDescent="0.2">
      <c r="CS13" s="24"/>
    </row>
    <row r="15" spans="1:102" x14ac:dyDescent="0.2">
      <c r="CR15" s="3"/>
    </row>
  </sheetData>
  <mergeCells count="3">
    <mergeCell ref="E1:AF1"/>
    <mergeCell ref="AH1:BI1"/>
    <mergeCell ref="BK1:CL1"/>
  </mergeCells>
  <conditionalFormatting sqref="BL3">
    <cfRule type="containsText" dxfId="2142" priority="37" operator="containsText" text="Significant increase">
      <formula>NOT(ISERROR(SEARCH("Significant increase",BL3)))</formula>
    </cfRule>
    <cfRule type="containsText" dxfId="2141" priority="38" operator="containsText" text="Significant decrease">
      <formula>NOT(ISERROR(SEARCH("Significant decrease",BL3)))</formula>
    </cfRule>
  </conditionalFormatting>
  <conditionalFormatting sqref="AH3">
    <cfRule type="containsText" dxfId="2140" priority="35" operator="containsText" text="Significant increase">
      <formula>NOT(ISERROR(SEARCH("Significant increase",AH3)))</formula>
    </cfRule>
    <cfRule type="containsText" dxfId="2139" priority="36" operator="containsText" text="Significant decrease">
      <formula>NOT(ISERROR(SEARCH("Significant decrease",AH3)))</formula>
    </cfRule>
  </conditionalFormatting>
  <conditionalFormatting sqref="D3">
    <cfRule type="containsText" dxfId="2138" priority="33" operator="containsText" text="Significant increase">
      <formula>NOT(ISERROR(SEARCH("Significant increase",D3)))</formula>
    </cfRule>
    <cfRule type="containsText" dxfId="2137" priority="34" operator="containsText" text="Significant decrease">
      <formula>NOT(ISERROR(SEARCH("Significant decrease",D3)))</formula>
    </cfRule>
  </conditionalFormatting>
  <conditionalFormatting sqref="BK7">
    <cfRule type="containsText" dxfId="2136" priority="29" operator="containsText" text="Significant increase">
      <formula>NOT(ISERROR(SEARCH("Significant increase",BK7)))</formula>
    </cfRule>
    <cfRule type="containsText" dxfId="2135" priority="30" operator="containsText" text="Significant decrease">
      <formula>NOT(ISERROR(SEARCH("Significant decrease",BK7)))</formula>
    </cfRule>
  </conditionalFormatting>
  <conditionalFormatting sqref="BL7">
    <cfRule type="containsText" dxfId="2134" priority="27" operator="containsText" text="Significant increase">
      <formula>NOT(ISERROR(SEARCH("Significant increase",BL7)))</formula>
    </cfRule>
    <cfRule type="containsText" dxfId="2133" priority="28" operator="containsText" text="Significant decrease">
      <formula>NOT(ISERROR(SEARCH("Significant decrease",BL7)))</formula>
    </cfRule>
  </conditionalFormatting>
  <conditionalFormatting sqref="AG7">
    <cfRule type="containsText" dxfId="2132" priority="25" operator="containsText" text="Significant increase">
      <formula>NOT(ISERROR(SEARCH("Significant increase",AG7)))</formula>
    </cfRule>
    <cfRule type="containsText" dxfId="2131" priority="26" operator="containsText" text="Significant decrease">
      <formula>NOT(ISERROR(SEARCH("Significant decrease",AG7)))</formula>
    </cfRule>
  </conditionalFormatting>
  <conditionalFormatting sqref="AH7">
    <cfRule type="containsText" dxfId="2130" priority="23" operator="containsText" text="Significant increase">
      <formula>NOT(ISERROR(SEARCH("Significant increase",AH7)))</formula>
    </cfRule>
    <cfRule type="containsText" dxfId="2129" priority="24" operator="containsText" text="Significant decrease">
      <formula>NOT(ISERROR(SEARCH("Significant decrease",AH7)))</formula>
    </cfRule>
  </conditionalFormatting>
  <conditionalFormatting sqref="C7">
    <cfRule type="containsText" dxfId="2128" priority="21" operator="containsText" text="Significant increase">
      <formula>NOT(ISERROR(SEARCH("Significant increase",C7)))</formula>
    </cfRule>
    <cfRule type="containsText" dxfId="2127" priority="22" operator="containsText" text="Significant decrease">
      <formula>NOT(ISERROR(SEARCH("Significant decrease",C7)))</formula>
    </cfRule>
  </conditionalFormatting>
  <conditionalFormatting sqref="D7">
    <cfRule type="containsText" dxfId="2126" priority="19" operator="containsText" text="Significant increase">
      <formula>NOT(ISERROR(SEARCH("Significant increase",D7)))</formula>
    </cfRule>
    <cfRule type="containsText" dxfId="2125" priority="20" operator="containsText" text="Significant decrease">
      <formula>NOT(ISERROR(SEARCH("Significant decrease",D7)))</formula>
    </cfRule>
  </conditionalFormatting>
  <conditionalFormatting sqref="CX9:CX10">
    <cfRule type="containsText" dxfId="2124" priority="17" operator="containsText" text="Significant increase">
      <formula>NOT(ISERROR(SEARCH("Significant increase",CX9)))</formula>
    </cfRule>
    <cfRule type="containsText" dxfId="2123" priority="18" operator="containsText" text="Significant decrease">
      <formula>NOT(ISERROR(SEARCH("Significant decrease",CX9)))</formula>
    </cfRule>
  </conditionalFormatting>
  <conditionalFormatting sqref="CX8">
    <cfRule type="containsText" dxfId="2122" priority="15" operator="containsText" text="Significant increase">
      <formula>NOT(ISERROR(SEARCH("Significant increase",CX8)))</formula>
    </cfRule>
    <cfRule type="containsText" dxfId="2121" priority="16" operator="containsText" text="Significant decrease">
      <formula>NOT(ISERROR(SEARCH("Significant decrease",CX8)))</formula>
    </cfRule>
  </conditionalFormatting>
  <conditionalFormatting sqref="CX7">
    <cfRule type="containsText" dxfId="2120" priority="13" operator="containsText" text="Significant increase">
      <formula>NOT(ISERROR(SEARCH("Significant increase",CX7)))</formula>
    </cfRule>
    <cfRule type="containsText" dxfId="2119" priority="14" operator="containsText" text="Significant decrease">
      <formula>NOT(ISERROR(SEARCH("Significant decrease",CX7)))</formula>
    </cfRule>
  </conditionalFormatting>
  <conditionalFormatting sqref="CX6">
    <cfRule type="containsText" dxfId="2118" priority="11" operator="containsText" text="Significant increase">
      <formula>NOT(ISERROR(SEARCH("Significant increase",CX6)))</formula>
    </cfRule>
    <cfRule type="containsText" dxfId="2117" priority="12" operator="containsText" text="Significant decrease">
      <formula>NOT(ISERROR(SEARCH("Significant decrease",CX6)))</formula>
    </cfRule>
  </conditionalFormatting>
  <conditionalFormatting sqref="CX4">
    <cfRule type="containsText" dxfId="2116" priority="9" operator="containsText" text="Significant increase">
      <formula>NOT(ISERROR(SEARCH("Significant increase",CX4)))</formula>
    </cfRule>
    <cfRule type="containsText" dxfId="2115" priority="10" operator="containsText" text="Significant decrease">
      <formula>NOT(ISERROR(SEARCH("Significant decrease",CX4)))</formula>
    </cfRule>
  </conditionalFormatting>
  <conditionalFormatting sqref="D10">
    <cfRule type="containsText" dxfId="2114" priority="7" operator="containsText" text="Significant increase">
      <formula>NOT(ISERROR(SEARCH("Significant increase",D10)))</formula>
    </cfRule>
    <cfRule type="containsText" dxfId="2113" priority="8" operator="containsText" text="Significant decrease">
      <formula>NOT(ISERROR(SEARCH("Significant decrease",D10)))</formula>
    </cfRule>
  </conditionalFormatting>
  <conditionalFormatting sqref="C10">
    <cfRule type="containsText" dxfId="2112" priority="5" operator="containsText" text="Significant increase">
      <formula>NOT(ISERROR(SEARCH("Significant increase",C10)))</formula>
    </cfRule>
    <cfRule type="containsText" dxfId="2111" priority="6" operator="containsText" text="Significant decrease">
      <formula>NOT(ISERROR(SEARCH("Significant decrease",C10)))</formula>
    </cfRule>
  </conditionalFormatting>
  <conditionalFormatting sqref="AG10">
    <cfRule type="containsText" dxfId="2110" priority="3" operator="containsText" text="Significant increase">
      <formula>NOT(ISERROR(SEARCH("Significant increase",AG10)))</formula>
    </cfRule>
    <cfRule type="containsText" dxfId="2109" priority="4" operator="containsText" text="Significant decrease">
      <formula>NOT(ISERROR(SEARCH("Significant decrease",AG10)))</formula>
    </cfRule>
  </conditionalFormatting>
  <conditionalFormatting sqref="BK10">
    <cfRule type="containsText" dxfId="2108" priority="1" operator="containsText" text="Significant increase">
      <formula>NOT(ISERROR(SEARCH("Significant increase",BK10)))</formula>
    </cfRule>
    <cfRule type="containsText" dxfId="2107" priority="2" operator="containsText" text="Significant decrease">
      <formula>NOT(ISERROR(SEARCH("Significant decrease",BK10)))</formula>
    </cfRule>
  </conditionalFormatting>
  <pageMargins left="0.7" right="0.7" top="0.75" bottom="0.75" header="0.3" footer="0.3"/>
  <pageSetup paperSize="9" orientation="portrait" r:id="rId1"/>
  <legacyDrawing r:id="rId2"/>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X14"/>
  <sheetViews>
    <sheetView zoomScale="80" zoomScaleNormal="80" workbookViewId="0">
      <pane xSplit="2" ySplit="2" topLeftCell="CI3" activePane="bottomRight" state="frozen"/>
      <selection pane="topRight" activeCell="C1" sqref="C1"/>
      <selection pane="bottomLeft" activeCell="A3" sqref="A3"/>
      <selection pane="bottomRight" activeCell="CU20" sqref="CU20"/>
    </sheetView>
  </sheetViews>
  <sheetFormatPr defaultRowHeight="14.25" outlineLevelCol="1" x14ac:dyDescent="0.2"/>
  <cols>
    <col min="2" max="2" width="11.69921875" customWidth="1"/>
    <col min="3" max="3" width="23.5" customWidth="1"/>
    <col min="4" max="11" width="8.69921875" customWidth="1" outlineLevel="1"/>
    <col min="12" max="12" width="18.296875" customWidth="1" outlineLevel="1"/>
    <col min="13" max="13" width="21" customWidth="1" outlineLevel="1"/>
    <col min="14" max="14" width="12.796875" customWidth="1" outlineLevel="1"/>
    <col min="15" max="15" width="12.19921875" customWidth="1" outlineLevel="1"/>
    <col min="16" max="16" width="12.09765625" customWidth="1" outlineLevel="1"/>
    <col min="17" max="17" width="8.69921875" customWidth="1" outlineLevel="1"/>
    <col min="18" max="18" width="9.296875" customWidth="1" outlineLevel="1"/>
    <col min="19" max="19" width="8.69921875" customWidth="1" outlineLevel="1"/>
    <col min="20" max="20" width="17.69921875" customWidth="1" outlineLevel="1"/>
    <col min="21" max="22" width="29" customWidth="1" outlineLevel="1"/>
    <col min="23" max="23" width="28.5" customWidth="1" outlineLevel="1"/>
    <col min="24" max="24" width="26.296875" customWidth="1" outlineLevel="1"/>
    <col min="25" max="25" width="21.5" customWidth="1" outlineLevel="1"/>
    <col min="26" max="26" width="12.5" customWidth="1" outlineLevel="1"/>
    <col min="27" max="27" width="19" customWidth="1" outlineLevel="1"/>
    <col min="28" max="28" width="35.69921875" customWidth="1" outlineLevel="1"/>
    <col min="29" max="29" width="33.796875" customWidth="1" outlineLevel="1"/>
    <col min="30" max="30" width="21.296875" customWidth="1" outlineLevel="1"/>
    <col min="31" max="31" width="19.19921875" customWidth="1" outlineLevel="1"/>
    <col min="32" max="32" width="28.296875" customWidth="1"/>
    <col min="33" max="33" width="8.69921875" customWidth="1" outlineLevel="1"/>
    <col min="34" max="34" width="9.296875" customWidth="1" outlineLevel="1"/>
    <col min="35" max="40" width="8.69921875" customWidth="1" outlineLevel="1"/>
    <col min="41" max="41" width="20.09765625" customWidth="1" outlineLevel="1"/>
    <col min="42" max="42" width="22.69921875" customWidth="1" outlineLevel="1"/>
    <col min="43" max="43" width="14.59765625" customWidth="1" outlineLevel="1"/>
    <col min="44" max="44" width="14" customWidth="1" outlineLevel="1"/>
    <col min="45" max="45" width="13.796875" customWidth="1" outlineLevel="1"/>
    <col min="46" max="46" width="8.796875" customWidth="1" outlineLevel="1"/>
    <col min="47" max="47" width="11.09765625" customWidth="1" outlineLevel="1"/>
    <col min="48" max="48" width="9.296875" customWidth="1" outlineLevel="1"/>
    <col min="49" max="49" width="19.5" customWidth="1" outlineLevel="1"/>
    <col min="50" max="51" width="30.69921875" customWidth="1" outlineLevel="1"/>
    <col min="52" max="52" width="30.296875" customWidth="1" outlineLevel="1"/>
    <col min="53" max="53" width="28.09765625" customWidth="1" outlineLevel="1"/>
    <col min="54" max="54" width="23.296875" customWidth="1" outlineLevel="1"/>
    <col min="55" max="55" width="14.296875" customWidth="1" outlineLevel="1"/>
    <col min="56" max="56" width="20.69921875" customWidth="1" outlineLevel="1"/>
    <col min="57" max="57" width="37.5" customWidth="1" outlineLevel="1"/>
    <col min="58" max="58" width="35.59765625" customWidth="1" outlineLevel="1"/>
    <col min="59" max="59" width="23.09765625" customWidth="1" outlineLevel="1"/>
    <col min="60" max="60" width="21" customWidth="1" outlineLevel="1"/>
    <col min="61" max="61" width="24.796875" customWidth="1"/>
    <col min="62" max="62" width="8.69921875" customWidth="1" outlineLevel="1"/>
    <col min="63" max="63" width="10.19921875" customWidth="1" outlineLevel="1"/>
    <col min="64" max="69" width="8.69921875" customWidth="1" outlineLevel="1"/>
    <col min="70" max="70" width="20.09765625" customWidth="1" outlineLevel="1"/>
    <col min="71" max="71" width="22.69921875" customWidth="1" outlineLevel="1"/>
    <col min="72" max="72" width="14.59765625" customWidth="1" outlineLevel="1"/>
    <col min="73" max="73" width="14" customWidth="1" outlineLevel="1"/>
    <col min="74" max="74" width="13.796875" customWidth="1" outlineLevel="1"/>
    <col min="75" max="75" width="8.796875" customWidth="1" outlineLevel="1"/>
    <col min="76" max="76" width="11.09765625" customWidth="1" outlineLevel="1"/>
    <col min="77" max="77" width="9.296875" customWidth="1" outlineLevel="1"/>
    <col min="78" max="78" width="19.5" customWidth="1" outlineLevel="1"/>
    <col min="79" max="80" width="30.69921875" customWidth="1" outlineLevel="1"/>
    <col min="81" max="81" width="30.296875" customWidth="1" outlineLevel="1"/>
    <col min="82" max="82" width="28.09765625" customWidth="1" outlineLevel="1"/>
    <col min="83" max="83" width="23.296875" customWidth="1" outlineLevel="1"/>
    <col min="84" max="84" width="14.296875" customWidth="1" outlineLevel="1"/>
    <col min="85" max="85" width="20.69921875" customWidth="1" outlineLevel="1"/>
    <col min="86" max="86" width="37.5" customWidth="1" outlineLevel="1"/>
    <col min="87" max="87" width="35.59765625" customWidth="1" outlineLevel="1"/>
    <col min="88" max="88" width="23.09765625" customWidth="1" outlineLevel="1"/>
    <col min="89" max="89" width="21" customWidth="1" outlineLevel="1"/>
    <col min="94" max="94" width="8.69921875" style="29"/>
  </cols>
  <sheetData>
    <row r="1" spans="1:102" x14ac:dyDescent="0.2">
      <c r="D1" s="229" t="s">
        <v>30</v>
      </c>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E1" s="229"/>
      <c r="AG1" s="229" t="s">
        <v>32</v>
      </c>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H1" s="229"/>
      <c r="BJ1" s="229" t="s">
        <v>34</v>
      </c>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c r="CK1" s="229"/>
    </row>
    <row r="2" spans="1:102" x14ac:dyDescent="0.2">
      <c r="A2" s="2" t="s">
        <v>106</v>
      </c>
      <c r="B2" t="s">
        <v>0</v>
      </c>
      <c r="C2" t="s">
        <v>29</v>
      </c>
      <c r="D2"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2" t="s">
        <v>165</v>
      </c>
      <c r="CQ2" s="2" t="s">
        <v>102</v>
      </c>
      <c r="CR2" s="2" t="s">
        <v>103</v>
      </c>
      <c r="CS2" s="2" t="s">
        <v>104</v>
      </c>
      <c r="CT2" s="2" t="s">
        <v>105</v>
      </c>
      <c r="CU2" s="2" t="s">
        <v>207</v>
      </c>
      <c r="CV2" s="2" t="s">
        <v>208</v>
      </c>
      <c r="CW2" s="2" t="s">
        <v>209</v>
      </c>
      <c r="CX2" s="2" t="s">
        <v>301</v>
      </c>
    </row>
    <row r="3" spans="1:102" x14ac:dyDescent="0.2">
      <c r="A3" s="4" t="s">
        <v>110</v>
      </c>
      <c r="B3" s="4" t="s">
        <v>35</v>
      </c>
      <c r="C3" s="4">
        <v>0.62229999999999996</v>
      </c>
      <c r="D3" s="30">
        <v>93200</v>
      </c>
      <c r="E3" s="4">
        <v>0.63830588718018244</v>
      </c>
      <c r="F3" s="4">
        <v>0.60605280066517875</v>
      </c>
      <c r="G3" s="4">
        <v>0.71513732282425335</v>
      </c>
      <c r="H3" s="4">
        <v>0.65998048575962276</v>
      </c>
      <c r="I3" s="4">
        <v>0.55218585564908218</v>
      </c>
      <c r="J3" s="4">
        <v>0.42769991584790701</v>
      </c>
      <c r="K3" s="4"/>
      <c r="L3" s="4"/>
      <c r="M3" s="4">
        <v>0.46994630753239763</v>
      </c>
      <c r="N3" s="4">
        <v>0.66158898407800804</v>
      </c>
      <c r="O3" s="4">
        <v>0.6240583774547962</v>
      </c>
      <c r="P3" s="4"/>
      <c r="Q3" s="4"/>
      <c r="R3" s="4"/>
      <c r="S3" s="4"/>
      <c r="T3" s="4"/>
      <c r="U3" s="4"/>
      <c r="V3" s="4">
        <v>0.69095510753546785</v>
      </c>
      <c r="W3" s="4">
        <v>0.55813040915030965</v>
      </c>
      <c r="X3" s="4">
        <v>0.59489467511959726</v>
      </c>
      <c r="Y3" s="4"/>
      <c r="Z3" s="4"/>
      <c r="AA3" s="4"/>
      <c r="AB3" s="4"/>
      <c r="AC3" s="4"/>
      <c r="AD3" s="4"/>
      <c r="AE3" s="4"/>
      <c r="AF3" s="4"/>
      <c r="AG3" s="4">
        <v>0.1142</v>
      </c>
      <c r="AH3" s="30">
        <v>17100</v>
      </c>
      <c r="AI3" s="4">
        <v>8.2713576064772726E-2</v>
      </c>
      <c r="AJ3" s="4">
        <v>0.14607881896020428</v>
      </c>
      <c r="AK3" s="4"/>
      <c r="AL3" s="4">
        <v>8.4583012207153849E-2</v>
      </c>
      <c r="AM3" s="4">
        <v>0.16226693555414148</v>
      </c>
      <c r="AN3" s="4"/>
      <c r="AO3" s="4"/>
      <c r="AP3" s="4"/>
      <c r="AQ3" s="4">
        <v>0.12270034669521661</v>
      </c>
      <c r="AR3" s="4">
        <v>0.11260647643930907</v>
      </c>
      <c r="AS3" s="4">
        <v>0.10696868102006939</v>
      </c>
      <c r="AT3" s="4"/>
      <c r="AU3" s="4"/>
      <c r="AV3" s="4"/>
      <c r="AW3" s="4"/>
      <c r="AX3" s="4"/>
      <c r="AY3" s="4"/>
      <c r="AZ3" s="4">
        <v>0.10231226126115596</v>
      </c>
      <c r="BA3" s="4">
        <v>0.13428409568249441</v>
      </c>
      <c r="BB3" s="4"/>
      <c r="BC3" s="4"/>
      <c r="BD3" s="4"/>
      <c r="BE3" s="4"/>
      <c r="BF3" s="4"/>
      <c r="BG3" s="4"/>
      <c r="BH3" s="4"/>
      <c r="BI3" s="4"/>
      <c r="BJ3" s="4"/>
      <c r="BK3" s="4">
        <v>0.26350000000000001</v>
      </c>
      <c r="BL3" s="30">
        <v>39500</v>
      </c>
      <c r="BM3" s="4">
        <v>0.27898053675504564</v>
      </c>
      <c r="BN3" s="4">
        <v>0.24786838037461684</v>
      </c>
      <c r="BO3" s="4">
        <v>0.17992399756068622</v>
      </c>
      <c r="BP3" s="4">
        <v>0.25543650203322293</v>
      </c>
      <c r="BQ3" s="4">
        <v>0.28554720879677553</v>
      </c>
      <c r="BR3" s="4">
        <v>0.45771857027864338</v>
      </c>
      <c r="BS3" s="4"/>
      <c r="BT3" s="4"/>
      <c r="BU3" s="4">
        <v>0.40735334577238647</v>
      </c>
      <c r="BV3" s="4">
        <v>0.22580453948268325</v>
      </c>
      <c r="BW3" s="4">
        <v>0.26897294152513523</v>
      </c>
      <c r="BX3" s="4"/>
      <c r="BY3" s="4"/>
      <c r="BZ3" s="4"/>
      <c r="CA3" s="4"/>
      <c r="CB3" s="4"/>
      <c r="CC3" s="4"/>
      <c r="CD3" s="4">
        <v>0.20673263120337584</v>
      </c>
      <c r="CE3" s="4">
        <v>0.30758549516719519</v>
      </c>
      <c r="CF3" s="4">
        <v>0.25842797764642644</v>
      </c>
      <c r="CG3" s="4"/>
      <c r="CH3" s="4"/>
      <c r="CI3" s="4"/>
      <c r="CJ3" s="4"/>
      <c r="CK3" s="4"/>
      <c r="CL3" s="4"/>
      <c r="CM3" s="4"/>
      <c r="CN3" s="4"/>
      <c r="CO3" s="4">
        <f t="shared" ref="CO3:CO9" si="0">SUM(C3,AG3)</f>
        <v>0.73649999999999993</v>
      </c>
      <c r="CP3" s="30">
        <f>Bury1[[#This Row],[Active - Numbers]]+Bury1[[#This Row],[Fairly Active - Numbers]]</f>
        <v>110300</v>
      </c>
      <c r="CQ3" s="4">
        <f>Bury1[[#This Row],[Male I]]-Bury1[[#This Row],[Female I]]</f>
        <v>3.1112156380428801E-2</v>
      </c>
      <c r="CR3" s="4">
        <f>Bury1[[#This Row],[NS SEC 1-2: Higher social groups I]]-Bury1[[#This Row],[NS SEC 6-8: Lower social groups I]]</f>
        <v>-5.1695346443050599E-2</v>
      </c>
      <c r="CS3" s="4">
        <f>Bury1[[#This Row],[No LT limiting disability I]]-Bury1[[#This Row],[LT limiting disability I]]</f>
        <v>-0.18154880628970321</v>
      </c>
      <c r="CT3" s="4">
        <f>Bury1[[#This Row],[16-34 I]]-Bury1[[#This Row],[75+ I]]</f>
        <v>-0.27779457271795716</v>
      </c>
      <c r="CU3" s="64"/>
      <c r="CV3" s="64"/>
      <c r="CW3" s="64"/>
      <c r="CX3" s="64"/>
    </row>
    <row r="4" spans="1:102" x14ac:dyDescent="0.2">
      <c r="A4" s="4" t="s">
        <v>110</v>
      </c>
      <c r="B4" s="4" t="s">
        <v>36</v>
      </c>
      <c r="C4" s="44">
        <v>0.57579999999999998</v>
      </c>
      <c r="D4" s="30">
        <v>86500</v>
      </c>
      <c r="E4" s="4">
        <v>0.604465660820663</v>
      </c>
      <c r="F4" s="4">
        <v>0.51743362528792336</v>
      </c>
      <c r="G4" s="4">
        <v>0.64349841889359705</v>
      </c>
      <c r="H4" s="4">
        <v>0.61208759657287504</v>
      </c>
      <c r="I4" s="4">
        <v>0.5372436371780891</v>
      </c>
      <c r="J4" s="4">
        <v>0.27667277381128419</v>
      </c>
      <c r="K4" s="4"/>
      <c r="L4" s="4"/>
      <c r="M4" s="4">
        <v>0.35413421904027459</v>
      </c>
      <c r="N4" s="4">
        <v>0.62330254303705923</v>
      </c>
      <c r="O4" s="4">
        <v>0.57265088606395032</v>
      </c>
      <c r="P4" s="4"/>
      <c r="Q4" s="4"/>
      <c r="R4" s="4"/>
      <c r="S4" s="4"/>
      <c r="T4" s="4"/>
      <c r="U4" s="4"/>
      <c r="V4" s="4">
        <v>0.65888823220074233</v>
      </c>
      <c r="W4" s="4">
        <v>0.57465536880489221</v>
      </c>
      <c r="X4" s="4">
        <v>0.51785571365188043</v>
      </c>
      <c r="Y4" s="4"/>
      <c r="Z4" s="4"/>
      <c r="AA4" s="4"/>
      <c r="AB4" s="4"/>
      <c r="AC4" s="4"/>
      <c r="AD4" s="4"/>
      <c r="AE4" s="4"/>
      <c r="AF4" s="4"/>
      <c r="AG4" s="44">
        <v>0.13819999999999999</v>
      </c>
      <c r="AH4" s="30">
        <v>20800</v>
      </c>
      <c r="AI4" s="4">
        <v>0.11280689475849322</v>
      </c>
      <c r="AJ4" s="4">
        <v>0.19331190242379356</v>
      </c>
      <c r="AK4" s="4"/>
      <c r="AL4" s="4">
        <v>0.15206505420269059</v>
      </c>
      <c r="AM4" s="4">
        <v>0.16951763562936562</v>
      </c>
      <c r="AN4" s="4"/>
      <c r="AO4" s="4"/>
      <c r="AP4" s="4"/>
      <c r="AQ4" s="4">
        <v>0.18167217601939917</v>
      </c>
      <c r="AR4" s="4">
        <v>0.13802227905759804</v>
      </c>
      <c r="AS4" s="4">
        <v>0.13280102859632067</v>
      </c>
      <c r="AT4" s="4"/>
      <c r="AU4" s="4"/>
      <c r="AV4" s="4"/>
      <c r="AW4" s="4"/>
      <c r="AX4" s="4"/>
      <c r="AY4" s="4"/>
      <c r="AZ4" s="4">
        <v>0.15183979048917851</v>
      </c>
      <c r="BA4" s="4">
        <v>0.16964756175996987</v>
      </c>
      <c r="BB4" s="4"/>
      <c r="BC4" s="4"/>
      <c r="BD4" s="4"/>
      <c r="BE4" s="4"/>
      <c r="BF4" s="4"/>
      <c r="BG4" s="4"/>
      <c r="BH4" s="4"/>
      <c r="BI4" s="4"/>
      <c r="BJ4" s="4"/>
      <c r="BK4" s="4">
        <v>0.28596195771865818</v>
      </c>
      <c r="BL4" s="30">
        <v>42900</v>
      </c>
      <c r="BM4" s="4">
        <v>0.28272744442084285</v>
      </c>
      <c r="BN4" s="4">
        <v>0.28925447228828433</v>
      </c>
      <c r="BO4" s="4">
        <v>0.22239454196340275</v>
      </c>
      <c r="BP4" s="4">
        <v>0.23584734922443396</v>
      </c>
      <c r="BQ4" s="4">
        <v>0.29323872719254479</v>
      </c>
      <c r="BR4" s="4">
        <v>0.57544453507029092</v>
      </c>
      <c r="BS4" s="4"/>
      <c r="BT4" s="4"/>
      <c r="BU4" s="4">
        <v>0.4641936049403263</v>
      </c>
      <c r="BV4" s="4">
        <v>0.23867517790534218</v>
      </c>
      <c r="BW4" s="4">
        <v>0.29454808533972948</v>
      </c>
      <c r="BX4" s="4"/>
      <c r="BY4" s="4"/>
      <c r="BZ4" s="4"/>
      <c r="CA4" s="4"/>
      <c r="CB4" s="4"/>
      <c r="CC4" s="4"/>
      <c r="CD4" s="4">
        <v>0.18927197731007875</v>
      </c>
      <c r="CE4" s="4">
        <v>0.25569706943513754</v>
      </c>
      <c r="CF4" s="4">
        <v>0.34817510181367917</v>
      </c>
      <c r="CG4" s="4"/>
      <c r="CH4" s="4"/>
      <c r="CI4" s="4"/>
      <c r="CJ4" s="4"/>
      <c r="CK4" s="4"/>
      <c r="CL4" s="4"/>
      <c r="CM4" s="4"/>
      <c r="CN4" s="4"/>
      <c r="CO4" s="4">
        <f t="shared" si="0"/>
        <v>0.71399999999999997</v>
      </c>
      <c r="CP4" s="30">
        <f>Bury1[[#This Row],[Active - Numbers]]+Bury1[[#This Row],[Fairly Active - Numbers]]</f>
        <v>107300</v>
      </c>
      <c r="CQ4" s="4">
        <f>Bury1[[#This Row],[Male I]]-Bury1[[#This Row],[Female I]]</f>
        <v>-6.5270278674414706E-3</v>
      </c>
      <c r="CR4" s="4">
        <f>Bury1[[#This Row],[NS SEC 1-2: Higher social groups I]]-Bury1[[#This Row],[NS SEC 6-8: Lower social groups I]]</f>
        <v>-0.15890312450360042</v>
      </c>
      <c r="CS4" s="4">
        <f>Bury1[[#This Row],[No LT limiting disability I]]-Bury1[[#This Row],[LT limiting disability I]]</f>
        <v>-0.22551842703498412</v>
      </c>
      <c r="CT4" s="4">
        <f>Bury1[[#This Row],[16-34 I]]-Bury1[[#This Row],[75+ I]]</f>
        <v>-0.35304999310688817</v>
      </c>
      <c r="CU4" s="64"/>
      <c r="CV4" s="64"/>
      <c r="CW4" s="64"/>
      <c r="CX4" s="152">
        <v>0.12889999999999999</v>
      </c>
    </row>
    <row r="5" spans="1:102" s="2" customFormat="1" x14ac:dyDescent="0.2">
      <c r="A5" s="4" t="s">
        <v>110</v>
      </c>
      <c r="B5" s="4" t="s">
        <v>37</v>
      </c>
      <c r="C5" s="4">
        <v>0.61219999999999997</v>
      </c>
      <c r="D5" s="30">
        <v>92000</v>
      </c>
      <c r="E5" s="4">
        <v>0.64066299647662495</v>
      </c>
      <c r="F5" s="4">
        <v>0.58270177488434183</v>
      </c>
      <c r="G5" s="4">
        <v>0.7717930321350015</v>
      </c>
      <c r="H5" s="4">
        <v>0.58628647029843572</v>
      </c>
      <c r="I5" s="4">
        <v>0.59427090842008601</v>
      </c>
      <c r="J5" s="4">
        <v>0.35021858054328808</v>
      </c>
      <c r="K5" s="4"/>
      <c r="L5" s="4"/>
      <c r="M5" s="4">
        <v>0.39417850277023736</v>
      </c>
      <c r="N5" s="4">
        <v>0.66344556392277421</v>
      </c>
      <c r="O5" s="4">
        <v>0.62100782246637776</v>
      </c>
      <c r="P5" s="4"/>
      <c r="Q5" s="4"/>
      <c r="R5" s="4"/>
      <c r="S5" s="4"/>
      <c r="T5" s="4"/>
      <c r="U5" s="4"/>
      <c r="V5" s="4">
        <v>0.70644407909537732</v>
      </c>
      <c r="W5" s="4">
        <v>0.60635143955083137</v>
      </c>
      <c r="X5" s="4">
        <v>0.49284078364526762</v>
      </c>
      <c r="Y5" s="4"/>
      <c r="Z5" s="4"/>
      <c r="AA5" s="4"/>
      <c r="AB5" s="4"/>
      <c r="AC5" s="4"/>
      <c r="AD5" s="4"/>
      <c r="AE5" s="4"/>
      <c r="AF5" s="4"/>
      <c r="AG5" s="4">
        <v>0.1176</v>
      </c>
      <c r="AH5" s="30">
        <v>17700</v>
      </c>
      <c r="AI5" s="4">
        <v>9.0164212420053361E-2</v>
      </c>
      <c r="AJ5" s="4">
        <v>0.14606936676163546</v>
      </c>
      <c r="AK5" s="4"/>
      <c r="AL5" s="4">
        <v>0.1581224284554508</v>
      </c>
      <c r="AM5" s="4">
        <v>0.12652173114654297</v>
      </c>
      <c r="AN5" s="4"/>
      <c r="AO5" s="4"/>
      <c r="AP5" s="4"/>
      <c r="AQ5" s="4"/>
      <c r="AR5" s="4">
        <v>9.8802349424329777E-2</v>
      </c>
      <c r="AS5" s="4">
        <v>0.11239605749827135</v>
      </c>
      <c r="AT5" s="4"/>
      <c r="AU5" s="4"/>
      <c r="AV5" s="4"/>
      <c r="AW5" s="4"/>
      <c r="AX5" s="4"/>
      <c r="AY5" s="4"/>
      <c r="AZ5" s="4">
        <v>0.11145034013393365</v>
      </c>
      <c r="BA5" s="4"/>
      <c r="BB5" s="4"/>
      <c r="BC5" s="4"/>
      <c r="BD5" s="4"/>
      <c r="BE5" s="4"/>
      <c r="BF5" s="4"/>
      <c r="BG5" s="4"/>
      <c r="BH5" s="4"/>
      <c r="BI5" s="4"/>
      <c r="BJ5" s="4"/>
      <c r="BK5" s="4">
        <v>0.2702</v>
      </c>
      <c r="BL5" s="30">
        <v>40600</v>
      </c>
      <c r="BM5" s="4">
        <v>0.26917279110332276</v>
      </c>
      <c r="BN5" s="4">
        <v>0.27122885835402366</v>
      </c>
      <c r="BO5" s="4">
        <v>0.17255828713407773</v>
      </c>
      <c r="BP5" s="4">
        <v>0.25559110124611378</v>
      </c>
      <c r="BQ5" s="4">
        <v>0.2792073604333713</v>
      </c>
      <c r="BR5" s="4">
        <v>0.52165604525325338</v>
      </c>
      <c r="BS5" s="4"/>
      <c r="BT5" s="4"/>
      <c r="BU5" s="4">
        <v>0.41713150055206749</v>
      </c>
      <c r="BV5" s="4">
        <v>0.23775208665289671</v>
      </c>
      <c r="BW5" s="4">
        <v>0.2665961200353506</v>
      </c>
      <c r="BX5" s="4"/>
      <c r="BY5" s="4"/>
      <c r="BZ5" s="4"/>
      <c r="CA5" s="4"/>
      <c r="CB5" s="4"/>
      <c r="CC5" s="4"/>
      <c r="CD5" s="4">
        <v>0.18210558077068864</v>
      </c>
      <c r="CE5" s="4">
        <v>0.25541349561082916</v>
      </c>
      <c r="CF5" s="4">
        <v>0.37899847175789203</v>
      </c>
      <c r="CG5" s="4"/>
      <c r="CH5" s="4"/>
      <c r="CI5" s="4"/>
      <c r="CJ5" s="4"/>
      <c r="CK5" s="4"/>
      <c r="CL5" s="4"/>
      <c r="CM5" s="4"/>
      <c r="CN5" s="4"/>
      <c r="CO5" s="4">
        <f t="shared" si="0"/>
        <v>0.7298</v>
      </c>
      <c r="CP5" s="30">
        <f>Bury1[[#This Row],[Active - Numbers]]+Bury1[[#This Row],[Fairly Active - Numbers]]</f>
        <v>109700</v>
      </c>
      <c r="CQ5" s="4">
        <f>Bury1[[#This Row],[Male I]]-Bury1[[#This Row],[Female I]]</f>
        <v>-2.0560672507008992E-3</v>
      </c>
      <c r="CR5" s="4">
        <f>Bury1[[#This Row],[NS SEC 1-2: Higher social groups I]]-Bury1[[#This Row],[NS SEC 6-8: Lower social groups I]]</f>
        <v>-0.19689289098720339</v>
      </c>
      <c r="CS5" s="4">
        <f>Bury1[[#This Row],[No LT limiting disability I]]-Bury1[[#This Row],[LT limiting disability I]]</f>
        <v>-0.17937941389917078</v>
      </c>
      <c r="CT5" s="4">
        <f>Bury1[[#This Row],[16-34 I]]-Bury1[[#This Row],[75+ I]]</f>
        <v>-0.34909775811917565</v>
      </c>
      <c r="CU5" s="64"/>
      <c r="CV5" s="64"/>
      <c r="CW5" s="64"/>
      <c r="CX5" s="154">
        <v>0.11749999999999999</v>
      </c>
    </row>
    <row r="6" spans="1:102" x14ac:dyDescent="0.2">
      <c r="A6" s="4" t="s">
        <v>110</v>
      </c>
      <c r="B6" s="4" t="s">
        <v>38</v>
      </c>
      <c r="C6" s="4">
        <v>0.61593262563030671</v>
      </c>
      <c r="D6" s="30">
        <v>92900</v>
      </c>
      <c r="E6" s="4">
        <v>0.6078845118029329</v>
      </c>
      <c r="F6" s="4">
        <v>0.62733507469547545</v>
      </c>
      <c r="G6" s="4">
        <v>0.68637266065965319</v>
      </c>
      <c r="H6" s="4">
        <v>0.62983453151889424</v>
      </c>
      <c r="I6" s="4">
        <v>0.60774465088596963</v>
      </c>
      <c r="J6" s="4">
        <v>0.40855797215273276</v>
      </c>
      <c r="K6" s="4"/>
      <c r="L6" s="4"/>
      <c r="M6" s="4">
        <v>0.45064048065042495</v>
      </c>
      <c r="N6" s="4">
        <v>0.65169549422383977</v>
      </c>
      <c r="O6" s="4">
        <v>0.61926994956735015</v>
      </c>
      <c r="P6" s="4"/>
      <c r="Q6" s="4"/>
      <c r="R6" s="4"/>
      <c r="S6" s="4"/>
      <c r="T6" s="4"/>
      <c r="U6" s="4"/>
      <c r="V6" s="4">
        <v>0.71322689427295416</v>
      </c>
      <c r="W6" s="4">
        <v>0.60783310611520658</v>
      </c>
      <c r="X6" s="4">
        <v>0.47932017316333081</v>
      </c>
      <c r="Y6" s="4"/>
      <c r="Z6" s="4"/>
      <c r="AA6" s="4"/>
      <c r="AB6" s="4"/>
      <c r="AC6" s="4"/>
      <c r="AD6" s="4"/>
      <c r="AE6" s="4"/>
      <c r="AF6" s="4"/>
      <c r="AG6" s="4">
        <v>0.12720000000000001</v>
      </c>
      <c r="AH6" s="30">
        <v>19200</v>
      </c>
      <c r="AI6" s="4">
        <v>0.12840320524595614</v>
      </c>
      <c r="AJ6" s="4">
        <v>0.12414524479411332</v>
      </c>
      <c r="AK6" s="4"/>
      <c r="AL6" s="4">
        <v>0.16275276644394843</v>
      </c>
      <c r="AM6" s="4">
        <v>0.13727840774505259</v>
      </c>
      <c r="AN6" s="4"/>
      <c r="AO6" s="4"/>
      <c r="AP6" s="4"/>
      <c r="AQ6" s="4"/>
      <c r="AR6" s="4">
        <v>0.11418370578836308</v>
      </c>
      <c r="AS6" s="4">
        <v>0.12922176571154542</v>
      </c>
      <c r="AT6" s="4"/>
      <c r="AU6" s="4"/>
      <c r="AV6" s="4"/>
      <c r="AW6" s="4"/>
      <c r="AX6" s="4"/>
      <c r="AY6" s="4"/>
      <c r="AZ6" s="4">
        <v>0.10994940475819473</v>
      </c>
      <c r="BA6" s="4">
        <v>0.14189798590016883</v>
      </c>
      <c r="BB6" s="4">
        <v>0.19841520365208173</v>
      </c>
      <c r="BC6" s="4"/>
      <c r="BD6" s="4"/>
      <c r="BE6" s="4"/>
      <c r="BF6" s="4"/>
      <c r="BG6" s="4"/>
      <c r="BH6" s="4"/>
      <c r="BI6" s="4"/>
      <c r="BJ6" s="4"/>
      <c r="BK6" s="4">
        <v>0.25688560989741921</v>
      </c>
      <c r="BL6" s="30">
        <v>38800</v>
      </c>
      <c r="BM6" s="4">
        <v>0.26371228295111088</v>
      </c>
      <c r="BN6" s="4">
        <v>0.24851968051041295</v>
      </c>
      <c r="BO6" s="4">
        <v>0.23712417369014241</v>
      </c>
      <c r="BP6" s="4">
        <v>0.20741270203715806</v>
      </c>
      <c r="BQ6" s="4">
        <v>0.25497694136897703</v>
      </c>
      <c r="BR6" s="4">
        <v>0.44569665538219611</v>
      </c>
      <c r="BS6" s="4"/>
      <c r="BT6" s="4"/>
      <c r="BU6" s="4">
        <v>0.36538991001037352</v>
      </c>
      <c r="BV6" s="4">
        <v>0.23412079998779675</v>
      </c>
      <c r="BW6" s="4">
        <v>0.25150828472110343</v>
      </c>
      <c r="BX6" s="4"/>
      <c r="BY6" s="4"/>
      <c r="BZ6" s="4"/>
      <c r="CA6" s="4"/>
      <c r="CB6" s="4"/>
      <c r="CC6" s="4"/>
      <c r="CD6" s="4">
        <v>0.17682370096885167</v>
      </c>
      <c r="CE6" s="4">
        <v>0.25026890798462459</v>
      </c>
      <c r="CF6" s="4">
        <v>0.32226462318458748</v>
      </c>
      <c r="CG6" s="4"/>
      <c r="CH6" s="4"/>
      <c r="CI6" s="4"/>
      <c r="CJ6" s="4"/>
      <c r="CK6" s="4"/>
      <c r="CL6" s="4"/>
      <c r="CM6" s="4"/>
      <c r="CN6" s="4"/>
      <c r="CO6" s="4">
        <f t="shared" si="0"/>
        <v>0.74313262563030669</v>
      </c>
      <c r="CP6" s="30">
        <f>Bury1[[#This Row],[Active - Numbers]]+Bury1[[#This Row],[Fairly Active - Numbers]]</f>
        <v>112100</v>
      </c>
      <c r="CQ6" s="4">
        <f>Bury1[[#This Row],[Male I]]-Bury1[[#This Row],[Female I]]</f>
        <v>1.5192602440697922E-2</v>
      </c>
      <c r="CR6" s="4">
        <f>Bury1[[#This Row],[NS SEC 1-2: Higher social groups I]]-Bury1[[#This Row],[NS SEC 6-8: Lower social groups I]]</f>
        <v>-0.14544092221573582</v>
      </c>
      <c r="CS6" s="4">
        <f>Bury1[[#This Row],[No LT limiting disability I]]-Bury1[[#This Row],[LT limiting disability I]]</f>
        <v>-0.13126911002257677</v>
      </c>
      <c r="CT6" s="4">
        <f>Bury1[[#This Row],[16-34 I]]-Bury1[[#This Row],[75+ I]]</f>
        <v>-0.2085724816920537</v>
      </c>
      <c r="CU6" s="64"/>
      <c r="CV6" s="64"/>
      <c r="CW6" s="64"/>
      <c r="CX6" s="152">
        <v>0.11459999999999999</v>
      </c>
    </row>
    <row r="7" spans="1:102" x14ac:dyDescent="0.2">
      <c r="A7" s="4" t="s">
        <v>110</v>
      </c>
      <c r="B7" s="4" t="s">
        <v>39</v>
      </c>
      <c r="C7" s="4">
        <v>0.57475107438257711</v>
      </c>
      <c r="D7" s="30">
        <v>86700</v>
      </c>
      <c r="E7" s="4">
        <v>0.57018886840195893</v>
      </c>
      <c r="F7" s="4">
        <v>0.58265555910316535</v>
      </c>
      <c r="G7" s="4">
        <v>0.60186243569413023</v>
      </c>
      <c r="H7" s="4">
        <v>0.64336005190184276</v>
      </c>
      <c r="I7" s="4">
        <v>0.57993642171012716</v>
      </c>
      <c r="J7" s="4"/>
      <c r="K7" s="4">
        <v>0.62493504291765578</v>
      </c>
      <c r="L7" s="4">
        <v>0.50007518716536603</v>
      </c>
      <c r="M7" s="4">
        <v>0.42244434250469159</v>
      </c>
      <c r="N7" s="4">
        <v>0.60974519112452752</v>
      </c>
      <c r="O7" s="4">
        <v>0.57622934608568432</v>
      </c>
      <c r="P7" s="4">
        <v>0.63081656639850214</v>
      </c>
      <c r="Q7" s="4"/>
      <c r="R7" s="4"/>
      <c r="S7" s="4"/>
      <c r="T7" s="4"/>
      <c r="U7" s="4"/>
      <c r="V7" s="4">
        <v>0.68894908615783823</v>
      </c>
      <c r="W7" s="4">
        <v>0.58558585208361669</v>
      </c>
      <c r="X7" s="4">
        <v>0.48264017744214854</v>
      </c>
      <c r="Y7" s="4">
        <v>0.61128455337334975</v>
      </c>
      <c r="Z7" s="4"/>
      <c r="AA7" s="4"/>
      <c r="AB7" s="4"/>
      <c r="AC7" s="4"/>
      <c r="AD7" s="4"/>
      <c r="AE7" s="4"/>
      <c r="AF7" s="4"/>
      <c r="AG7" s="4">
        <v>0.14899465205638046</v>
      </c>
      <c r="AH7" s="30">
        <v>22500</v>
      </c>
      <c r="AI7" s="4">
        <v>0.14875310994974711</v>
      </c>
      <c r="AJ7" s="4">
        <v>0.14776768228955675</v>
      </c>
      <c r="AK7" s="4"/>
      <c r="AL7" s="4">
        <v>0.16181400079144237</v>
      </c>
      <c r="AM7" s="4">
        <v>0.14448493586192074</v>
      </c>
      <c r="AN7" s="4"/>
      <c r="AO7" s="4">
        <v>0.14655485029568358</v>
      </c>
      <c r="AP7" s="4">
        <v>0.15609515370209945</v>
      </c>
      <c r="AQ7" s="4">
        <v>0.18127377348130355</v>
      </c>
      <c r="AR7" s="4">
        <v>0.1443731212056181</v>
      </c>
      <c r="AS7" s="4">
        <v>0.15338146850718606</v>
      </c>
      <c r="AT7" s="4"/>
      <c r="AU7" s="4"/>
      <c r="AV7" s="4"/>
      <c r="AW7" s="4"/>
      <c r="AX7" s="4"/>
      <c r="AY7" s="4"/>
      <c r="AZ7" s="4">
        <v>0.14291924297277722</v>
      </c>
      <c r="BA7" s="4"/>
      <c r="BB7" s="4"/>
      <c r="BC7" s="4"/>
      <c r="BD7" s="4"/>
      <c r="BE7" s="4"/>
      <c r="BF7" s="4"/>
      <c r="BG7" s="4"/>
      <c r="BH7" s="4"/>
      <c r="BI7" s="4"/>
      <c r="BJ7" s="4"/>
      <c r="BK7" s="4">
        <v>0.27625427356104221</v>
      </c>
      <c r="BL7" s="30">
        <v>41700</v>
      </c>
      <c r="BM7" s="4">
        <v>0.28105802164829496</v>
      </c>
      <c r="BN7" s="4">
        <v>0.26957675860727787</v>
      </c>
      <c r="BO7" s="4">
        <v>0.27069089388979867</v>
      </c>
      <c r="BP7" s="4">
        <v>0.19482594730671418</v>
      </c>
      <c r="BQ7" s="4">
        <v>0.27557864242795166</v>
      </c>
      <c r="BR7" s="4">
        <v>0.54339582355266158</v>
      </c>
      <c r="BS7" s="4">
        <v>0.22851010678666031</v>
      </c>
      <c r="BT7" s="4">
        <v>0.34382965913253405</v>
      </c>
      <c r="BU7" s="4">
        <v>0.39628188401400488</v>
      </c>
      <c r="BV7" s="4">
        <v>0.24588168766985385</v>
      </c>
      <c r="BW7" s="4">
        <v>0.27038918540712914</v>
      </c>
      <c r="BX7" s="4"/>
      <c r="BY7" s="4"/>
      <c r="BZ7" s="4"/>
      <c r="CA7" s="4"/>
      <c r="CB7" s="4"/>
      <c r="CC7" s="4"/>
      <c r="CD7" s="4">
        <v>0.1681316708693853</v>
      </c>
      <c r="CE7" s="4">
        <v>0.27791957504699483</v>
      </c>
      <c r="CF7" s="4">
        <v>0.35831500056796611</v>
      </c>
      <c r="CG7" s="4"/>
      <c r="CH7" s="4"/>
      <c r="CI7" s="4"/>
      <c r="CJ7" s="4"/>
      <c r="CK7" s="4"/>
      <c r="CL7" s="4"/>
      <c r="CM7" s="4"/>
      <c r="CN7" s="4"/>
      <c r="CO7" s="4">
        <f t="shared" si="0"/>
        <v>0.72374572643895752</v>
      </c>
      <c r="CP7" s="30">
        <f>Bury1[[#This Row],[Active - Numbers]]+Bury1[[#This Row],[Fairly Active - Numbers]]</f>
        <v>109200</v>
      </c>
      <c r="CQ7" s="4">
        <f>Bury1[[#This Row],[Male I]]-Bury1[[#This Row],[Female I]]</f>
        <v>1.1481263041017098E-2</v>
      </c>
      <c r="CR7" s="4">
        <f>Bury1[[#This Row],[NS SEC 1-2: Higher social groups I]]-Bury1[[#This Row],[NS SEC 6-8: Lower social groups I]]</f>
        <v>-0.19018332969858082</v>
      </c>
      <c r="CS7" s="4">
        <f>Bury1[[#This Row],[No LT limiting disability I]]-Bury1[[#This Row],[LT limiting disability I]]</f>
        <v>-0.15040019634415103</v>
      </c>
      <c r="CT7" s="4">
        <f>Bury1[[#This Row],[16-34 I]]-Bury1[[#This Row],[75+ I]]</f>
        <v>-0.27270492966286292</v>
      </c>
      <c r="CU7" s="46">
        <v>0.41790005281180315</v>
      </c>
      <c r="CV7" s="66">
        <v>0.32392036142658276</v>
      </c>
      <c r="CW7" s="46">
        <v>0.60729149503235913</v>
      </c>
      <c r="CX7" s="152">
        <v>9.9299999999999999E-2</v>
      </c>
    </row>
    <row r="8" spans="1:102" x14ac:dyDescent="0.2">
      <c r="A8" s="4" t="s">
        <v>110</v>
      </c>
      <c r="B8" s="4" t="s">
        <v>40</v>
      </c>
      <c r="C8" s="4">
        <v>0.6028</v>
      </c>
      <c r="D8" s="30">
        <v>91200</v>
      </c>
      <c r="E8" s="4">
        <v>0.64300000000000002</v>
      </c>
      <c r="F8" s="4">
        <v>0.56440000000000001</v>
      </c>
      <c r="G8" s="4">
        <v>0.67420000000000002</v>
      </c>
      <c r="H8" s="4">
        <v>0.62629999999999997</v>
      </c>
      <c r="I8" s="4">
        <v>0.59440000000000004</v>
      </c>
      <c r="J8" s="4">
        <v>0.36959999999999998</v>
      </c>
      <c r="K8" s="4">
        <v>0.64880000000000004</v>
      </c>
      <c r="L8" s="4">
        <v>0.53949999999999998</v>
      </c>
      <c r="M8" s="4">
        <v>0.41610000000000003</v>
      </c>
      <c r="N8" s="4">
        <v>0.64959999999999996</v>
      </c>
      <c r="O8" s="4">
        <v>0.61309999999999998</v>
      </c>
      <c r="P8" s="4">
        <v>0.62209999999999999</v>
      </c>
      <c r="Q8" s="4"/>
      <c r="R8" s="4"/>
      <c r="S8" s="4"/>
      <c r="T8" s="4"/>
      <c r="U8" s="4"/>
      <c r="V8" s="4">
        <v>0.6865</v>
      </c>
      <c r="W8" s="4">
        <v>0.57520000000000004</v>
      </c>
      <c r="X8" s="4">
        <v>0.54069999999999996</v>
      </c>
      <c r="Y8" s="4">
        <v>0.67879999999999996</v>
      </c>
      <c r="Z8" s="4">
        <v>0.628</v>
      </c>
      <c r="AA8" s="4"/>
      <c r="AB8" s="4">
        <v>0.53669999999999995</v>
      </c>
      <c r="AC8" s="4"/>
      <c r="AD8" s="4"/>
      <c r="AE8" s="4"/>
      <c r="AF8" s="4"/>
      <c r="AG8" s="4">
        <v>0.1447</v>
      </c>
      <c r="AH8" s="30">
        <v>21900</v>
      </c>
      <c r="AI8" s="4">
        <v>0.1331</v>
      </c>
      <c r="AJ8" s="4">
        <v>0.15720000000000001</v>
      </c>
      <c r="AK8" s="4"/>
      <c r="AL8" s="4">
        <v>0.18820000000000001</v>
      </c>
      <c r="AM8" s="4">
        <v>0.1249</v>
      </c>
      <c r="AN8" s="4"/>
      <c r="AO8" s="4">
        <v>0.15959999999999999</v>
      </c>
      <c r="AP8" s="4">
        <v>0.1244</v>
      </c>
      <c r="AQ8" s="4"/>
      <c r="AR8" s="4">
        <v>0.1386</v>
      </c>
      <c r="AS8" s="4">
        <v>0.14990000000000001</v>
      </c>
      <c r="AT8" s="4"/>
      <c r="AU8" s="4"/>
      <c r="AV8" s="4"/>
      <c r="AW8" s="4"/>
      <c r="AX8" s="4"/>
      <c r="AY8" s="4"/>
      <c r="AZ8" s="4">
        <v>0.14349999999999999</v>
      </c>
      <c r="BA8" s="4"/>
      <c r="BB8" s="4"/>
      <c r="BC8" s="4"/>
      <c r="BD8" s="4">
        <v>0.1472</v>
      </c>
      <c r="BE8" s="4"/>
      <c r="BF8" s="4">
        <v>0.12039999999999999</v>
      </c>
      <c r="BG8" s="4"/>
      <c r="BH8" s="4"/>
      <c r="BI8" s="4"/>
      <c r="BJ8" s="4"/>
      <c r="BK8" s="4">
        <v>0.2525</v>
      </c>
      <c r="BL8" s="30">
        <v>38200</v>
      </c>
      <c r="BM8" s="4">
        <v>0.2238</v>
      </c>
      <c r="BN8" s="4">
        <v>0.27829999999999999</v>
      </c>
      <c r="BO8" s="4">
        <v>0.1986</v>
      </c>
      <c r="BP8" s="4">
        <v>0.1855</v>
      </c>
      <c r="BQ8" s="4">
        <v>0.28079999999999999</v>
      </c>
      <c r="BR8" s="4">
        <v>0.50729999999999997</v>
      </c>
      <c r="BS8" s="4">
        <v>0.19170000000000001</v>
      </c>
      <c r="BT8" s="4">
        <v>0.33600000000000002</v>
      </c>
      <c r="BU8" s="4">
        <v>0.4138</v>
      </c>
      <c r="BV8" s="4">
        <v>0.21179999999999999</v>
      </c>
      <c r="BW8" s="4">
        <v>0.23699999999999999</v>
      </c>
      <c r="BX8" s="4"/>
      <c r="BY8" s="4"/>
      <c r="BZ8" s="4"/>
      <c r="CA8" s="4"/>
      <c r="CB8" s="4"/>
      <c r="CC8" s="4"/>
      <c r="CD8" s="4">
        <v>0.1699</v>
      </c>
      <c r="CE8" s="4">
        <v>0.29199999999999998</v>
      </c>
      <c r="CF8" s="4">
        <v>0.30990000000000001</v>
      </c>
      <c r="CG8" s="4"/>
      <c r="CH8" s="4">
        <v>0.2248</v>
      </c>
      <c r="CI8" s="4"/>
      <c r="CJ8" s="4">
        <v>0.34289999999999998</v>
      </c>
      <c r="CK8" s="4"/>
      <c r="CL8" s="4"/>
      <c r="CM8" s="4"/>
      <c r="CN8" s="4"/>
      <c r="CO8" s="4">
        <f t="shared" si="0"/>
        <v>0.74750000000000005</v>
      </c>
      <c r="CP8" s="30">
        <f>Bury1[[#This Row],[Active - Numbers]]+Bury1[[#This Row],[Fairly Active - Numbers]]</f>
        <v>113100</v>
      </c>
      <c r="CQ8" s="4">
        <f>Bury1[[#This Row],[Male I]]-Bury1[[#This Row],[Female I]]</f>
        <v>-5.4499999999999993E-2</v>
      </c>
      <c r="CR8" s="4">
        <f>Bury1[[#This Row],[NS SEC 1-2: Higher social groups I]]-Bury1[[#This Row],[NS SEC 6-8: Lower social groups I]]</f>
        <v>-0.14000000000000001</v>
      </c>
      <c r="CS8" s="4">
        <f>Bury1[[#This Row],[No LT limiting disability I]]-Bury1[[#This Row],[LT limiting disability I]]</f>
        <v>-0.20200000000000001</v>
      </c>
      <c r="CT8" s="4">
        <f>Bury1[[#This Row],[16-34 I]]-Bury1[[#This Row],[75+ I]]</f>
        <v>-0.30869999999999997</v>
      </c>
      <c r="CU8" s="46">
        <v>0.4274</v>
      </c>
      <c r="CV8" s="66">
        <v>0.33129999999999998</v>
      </c>
      <c r="CW8" s="46">
        <v>0.61160000000000003</v>
      </c>
      <c r="CX8" s="152">
        <v>0.12180000000000001</v>
      </c>
    </row>
    <row r="9" spans="1:102" x14ac:dyDescent="0.2">
      <c r="A9" s="4" t="s">
        <v>110</v>
      </c>
      <c r="B9" s="4" t="s">
        <v>41</v>
      </c>
      <c r="C9" s="4">
        <v>0.6398469497773861</v>
      </c>
      <c r="D9" s="30">
        <v>96800</v>
      </c>
      <c r="E9" s="4">
        <v>0.65328324312040076</v>
      </c>
      <c r="F9" s="4">
        <v>0.63087304232437058</v>
      </c>
      <c r="G9" s="4">
        <v>0.76894931485364337</v>
      </c>
      <c r="H9" s="4">
        <v>0.63663213028415233</v>
      </c>
      <c r="I9" s="4">
        <v>0.58429092881065159</v>
      </c>
      <c r="J9" s="4">
        <v>0.48359334600608878</v>
      </c>
      <c r="K9" s="4">
        <v>0.69016596637264382</v>
      </c>
      <c r="L9" s="4">
        <v>0.55812426710033747</v>
      </c>
      <c r="M9" s="4">
        <v>0.43638690499884464</v>
      </c>
      <c r="N9" s="4">
        <v>0.69546578815873006</v>
      </c>
      <c r="O9" s="4">
        <v>0.65298845914120884</v>
      </c>
      <c r="P9" s="4"/>
      <c r="Q9" s="4"/>
      <c r="R9" s="4"/>
      <c r="S9" s="4"/>
      <c r="T9" s="4"/>
      <c r="U9" s="4"/>
      <c r="V9" s="4">
        <v>0.69376536341343864</v>
      </c>
      <c r="W9" s="4">
        <v>0.61283969221479773</v>
      </c>
      <c r="X9" s="4">
        <v>0.5579992733147543</v>
      </c>
      <c r="Y9" s="4">
        <v>0.77542686345556477</v>
      </c>
      <c r="Z9" s="4">
        <v>0.66323564798911139</v>
      </c>
      <c r="AA9" s="4"/>
      <c r="AB9" s="4">
        <v>0.53484073475525162</v>
      </c>
      <c r="AC9" s="4"/>
      <c r="AD9" s="4"/>
      <c r="AE9" s="4"/>
      <c r="AF9" s="4"/>
      <c r="AG9" s="4">
        <v>0.13254142405837763</v>
      </c>
      <c r="AH9" s="30">
        <v>20100</v>
      </c>
      <c r="AI9" s="4">
        <v>0.13511443551218447</v>
      </c>
      <c r="AJ9" s="4">
        <v>0.13129340895928146</v>
      </c>
      <c r="AK9" s="4">
        <v>8.6991249827038833E-2</v>
      </c>
      <c r="AL9" s="4">
        <v>0.16098606913432645</v>
      </c>
      <c r="AM9" s="4">
        <v>0.15619085904648844</v>
      </c>
      <c r="AN9" s="4">
        <v>8.1821890131888383E-2</v>
      </c>
      <c r="AO9" s="4">
        <v>0.13104871412573638</v>
      </c>
      <c r="AP9" s="4">
        <v>0.13686579088561673</v>
      </c>
      <c r="AQ9" s="4">
        <v>0.1808878410281658</v>
      </c>
      <c r="AR9" s="4">
        <v>0.11819417134537327</v>
      </c>
      <c r="AS9" s="4">
        <v>0.13270430292762772</v>
      </c>
      <c r="AT9" s="4"/>
      <c r="AU9" s="4"/>
      <c r="AV9" s="4"/>
      <c r="AW9" s="4"/>
      <c r="AX9" s="4"/>
      <c r="AY9" s="4"/>
      <c r="AZ9" s="4">
        <v>0.13544486329483782</v>
      </c>
      <c r="BA9" s="4"/>
      <c r="BB9" s="4"/>
      <c r="BC9" s="4"/>
      <c r="BD9" s="4">
        <v>0.15477014235770081</v>
      </c>
      <c r="BE9" s="4"/>
      <c r="BF9" s="4">
        <v>0.12276499408017899</v>
      </c>
      <c r="BG9" s="4"/>
      <c r="BH9" s="4"/>
      <c r="BI9" s="4"/>
      <c r="BJ9" s="4"/>
      <c r="BK9" s="4">
        <v>0.22761162616423608</v>
      </c>
      <c r="BL9" s="30">
        <v>34400</v>
      </c>
      <c r="BM9" s="4">
        <v>0.21160232136741453</v>
      </c>
      <c r="BN9" s="4">
        <v>0.23783354871634688</v>
      </c>
      <c r="BO9" s="4">
        <v>0.14405943531931825</v>
      </c>
      <c r="BP9" s="4">
        <v>0.20238180058152189</v>
      </c>
      <c r="BQ9" s="4">
        <v>0.25951821214286108</v>
      </c>
      <c r="BR9" s="4">
        <v>0.43458476386202299</v>
      </c>
      <c r="BS9" s="4">
        <v>0.1787853195016188</v>
      </c>
      <c r="BT9" s="4">
        <v>0.30500994201404646</v>
      </c>
      <c r="BU9" s="4">
        <v>0.38272525397298979</v>
      </c>
      <c r="BV9" s="4">
        <v>0.18634004049589714</v>
      </c>
      <c r="BW9" s="4">
        <v>0.21430723793116355</v>
      </c>
      <c r="BX9" s="4"/>
      <c r="BY9" s="4"/>
      <c r="BZ9" s="4"/>
      <c r="CA9" s="4"/>
      <c r="CB9" s="4"/>
      <c r="CC9" s="4"/>
      <c r="CD9" s="4">
        <v>0.17078977329172398</v>
      </c>
      <c r="CE9" s="4">
        <v>0.22567532462420903</v>
      </c>
      <c r="CF9" s="4">
        <v>0.32270356735607914</v>
      </c>
      <c r="CG9" s="4"/>
      <c r="CH9" s="4">
        <v>0.18199420965318647</v>
      </c>
      <c r="CI9" s="4"/>
      <c r="CJ9" s="4">
        <v>0.3423942711645695</v>
      </c>
      <c r="CK9" s="4"/>
      <c r="CL9" s="4"/>
      <c r="CM9" s="4"/>
      <c r="CN9" s="4"/>
      <c r="CO9" s="4">
        <f t="shared" si="0"/>
        <v>0.77238837383576375</v>
      </c>
      <c r="CP9" s="30">
        <f>Bury1[[#This Row],[Active - Numbers]]+Bury1[[#This Row],[Fairly Active - Numbers]]</f>
        <v>116900</v>
      </c>
      <c r="CQ9" s="4">
        <f>Bury1[[#This Row],[Male I]]-Bury1[[#This Row],[Female I]]</f>
        <v>-2.6231227348932351E-2</v>
      </c>
      <c r="CR9" s="4">
        <f>Bury1[[#This Row],[NS SEC 1-2: Higher social groups I]]-Bury1[[#This Row],[NS SEC 6-8: Lower social groups I]]</f>
        <v>-0.15191379406435515</v>
      </c>
      <c r="CS9" s="4">
        <f>Bury1[[#This Row],[No LT limiting disability I]]-Bury1[[#This Row],[LT limiting disability I]]</f>
        <v>-0.19638521347709265</v>
      </c>
      <c r="CT9" s="4">
        <f>Bury1[[#This Row],[16-34 I]]-Bury1[[#This Row],[75+ I]]</f>
        <v>-0.29052532854270474</v>
      </c>
      <c r="CU9" s="46">
        <v>0.4592863264528515</v>
      </c>
      <c r="CV9" s="66">
        <v>0.35401313694655018</v>
      </c>
      <c r="CW9" s="46">
        <v>0.64091827681792923</v>
      </c>
      <c r="CX9" s="152">
        <v>0.12230000000000001</v>
      </c>
    </row>
    <row r="10" spans="1:102" s="29" customFormat="1" x14ac:dyDescent="0.2">
      <c r="A10" s="156" t="s">
        <v>110</v>
      </c>
      <c r="B10" s="156" t="s">
        <v>155</v>
      </c>
      <c r="C10" s="155">
        <v>0.6048</v>
      </c>
      <c r="D10" s="30">
        <v>92000</v>
      </c>
      <c r="E10" s="170">
        <v>0.61075726900309368</v>
      </c>
      <c r="F10" s="170">
        <v>0.60841208798674251</v>
      </c>
      <c r="G10" s="170">
        <v>0.68697069244886455</v>
      </c>
      <c r="H10" s="170">
        <v>0.60604612630657984</v>
      </c>
      <c r="I10" s="170">
        <v>0.59355279559025909</v>
      </c>
      <c r="J10" s="170">
        <v>0.43076257656334221</v>
      </c>
      <c r="K10" s="170">
        <v>0.63732317210272893</v>
      </c>
      <c r="L10" s="170">
        <v>0.5476814589177057</v>
      </c>
      <c r="M10" s="170">
        <v>0.47003636832275331</v>
      </c>
      <c r="N10" s="170">
        <v>0.63450895519401262</v>
      </c>
      <c r="O10" s="170">
        <v>0.62048665682154736</v>
      </c>
      <c r="P10" s="46"/>
      <c r="Q10" s="46"/>
      <c r="R10" s="46"/>
      <c r="S10" s="46"/>
      <c r="T10" s="46"/>
      <c r="U10" s="46"/>
      <c r="V10" s="170">
        <v>0.68693307594768216</v>
      </c>
      <c r="W10" s="170">
        <v>0.61371020198105775</v>
      </c>
      <c r="X10" s="170">
        <v>0.4916645001340274</v>
      </c>
      <c r="Y10" s="170">
        <v>0.65806836097049737</v>
      </c>
      <c r="Z10" s="170">
        <v>0.668512145487001</v>
      </c>
      <c r="AA10" s="46"/>
      <c r="AB10" s="170">
        <v>0.53036646210989724</v>
      </c>
      <c r="AC10" s="46"/>
      <c r="AD10" s="46"/>
      <c r="AE10" s="46"/>
      <c r="AF10" s="46"/>
      <c r="AG10" s="155">
        <v>0.1012</v>
      </c>
      <c r="AH10" s="30">
        <v>15400</v>
      </c>
      <c r="AI10" s="170">
        <v>9.7461279216198696E-2</v>
      </c>
      <c r="AJ10" s="170">
        <v>0.10604573330205164</v>
      </c>
      <c r="AK10" s="46"/>
      <c r="AL10" s="170">
        <v>0.12260644964176916</v>
      </c>
      <c r="AM10" s="170">
        <v>0.12815915286789509</v>
      </c>
      <c r="AN10" s="46"/>
      <c r="AO10" s="170">
        <v>9.2788678905274105E-2</v>
      </c>
      <c r="AP10" s="170">
        <v>0.11765648880898699</v>
      </c>
      <c r="AQ10" s="46"/>
      <c r="AR10" s="170">
        <v>9.5003389321329249E-2</v>
      </c>
      <c r="AS10" s="170">
        <v>9.8050063428069864E-2</v>
      </c>
      <c r="AT10" s="46"/>
      <c r="AU10" s="46"/>
      <c r="AV10" s="46"/>
      <c r="AW10" s="46"/>
      <c r="AX10" s="46"/>
      <c r="AY10" s="46"/>
      <c r="AZ10" s="170">
        <v>0.11894958922470543</v>
      </c>
      <c r="BA10" s="46"/>
      <c r="BB10" s="46"/>
      <c r="BC10" s="46"/>
      <c r="BD10" s="170">
        <v>0.10651311112709144</v>
      </c>
      <c r="BE10" s="46"/>
      <c r="BF10" s="170">
        <v>0.12159169675755081</v>
      </c>
      <c r="BG10" s="46"/>
      <c r="BH10" s="46"/>
      <c r="BI10" s="46"/>
      <c r="BJ10" s="46"/>
      <c r="BK10" s="155">
        <v>0.29399999999999998</v>
      </c>
      <c r="BL10" s="30">
        <v>44700</v>
      </c>
      <c r="BM10" s="170">
        <v>0.29178145178070825</v>
      </c>
      <c r="BN10" s="170">
        <v>0.28554217871120441</v>
      </c>
      <c r="BO10" s="170">
        <v>0.26757177331230542</v>
      </c>
      <c r="BP10" s="170">
        <v>0.27134742405165174</v>
      </c>
      <c r="BQ10" s="170">
        <v>0.27828805154184505</v>
      </c>
      <c r="BR10" s="170">
        <v>0.47835058715112999</v>
      </c>
      <c r="BS10" s="170">
        <v>0.26988814899199737</v>
      </c>
      <c r="BT10" s="170">
        <v>0.33466205227330675</v>
      </c>
      <c r="BU10" s="170">
        <v>0.41415885858090418</v>
      </c>
      <c r="BV10" s="170">
        <v>0.27048765548465764</v>
      </c>
      <c r="BW10" s="170">
        <v>0.28146327975038254</v>
      </c>
      <c r="BX10" s="46"/>
      <c r="BY10" s="46"/>
      <c r="BZ10" s="46"/>
      <c r="CA10" s="46"/>
      <c r="CB10" s="46"/>
      <c r="CC10" s="46"/>
      <c r="CD10" s="170">
        <v>0.19411733482761281</v>
      </c>
      <c r="CE10" s="170">
        <v>0.29115678480316776</v>
      </c>
      <c r="CF10" s="170">
        <v>0.44490051890128579</v>
      </c>
      <c r="CG10" s="46"/>
      <c r="CH10" s="170">
        <v>0.22497474338590673</v>
      </c>
      <c r="CI10" s="46"/>
      <c r="CJ10" s="170">
        <v>0.34804184113255288</v>
      </c>
      <c r="CK10" s="46"/>
      <c r="CL10" s="46"/>
      <c r="CM10" s="46"/>
      <c r="CN10" s="46"/>
      <c r="CO10" s="64">
        <f>SUM(C10,AG10)</f>
        <v>0.70599999999999996</v>
      </c>
      <c r="CP10" s="130">
        <f>Bury1[[#This Row],[Active - Numbers]]+Bury1[[#This Row],[Fairly Active - Numbers]]</f>
        <v>107400</v>
      </c>
      <c r="CQ10" s="64">
        <f>Bury1[[#This Row],[Male I]]-Bury1[[#This Row],[Female I]]</f>
        <v>6.2392730695038368E-3</v>
      </c>
      <c r="CR10" s="64">
        <f>Bury1[[#This Row],[NS SEC 1-2: Higher social groups I]]-Bury1[[#This Row],[NS SEC 6-8: Lower social groups I]]</f>
        <v>-0.25078318407367295</v>
      </c>
      <c r="CS10" s="64">
        <f>Bury1[[#This Row],[No LT limiting disability I]]-Bury1[[#This Row],[LT limiting disability I]]</f>
        <v>-0.14367120309624654</v>
      </c>
      <c r="CT10" s="64">
        <f>Bury1[[#This Row],[16-34 I]]-Bury1[[#This Row],[75+ I]]</f>
        <v>-0.21077881383882457</v>
      </c>
      <c r="CU10" s="173">
        <v>0.46091876648201413</v>
      </c>
      <c r="CV10" s="173">
        <v>0.2892870687315463</v>
      </c>
      <c r="CW10" s="173">
        <v>0.58071101389383728</v>
      </c>
      <c r="CX10" s="150"/>
    </row>
    <row r="11" spans="1:102" x14ac:dyDescent="0.2">
      <c r="A11" s="4" t="s">
        <v>110</v>
      </c>
      <c r="B11" s="4" t="s">
        <v>42</v>
      </c>
      <c r="C11" s="4">
        <f>C10-C3</f>
        <v>-1.749999999999996E-2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-1.2999999999999998E-2</v>
      </c>
      <c r="AH11" s="26"/>
      <c r="AI11" s="4">
        <f t="shared" ref="AI11:BK11" si="1">AI10-AI3</f>
        <v>1.474770315142597E-2</v>
      </c>
      <c r="AJ11" s="4">
        <f t="shared" si="1"/>
        <v>-4.003308565815264E-2</v>
      </c>
      <c r="AK11" s="4">
        <f t="shared" si="1"/>
        <v>0</v>
      </c>
      <c r="AL11" s="4">
        <f t="shared" si="1"/>
        <v>3.8023437434615309E-2</v>
      </c>
      <c r="AM11" s="4">
        <f t="shared" si="1"/>
        <v>-3.4107782686246396E-2</v>
      </c>
      <c r="AN11" s="4">
        <f t="shared" si="1"/>
        <v>0</v>
      </c>
      <c r="AO11" s="4">
        <f t="shared" si="1"/>
        <v>9.2788678905274105E-2</v>
      </c>
      <c r="AP11" s="4">
        <f t="shared" si="1"/>
        <v>0.11765648880898699</v>
      </c>
      <c r="AQ11" s="4">
        <f t="shared" si="1"/>
        <v>-0.12270034669521661</v>
      </c>
      <c r="AR11" s="4">
        <f t="shared" si="1"/>
        <v>-1.7603087117979824E-2</v>
      </c>
      <c r="AS11" s="4">
        <f t="shared" si="1"/>
        <v>-8.9186175919995225E-3</v>
      </c>
      <c r="AT11" s="4">
        <f t="shared" si="1"/>
        <v>0</v>
      </c>
      <c r="AU11" s="4">
        <f t="shared" si="1"/>
        <v>0</v>
      </c>
      <c r="AV11" s="4">
        <f t="shared" si="1"/>
        <v>0</v>
      </c>
      <c r="AW11" s="4">
        <f t="shared" si="1"/>
        <v>0</v>
      </c>
      <c r="AX11" s="4">
        <f t="shared" si="1"/>
        <v>0</v>
      </c>
      <c r="AY11" s="4">
        <f t="shared" si="1"/>
        <v>0</v>
      </c>
      <c r="AZ11" s="4">
        <f t="shared" si="1"/>
        <v>1.663732796354947E-2</v>
      </c>
      <c r="BA11" s="4">
        <f t="shared" si="1"/>
        <v>-0.13428409568249441</v>
      </c>
      <c r="BB11" s="4">
        <f t="shared" si="1"/>
        <v>0</v>
      </c>
      <c r="BC11" s="4">
        <f t="shared" si="1"/>
        <v>0</v>
      </c>
      <c r="BD11" s="4">
        <f t="shared" si="1"/>
        <v>0.10651311112709144</v>
      </c>
      <c r="BE11" s="4">
        <f t="shared" si="1"/>
        <v>0</v>
      </c>
      <c r="BF11" s="4">
        <f t="shared" si="1"/>
        <v>0.12159169675755081</v>
      </c>
      <c r="BG11" s="4">
        <f t="shared" si="1"/>
        <v>0</v>
      </c>
      <c r="BH11" s="4">
        <f t="shared" si="1"/>
        <v>0</v>
      </c>
      <c r="BI11" s="4">
        <f t="shared" si="1"/>
        <v>0</v>
      </c>
      <c r="BJ11" s="4">
        <f t="shared" si="1"/>
        <v>0</v>
      </c>
      <c r="BK11" s="4">
        <f t="shared" si="1"/>
        <v>3.0499999999999972E-2</v>
      </c>
      <c r="BL11" s="26"/>
      <c r="BM11" s="4">
        <f t="shared" ref="BM11:CP11" si="2">BM10-BM3</f>
        <v>1.2800915025662607E-2</v>
      </c>
      <c r="BN11" s="4">
        <f t="shared" si="2"/>
        <v>3.7673798336587572E-2</v>
      </c>
      <c r="BO11" s="4">
        <f t="shared" si="2"/>
        <v>8.7647775751619195E-2</v>
      </c>
      <c r="BP11" s="4">
        <f t="shared" si="2"/>
        <v>1.5910922018428808E-2</v>
      </c>
      <c r="BQ11" s="4">
        <f t="shared" si="2"/>
        <v>-7.2591572549304817E-3</v>
      </c>
      <c r="BR11" s="4">
        <f t="shared" si="2"/>
        <v>2.0632016872486614E-2</v>
      </c>
      <c r="BS11" s="4">
        <f t="shared" si="2"/>
        <v>0.26988814899199737</v>
      </c>
      <c r="BT11" s="4">
        <f t="shared" si="2"/>
        <v>0.33466205227330675</v>
      </c>
      <c r="BU11" s="4">
        <f t="shared" si="2"/>
        <v>6.8055128085177108E-3</v>
      </c>
      <c r="BV11" s="4">
        <f t="shared" si="2"/>
        <v>4.4683116001974388E-2</v>
      </c>
      <c r="BW11" s="4">
        <f t="shared" si="2"/>
        <v>1.2490338225247311E-2</v>
      </c>
      <c r="BX11" s="4">
        <f t="shared" si="2"/>
        <v>0</v>
      </c>
      <c r="BY11" s="4">
        <f t="shared" si="2"/>
        <v>0</v>
      </c>
      <c r="BZ11" s="4">
        <f t="shared" si="2"/>
        <v>0</v>
      </c>
      <c r="CA11" s="4">
        <f t="shared" si="2"/>
        <v>0</v>
      </c>
      <c r="CB11" s="4">
        <f t="shared" si="2"/>
        <v>0</v>
      </c>
      <c r="CC11" s="4">
        <f t="shared" si="2"/>
        <v>0</v>
      </c>
      <c r="CD11" s="4">
        <f t="shared" si="2"/>
        <v>-1.261529637576303E-2</v>
      </c>
      <c r="CE11" s="4">
        <f t="shared" si="2"/>
        <v>-1.6428710364027432E-2</v>
      </c>
      <c r="CF11" s="4">
        <f t="shared" si="2"/>
        <v>0.18647254125485935</v>
      </c>
      <c r="CG11" s="4">
        <f t="shared" si="2"/>
        <v>0</v>
      </c>
      <c r="CH11" s="4">
        <f t="shared" si="2"/>
        <v>0.22497474338590673</v>
      </c>
      <c r="CI11" s="4">
        <f t="shared" si="2"/>
        <v>0</v>
      </c>
      <c r="CJ11" s="4">
        <f t="shared" si="2"/>
        <v>0.34804184113255288</v>
      </c>
      <c r="CK11" s="4">
        <f t="shared" si="2"/>
        <v>0</v>
      </c>
      <c r="CL11" s="4">
        <f t="shared" si="2"/>
        <v>0</v>
      </c>
      <c r="CM11" s="4">
        <f t="shared" si="2"/>
        <v>0</v>
      </c>
      <c r="CN11" s="4">
        <f t="shared" si="2"/>
        <v>0</v>
      </c>
      <c r="CO11" s="4">
        <f t="shared" si="2"/>
        <v>-3.0499999999999972E-2</v>
      </c>
      <c r="CP11" s="30">
        <f t="shared" si="2"/>
        <v>-2900</v>
      </c>
      <c r="CQ11" s="4">
        <f>Bury1[[#This Row],[Male I]]-Bury1[[#This Row],[Female I]]</f>
        <v>-2.4872883310924965E-2</v>
      </c>
      <c r="CR11" s="4">
        <f>Bury1[[#This Row],[NS SEC 1-2: Higher social groups I]]-Bury1[[#This Row],[NS SEC 6-8: Lower social groups I]]</f>
        <v>-0.19908783763062238</v>
      </c>
      <c r="CS11" s="4">
        <f>Bury1[[#This Row],[No LT limiting disability I]]-Bury1[[#This Row],[LT limiting disability I]]</f>
        <v>3.7877603193456677E-2</v>
      </c>
      <c r="CT11" s="4">
        <f>Bury1[[#This Row],[16-34 I]]-Bury1[[#This Row],[75+ I]]</f>
        <v>6.7015758879132581E-2</v>
      </c>
      <c r="CU11" s="64">
        <f>CU10-CU7</f>
        <v>4.3018713670210984E-2</v>
      </c>
      <c r="CV11" s="64">
        <f>CV10-CV7</f>
        <v>-3.4633292695036455E-2</v>
      </c>
      <c r="CW11" s="64">
        <f>CW10-CW7</f>
        <v>-2.658048113852185E-2</v>
      </c>
      <c r="CX11" s="64"/>
    </row>
    <row r="14" spans="1:102" x14ac:dyDescent="0.2">
      <c r="BJ14" s="3"/>
    </row>
  </sheetData>
  <mergeCells count="3">
    <mergeCell ref="D1:AE1"/>
    <mergeCell ref="AG1:BH1"/>
    <mergeCell ref="BJ1:CK1"/>
  </mergeCells>
  <conditionalFormatting sqref="AG6">
    <cfRule type="containsText" dxfId="2003" priority="29" operator="containsText" text="Significant increase">
      <formula>NOT(ISERROR(SEARCH("Significant increase",AG6)))</formula>
    </cfRule>
    <cfRule type="containsText" dxfId="2002" priority="30" operator="containsText" text="Significant decrease">
      <formula>NOT(ISERROR(SEARCH("Significant decrease",AG6)))</formula>
    </cfRule>
  </conditionalFormatting>
  <conditionalFormatting sqref="D7 D4">
    <cfRule type="containsText" dxfId="2001" priority="27" operator="containsText" text="Significant increase">
      <formula>NOT(ISERROR(SEARCH("Significant increase",D4)))</formula>
    </cfRule>
    <cfRule type="containsText" dxfId="2000" priority="28" operator="containsText" text="Significant decrease">
      <formula>NOT(ISERROR(SEARCH("Significant decrease",D4)))</formula>
    </cfRule>
  </conditionalFormatting>
  <conditionalFormatting sqref="AH7 AH4">
    <cfRule type="containsText" dxfId="1999" priority="25" operator="containsText" text="Significant increase">
      <formula>NOT(ISERROR(SEARCH("Significant increase",AH4)))</formula>
    </cfRule>
    <cfRule type="containsText" dxfId="1998" priority="26" operator="containsText" text="Significant decrease">
      <formula>NOT(ISERROR(SEARCH("Significant decrease",AH4)))</formula>
    </cfRule>
  </conditionalFormatting>
  <conditionalFormatting sqref="BL7 BL4">
    <cfRule type="containsText" dxfId="1997" priority="23" operator="containsText" text="Significant increase">
      <formula>NOT(ISERROR(SEARCH("Significant increase",BL4)))</formula>
    </cfRule>
    <cfRule type="containsText" dxfId="1996" priority="24" operator="containsText" text="Significant decrease">
      <formula>NOT(ISERROR(SEARCH("Significant decrease",BL4)))</formula>
    </cfRule>
  </conditionalFormatting>
  <conditionalFormatting sqref="CX9:CX10">
    <cfRule type="containsText" dxfId="1995" priority="21" operator="containsText" text="Significant increase">
      <formula>NOT(ISERROR(SEARCH("Significant increase",CX9)))</formula>
    </cfRule>
    <cfRule type="containsText" dxfId="1994" priority="22" operator="containsText" text="Significant decrease">
      <formula>NOT(ISERROR(SEARCH("Significant decrease",CX9)))</formula>
    </cfRule>
  </conditionalFormatting>
  <conditionalFormatting sqref="CX8">
    <cfRule type="containsText" dxfId="1993" priority="19" operator="containsText" text="Significant increase">
      <formula>NOT(ISERROR(SEARCH("Significant increase",CX8)))</formula>
    </cfRule>
    <cfRule type="containsText" dxfId="1992" priority="20" operator="containsText" text="Significant decrease">
      <formula>NOT(ISERROR(SEARCH("Significant decrease",CX8)))</formula>
    </cfRule>
  </conditionalFormatting>
  <conditionalFormatting sqref="CX7">
    <cfRule type="containsText" dxfId="1991" priority="17" operator="containsText" text="Significant increase">
      <formula>NOT(ISERROR(SEARCH("Significant increase",CX7)))</formula>
    </cfRule>
    <cfRule type="containsText" dxfId="1990" priority="18" operator="containsText" text="Significant decrease">
      <formula>NOT(ISERROR(SEARCH("Significant decrease",CX7)))</formula>
    </cfRule>
  </conditionalFormatting>
  <conditionalFormatting sqref="CX6">
    <cfRule type="containsText" dxfId="1989" priority="15" operator="containsText" text="Significant increase">
      <formula>NOT(ISERROR(SEARCH("Significant increase",CX6)))</formula>
    </cfRule>
    <cfRule type="containsText" dxfId="1988" priority="16" operator="containsText" text="Significant decrease">
      <formula>NOT(ISERROR(SEARCH("Significant decrease",CX6)))</formula>
    </cfRule>
  </conditionalFormatting>
  <conditionalFormatting sqref="CX4">
    <cfRule type="containsText" dxfId="1987" priority="13" operator="containsText" text="Significant increase">
      <formula>NOT(ISERROR(SEARCH("Significant increase",CX4)))</formula>
    </cfRule>
    <cfRule type="containsText" dxfId="1986" priority="14" operator="containsText" text="Significant decrease">
      <formula>NOT(ISERROR(SEARCH("Significant decrease",CX4)))</formula>
    </cfRule>
  </conditionalFormatting>
  <conditionalFormatting sqref="D10">
    <cfRule type="containsText" dxfId="1985" priority="11" operator="containsText" text="Significant increase">
      <formula>NOT(ISERROR(SEARCH("Significant increase",D10)))</formula>
    </cfRule>
    <cfRule type="containsText" dxfId="1984" priority="12" operator="containsText" text="Significant decrease">
      <formula>NOT(ISERROR(SEARCH("Significant decrease",D10)))</formula>
    </cfRule>
  </conditionalFormatting>
  <conditionalFormatting sqref="C10">
    <cfRule type="containsText" dxfId="1983" priority="9" operator="containsText" text="Significant increase">
      <formula>NOT(ISERROR(SEARCH("Significant increase",C10)))</formula>
    </cfRule>
    <cfRule type="containsText" dxfId="1982" priority="10" operator="containsText" text="Significant decrease">
      <formula>NOT(ISERROR(SEARCH("Significant decrease",C10)))</formula>
    </cfRule>
  </conditionalFormatting>
  <conditionalFormatting sqref="AH10">
    <cfRule type="containsText" dxfId="1981" priority="7" operator="containsText" text="Significant increase">
      <formula>NOT(ISERROR(SEARCH("Significant increase",AH10)))</formula>
    </cfRule>
    <cfRule type="containsText" dxfId="1980" priority="8" operator="containsText" text="Significant decrease">
      <formula>NOT(ISERROR(SEARCH("Significant decrease",AH10)))</formula>
    </cfRule>
  </conditionalFormatting>
  <conditionalFormatting sqref="AG10">
    <cfRule type="containsText" dxfId="1979" priority="5" operator="containsText" text="Significant increase">
      <formula>NOT(ISERROR(SEARCH("Significant increase",AG10)))</formula>
    </cfRule>
    <cfRule type="containsText" dxfId="1978" priority="6" operator="containsText" text="Significant decrease">
      <formula>NOT(ISERROR(SEARCH("Significant decrease",AG10)))</formula>
    </cfRule>
  </conditionalFormatting>
  <conditionalFormatting sqref="BK10">
    <cfRule type="containsText" dxfId="1977" priority="3" operator="containsText" text="Significant increase">
      <formula>NOT(ISERROR(SEARCH("Significant increase",BK10)))</formula>
    </cfRule>
    <cfRule type="containsText" dxfId="1976" priority="4" operator="containsText" text="Significant decrease">
      <formula>NOT(ISERROR(SEARCH("Significant decrease",BK10)))</formula>
    </cfRule>
  </conditionalFormatting>
  <conditionalFormatting sqref="BL10">
    <cfRule type="containsText" dxfId="1975" priority="1" operator="containsText" text="Significant increase">
      <formula>NOT(ISERROR(SEARCH("Significant increase",BL10)))</formula>
    </cfRule>
    <cfRule type="containsText" dxfId="1974"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X11"/>
  <sheetViews>
    <sheetView zoomScale="70" zoomScaleNormal="70" workbookViewId="0">
      <pane xSplit="2" ySplit="2" topLeftCell="BI3" activePane="bottomRight" state="frozen"/>
      <selection pane="topRight" activeCell="C1" sqref="C1"/>
      <selection pane="bottomLeft" activeCell="A3" sqref="A3"/>
      <selection pane="bottomRight" activeCell="BZ52" sqref="BZ52"/>
    </sheetView>
  </sheetViews>
  <sheetFormatPr defaultRowHeight="14.25" outlineLevelCol="1" x14ac:dyDescent="0.2"/>
  <cols>
    <col min="1" max="1" width="11.69921875" customWidth="1"/>
    <col min="2" max="2" width="23.5" customWidth="1"/>
    <col min="3" max="10" width="8.69921875" customWidth="1" outlineLevel="1"/>
    <col min="11" max="11" width="18.296875" customWidth="1" outlineLevel="1"/>
    <col min="12" max="12" width="21" customWidth="1" outlineLevel="1"/>
    <col min="13" max="13" width="12.796875" customWidth="1" outlineLevel="1"/>
    <col min="14" max="14" width="12.19921875" customWidth="1" outlineLevel="1"/>
    <col min="15" max="15" width="12.09765625" customWidth="1" outlineLevel="1"/>
    <col min="16" max="16" width="8.69921875" customWidth="1" outlineLevel="1"/>
    <col min="17" max="17" width="9.296875" customWidth="1" outlineLevel="1"/>
    <col min="18" max="18" width="8.69921875" customWidth="1" outlineLevel="1"/>
    <col min="19" max="19" width="17.69921875" customWidth="1" outlineLevel="1"/>
    <col min="20" max="21" width="29" customWidth="1" outlineLevel="1"/>
    <col min="22" max="22" width="28.5" customWidth="1" outlineLevel="1"/>
    <col min="23" max="23" width="26.296875" customWidth="1" outlineLevel="1"/>
    <col min="24" max="24" width="21.5" customWidth="1" outlineLevel="1"/>
    <col min="25" max="25" width="12.5" customWidth="1" outlineLevel="1"/>
    <col min="26" max="26" width="19" customWidth="1" outlineLevel="1"/>
    <col min="27" max="27" width="35.69921875" customWidth="1" outlineLevel="1"/>
    <col min="28" max="28" width="33.796875" customWidth="1" outlineLevel="1"/>
    <col min="29" max="29" width="21.296875" customWidth="1" outlineLevel="1"/>
    <col min="30" max="30" width="19.19921875" customWidth="1" outlineLevel="1"/>
    <col min="31" max="31" width="28.296875" customWidth="1"/>
    <col min="32" max="32" width="8.69921875" customWidth="1" outlineLevel="1"/>
    <col min="33" max="33" width="9.296875" customWidth="1" outlineLevel="1"/>
    <col min="34" max="39" width="8.69921875" customWidth="1" outlineLevel="1"/>
    <col min="40" max="40" width="20.09765625" customWidth="1" outlineLevel="1"/>
    <col min="41" max="41" width="22.69921875" customWidth="1" outlineLevel="1"/>
    <col min="42" max="42" width="14.59765625" customWidth="1" outlineLevel="1"/>
    <col min="43" max="43" width="14" customWidth="1" outlineLevel="1"/>
    <col min="44" max="44" width="13.796875" customWidth="1" outlineLevel="1"/>
    <col min="45" max="45" width="8.796875" customWidth="1" outlineLevel="1"/>
    <col min="46" max="46" width="11.09765625" customWidth="1" outlineLevel="1"/>
    <col min="47" max="47" width="9.296875" customWidth="1" outlineLevel="1"/>
    <col min="48" max="48" width="19.5" customWidth="1" outlineLevel="1"/>
    <col min="49" max="50" width="30.69921875" customWidth="1" outlineLevel="1"/>
    <col min="51" max="51" width="30.296875" customWidth="1" outlineLevel="1"/>
    <col min="52" max="52" width="28.09765625" customWidth="1" outlineLevel="1"/>
    <col min="53" max="53" width="23.296875" customWidth="1" outlineLevel="1"/>
    <col min="54" max="54" width="14.296875" customWidth="1" outlineLevel="1"/>
    <col min="55" max="55" width="20.69921875" customWidth="1" outlineLevel="1"/>
    <col min="56" max="56" width="37.5" customWidth="1" outlineLevel="1"/>
    <col min="57" max="57" width="35.59765625" customWidth="1" outlineLevel="1"/>
    <col min="58" max="58" width="23.09765625" customWidth="1" outlineLevel="1"/>
    <col min="59" max="59" width="21" customWidth="1" outlineLevel="1"/>
    <col min="60" max="60" width="24.796875" customWidth="1"/>
    <col min="61" max="61" width="8.69921875" customWidth="1" outlineLevel="1"/>
    <col min="62" max="62" width="10.19921875" customWidth="1" outlineLevel="1"/>
    <col min="63" max="68" width="8.69921875" customWidth="1" outlineLevel="1"/>
    <col min="69" max="69" width="20.09765625" customWidth="1" outlineLevel="1"/>
    <col min="70" max="70" width="22.69921875" customWidth="1" outlineLevel="1"/>
    <col min="71" max="71" width="14.59765625" customWidth="1" outlineLevel="1"/>
    <col min="72" max="72" width="14" customWidth="1" outlineLevel="1"/>
    <col min="73" max="73" width="13.796875" customWidth="1" outlineLevel="1"/>
    <col min="74" max="74" width="8.796875" customWidth="1" outlineLevel="1"/>
    <col min="75" max="75" width="11.09765625" customWidth="1" outlineLevel="1"/>
    <col min="76" max="76" width="9.296875" customWidth="1" outlineLevel="1"/>
    <col min="77" max="77" width="19.5" customWidth="1" outlineLevel="1"/>
    <col min="78" max="79" width="30.69921875" customWidth="1" outlineLevel="1"/>
    <col min="80" max="80" width="30.296875" customWidth="1" outlineLevel="1"/>
    <col min="81" max="81" width="28.09765625" customWidth="1" outlineLevel="1"/>
    <col min="82" max="82" width="23.296875" customWidth="1" outlineLevel="1"/>
    <col min="83" max="83" width="14.296875" customWidth="1" outlineLevel="1"/>
    <col min="84" max="84" width="20.69921875" customWidth="1" outlineLevel="1"/>
    <col min="85" max="85" width="37.5" customWidth="1" outlineLevel="1"/>
    <col min="86" max="86" width="35.59765625" customWidth="1" outlineLevel="1"/>
    <col min="87" max="87" width="23.09765625" customWidth="1" outlineLevel="1"/>
    <col min="88" max="88" width="21" customWidth="1" outlineLevel="1"/>
    <col min="94" max="94" width="8.69921875" style="30"/>
  </cols>
  <sheetData>
    <row r="1" spans="1:102" x14ac:dyDescent="0.2">
      <c r="C1" s="229" t="s">
        <v>30</v>
      </c>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F1" s="229" t="s">
        <v>32</v>
      </c>
      <c r="AG1" s="229"/>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I1" s="229" t="s">
        <v>34</v>
      </c>
      <c r="BJ1" s="229"/>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row>
    <row r="2" spans="1:102" x14ac:dyDescent="0.2">
      <c r="A2" s="2" t="s">
        <v>106</v>
      </c>
      <c r="B2" t="s">
        <v>0</v>
      </c>
      <c r="C2" t="s">
        <v>29</v>
      </c>
      <c r="D2" s="29"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165</v>
      </c>
      <c r="CQ2" s="2" t="s">
        <v>102</v>
      </c>
      <c r="CR2" s="2" t="s">
        <v>103</v>
      </c>
      <c r="CS2" s="2" t="s">
        <v>104</v>
      </c>
      <c r="CT2" s="2" t="s">
        <v>105</v>
      </c>
      <c r="CU2" s="2" t="s">
        <v>207</v>
      </c>
      <c r="CV2" s="2" t="s">
        <v>208</v>
      </c>
      <c r="CW2" s="2" t="s">
        <v>209</v>
      </c>
      <c r="CX2" s="2" t="s">
        <v>301</v>
      </c>
    </row>
    <row r="3" spans="1:102" x14ac:dyDescent="0.2">
      <c r="A3" s="4" t="s">
        <v>111</v>
      </c>
      <c r="B3" s="4" t="s">
        <v>35</v>
      </c>
      <c r="C3" s="4">
        <v>0.60560000000000003</v>
      </c>
      <c r="D3" s="30">
        <v>256500</v>
      </c>
      <c r="E3" s="4">
        <v>0.61765397084170803</v>
      </c>
      <c r="F3" s="4">
        <v>0.5939633957963637</v>
      </c>
      <c r="G3" s="4">
        <v>0.69773414210828544</v>
      </c>
      <c r="H3" s="4">
        <v>0.56688726764092034</v>
      </c>
      <c r="I3" s="4">
        <v>0.4948612060442546</v>
      </c>
      <c r="J3" s="4"/>
      <c r="K3" s="4"/>
      <c r="L3" s="4"/>
      <c r="M3" s="4">
        <v>0.46954099586552184</v>
      </c>
      <c r="N3" s="4">
        <v>0.65701581324583114</v>
      </c>
      <c r="O3" s="4">
        <v>0.63731787725529754</v>
      </c>
      <c r="P3" s="4">
        <v>0.62669260727331999</v>
      </c>
      <c r="Q3" s="4">
        <v>0.58103278745632925</v>
      </c>
      <c r="R3" s="4">
        <v>0.49706926784865035</v>
      </c>
      <c r="S3" s="4"/>
      <c r="T3" s="4"/>
      <c r="U3" s="4"/>
      <c r="V3" s="4">
        <v>0.70481735838911119</v>
      </c>
      <c r="W3" s="4">
        <v>0.55602318728489897</v>
      </c>
      <c r="X3" s="4">
        <v>0.50033140875282456</v>
      </c>
      <c r="Y3" s="4"/>
      <c r="Z3" s="4"/>
      <c r="AA3" s="4"/>
      <c r="AB3" s="4"/>
      <c r="AC3" s="4"/>
      <c r="AD3" s="4"/>
      <c r="AE3" s="4"/>
      <c r="AF3" s="4"/>
      <c r="AG3" s="4">
        <v>0.13109999999999999</v>
      </c>
      <c r="AH3" s="30">
        <v>55600</v>
      </c>
      <c r="AI3" s="4">
        <v>0.12398070322195419</v>
      </c>
      <c r="AJ3" s="4">
        <v>0.13868954515313245</v>
      </c>
      <c r="AK3" s="4">
        <v>0.1177405581333581</v>
      </c>
      <c r="AL3" s="4">
        <v>0.14149922312432969</v>
      </c>
      <c r="AM3" s="4">
        <v>0.15316444274804084</v>
      </c>
      <c r="AN3" s="4"/>
      <c r="AO3" s="4"/>
      <c r="AP3" s="4"/>
      <c r="AQ3" s="4">
        <v>9.0427272009908174E-2</v>
      </c>
      <c r="AR3" s="4">
        <v>0.13917359963923789</v>
      </c>
      <c r="AS3" s="4">
        <v>0.12331928705313949</v>
      </c>
      <c r="AT3" s="4"/>
      <c r="AU3" s="4"/>
      <c r="AV3" s="4"/>
      <c r="AW3" s="4"/>
      <c r="AX3" s="4"/>
      <c r="AY3" s="4"/>
      <c r="AZ3" s="4">
        <v>0.13033772081440148</v>
      </c>
      <c r="BA3" s="4">
        <v>0.15137468976149371</v>
      </c>
      <c r="BB3" s="4">
        <v>0.11035004326571837</v>
      </c>
      <c r="BC3" s="4"/>
      <c r="BD3" s="4"/>
      <c r="BE3" s="4"/>
      <c r="BF3" s="4"/>
      <c r="BG3" s="4"/>
      <c r="BH3" s="4"/>
      <c r="BI3" s="4"/>
      <c r="BJ3" s="4"/>
      <c r="BK3" s="4">
        <v>0.26329999999999998</v>
      </c>
      <c r="BL3" s="30">
        <v>111500</v>
      </c>
      <c r="BM3" s="4">
        <v>0.25836532593633815</v>
      </c>
      <c r="BN3" s="4">
        <v>0.26734705905050615</v>
      </c>
      <c r="BO3" s="4">
        <v>0.18452529975835785</v>
      </c>
      <c r="BP3" s="4">
        <v>0.2916135092347511</v>
      </c>
      <c r="BQ3" s="4">
        <v>0.35197435120770471</v>
      </c>
      <c r="BR3" s="4">
        <v>0.70688926908331695</v>
      </c>
      <c r="BS3" s="4"/>
      <c r="BT3" s="4"/>
      <c r="BU3" s="4">
        <v>0.44003173212456947</v>
      </c>
      <c r="BV3" s="4">
        <v>0.20381058711492961</v>
      </c>
      <c r="BW3" s="4">
        <v>0.23936283569156211</v>
      </c>
      <c r="BX3" s="4">
        <v>0.19614656396602187</v>
      </c>
      <c r="BY3" s="4">
        <v>0.2611059255613154</v>
      </c>
      <c r="BZ3" s="4">
        <v>0.35732995751057678</v>
      </c>
      <c r="CA3" s="4"/>
      <c r="CB3" s="4"/>
      <c r="CC3" s="4"/>
      <c r="CD3" s="4">
        <v>0.16484492079648969</v>
      </c>
      <c r="CE3" s="4">
        <v>0.2926021229536061</v>
      </c>
      <c r="CF3" s="4">
        <v>0.38931854798145676</v>
      </c>
      <c r="CG3" s="4"/>
      <c r="CH3" s="4"/>
      <c r="CI3" s="4"/>
      <c r="CJ3" s="4"/>
      <c r="CK3" s="4"/>
      <c r="CL3" s="4"/>
      <c r="CM3" s="4"/>
      <c r="CN3" s="4"/>
      <c r="CO3" s="4">
        <f t="shared" ref="CO3:CO9" si="0">SUM(C3,AG3)</f>
        <v>0.73670000000000002</v>
      </c>
      <c r="CP3" s="30">
        <f>Manchester1[[#This Row],[Active - Numbers]]+Manchester1[[#This Row],[Fairly Active - Numbers]]</f>
        <v>312100</v>
      </c>
      <c r="CQ3" s="4">
        <f>Manchester1[[#This Row],[Male I]]-Manchester1[[#This Row],[Female I]]</f>
        <v>-8.9817331141680001E-3</v>
      </c>
      <c r="CR3" s="4">
        <f>Manchester1[[#This Row],[NS SEC 1-2: Higher social groups I]]-Manchester1[[#This Row],[NS SEC 6-8: Lower social groups I]]</f>
        <v>-0.22447362718496708</v>
      </c>
      <c r="CS3" s="4">
        <f>Manchester1[[#This Row],[No LT limiting disability I]]-Manchester1[[#This Row],[LT limiting disability I]]</f>
        <v>-0.23622114500963987</v>
      </c>
      <c r="CT3" s="4">
        <f>Manchester1[[#This Row],[16-34 I]]-Manchester1[[#This Row],[75+ I]]</f>
        <v>-0.5223639693249591</v>
      </c>
      <c r="CU3" s="64"/>
      <c r="CV3" s="64"/>
      <c r="CW3" s="64"/>
      <c r="CX3" s="64"/>
    </row>
    <row r="4" spans="1:102" x14ac:dyDescent="0.2">
      <c r="A4" s="4" t="s">
        <v>111</v>
      </c>
      <c r="B4" s="4" t="s">
        <v>36</v>
      </c>
      <c r="C4" s="44">
        <v>0.61750000000000005</v>
      </c>
      <c r="D4" s="30">
        <v>267100</v>
      </c>
      <c r="E4" s="4">
        <v>0.59347883909773491</v>
      </c>
      <c r="F4" s="4">
        <v>0.61804589792458176</v>
      </c>
      <c r="G4" s="4">
        <v>0.69546221478691284</v>
      </c>
      <c r="H4" s="4">
        <v>0.57891846974129724</v>
      </c>
      <c r="I4" s="4">
        <v>0.45642083205462725</v>
      </c>
      <c r="J4" s="4"/>
      <c r="K4" s="4"/>
      <c r="L4" s="4"/>
      <c r="M4" s="4">
        <v>0.47986278372343827</v>
      </c>
      <c r="N4" s="4">
        <v>0.64290386066528182</v>
      </c>
      <c r="O4" s="4">
        <v>0.66785697693764701</v>
      </c>
      <c r="P4" s="4">
        <v>0.575875752015239</v>
      </c>
      <c r="Q4" s="4">
        <v>0.4954413181790786</v>
      </c>
      <c r="R4" s="4">
        <v>0.56849327589757648</v>
      </c>
      <c r="S4" s="4"/>
      <c r="T4" s="4">
        <v>0.77534009482443411</v>
      </c>
      <c r="U4" s="4"/>
      <c r="V4" s="4">
        <v>0.70952337624931094</v>
      </c>
      <c r="W4" s="4">
        <v>0.55304505299238993</v>
      </c>
      <c r="X4" s="4">
        <v>0.47361610048292296</v>
      </c>
      <c r="Y4" s="4"/>
      <c r="Z4" s="4"/>
      <c r="AA4" s="4"/>
      <c r="AB4" s="4"/>
      <c r="AC4" s="4"/>
      <c r="AD4" s="4"/>
      <c r="AE4" s="4"/>
      <c r="AF4" s="4"/>
      <c r="AG4" s="44">
        <v>0.1094</v>
      </c>
      <c r="AH4" s="30">
        <v>47300</v>
      </c>
      <c r="AI4" s="4">
        <v>0.11335519675923203</v>
      </c>
      <c r="AJ4" s="4">
        <v>0.13151111114527375</v>
      </c>
      <c r="AK4" s="4">
        <v>0.11551871148382943</v>
      </c>
      <c r="AL4" s="4">
        <v>0.12264518769152744</v>
      </c>
      <c r="AM4" s="4">
        <v>0.14834855004395167</v>
      </c>
      <c r="AN4" s="4"/>
      <c r="AO4" s="4"/>
      <c r="AP4" s="4"/>
      <c r="AQ4" s="4">
        <v>0.11063140482125144</v>
      </c>
      <c r="AR4" s="4">
        <v>0.12393975091990794</v>
      </c>
      <c r="AS4" s="4">
        <v>9.7786900694608991E-2</v>
      </c>
      <c r="AT4" s="4">
        <v>0.20342337551573375</v>
      </c>
      <c r="AU4" s="4">
        <v>0.17966636736969757</v>
      </c>
      <c r="AV4" s="4"/>
      <c r="AW4" s="4"/>
      <c r="AX4" s="4"/>
      <c r="AY4" s="4"/>
      <c r="AZ4" s="4">
        <v>0.12790182073874071</v>
      </c>
      <c r="BA4" s="4">
        <v>0.1176280667744503</v>
      </c>
      <c r="BB4" s="4">
        <v>0.11470198561365523</v>
      </c>
      <c r="BC4" s="4"/>
      <c r="BD4" s="4"/>
      <c r="BE4" s="4"/>
      <c r="BF4" s="4"/>
      <c r="BG4" s="4"/>
      <c r="BH4" s="4"/>
      <c r="BI4" s="4"/>
      <c r="BJ4" s="4"/>
      <c r="BK4" s="4">
        <v>0.27306368813979426</v>
      </c>
      <c r="BL4" s="30">
        <v>118200</v>
      </c>
      <c r="BM4" s="4">
        <v>0.29316596414303275</v>
      </c>
      <c r="BN4" s="4">
        <v>0.2504429909301446</v>
      </c>
      <c r="BO4" s="4">
        <v>0.1890190737292583</v>
      </c>
      <c r="BP4" s="4">
        <v>0.29843634256717516</v>
      </c>
      <c r="BQ4" s="4">
        <v>0.39523061790142122</v>
      </c>
      <c r="BR4" s="4">
        <v>0.69907797859817544</v>
      </c>
      <c r="BS4" s="4"/>
      <c r="BT4" s="4"/>
      <c r="BU4" s="4">
        <v>0.40950581145530995</v>
      </c>
      <c r="BV4" s="4">
        <v>0.23315638841480951</v>
      </c>
      <c r="BW4" s="4">
        <v>0.23435612236774309</v>
      </c>
      <c r="BX4" s="4">
        <v>0.22070087246902717</v>
      </c>
      <c r="BY4" s="4">
        <v>0.32489231445122407</v>
      </c>
      <c r="BZ4" s="4">
        <v>0.33495797362872615</v>
      </c>
      <c r="CA4" s="4"/>
      <c r="CB4" s="4"/>
      <c r="CC4" s="4"/>
      <c r="CD4" s="4">
        <v>0.16257480301194807</v>
      </c>
      <c r="CE4" s="4">
        <v>0.32932688023315954</v>
      </c>
      <c r="CF4" s="4">
        <v>0.41168191390342168</v>
      </c>
      <c r="CG4" s="4"/>
      <c r="CH4" s="4"/>
      <c r="CI4" s="4"/>
      <c r="CJ4" s="4"/>
      <c r="CK4" s="4"/>
      <c r="CL4" s="4"/>
      <c r="CM4" s="4"/>
      <c r="CN4" s="4"/>
      <c r="CO4" s="4">
        <f t="shared" si="0"/>
        <v>0.7269000000000001</v>
      </c>
      <c r="CP4" s="30">
        <f>Manchester1[[#This Row],[Active - Numbers]]+Manchester1[[#This Row],[Fairly Active - Numbers]]</f>
        <v>314400</v>
      </c>
      <c r="CQ4" s="4">
        <f>Manchester1[[#This Row],[Male I]]-Manchester1[[#This Row],[Female I]]</f>
        <v>4.2722973212888149E-2</v>
      </c>
      <c r="CR4" s="4">
        <f>Manchester1[[#This Row],[NS SEC 1-2: Higher social groups I]]-Manchester1[[#This Row],[NS SEC 6-8: Lower social groups I]]</f>
        <v>-0.24910711089147361</v>
      </c>
      <c r="CS4" s="4">
        <f>Manchester1[[#This Row],[No LT limiting disability I]]-Manchester1[[#This Row],[LT limiting disability I]]</f>
        <v>-0.17634942304050044</v>
      </c>
      <c r="CT4" s="4">
        <f>Manchester1[[#This Row],[16-34 I]]-Manchester1[[#This Row],[75+ I]]</f>
        <v>-0.51005890486891714</v>
      </c>
      <c r="CU4" s="64"/>
      <c r="CV4" s="64"/>
      <c r="CW4" s="64"/>
      <c r="CX4" s="152">
        <v>0.12620000000000001</v>
      </c>
    </row>
    <row r="5" spans="1:102" x14ac:dyDescent="0.2">
      <c r="A5" s="4" t="s">
        <v>111</v>
      </c>
      <c r="B5" s="4" t="s">
        <v>37</v>
      </c>
      <c r="C5" s="4">
        <v>0.62180000000000002</v>
      </c>
      <c r="D5" s="30">
        <v>269000</v>
      </c>
      <c r="E5" s="4">
        <v>0.63577809674800267</v>
      </c>
      <c r="F5" s="4">
        <v>0.60618946290282183</v>
      </c>
      <c r="G5" s="4">
        <v>0.72377579528238367</v>
      </c>
      <c r="H5" s="4">
        <v>0.58074701543475449</v>
      </c>
      <c r="I5" s="4">
        <v>0.47136256429328399</v>
      </c>
      <c r="J5" s="4">
        <v>0.21403140088123374</v>
      </c>
      <c r="K5" s="4"/>
      <c r="L5" s="4"/>
      <c r="M5" s="4">
        <v>0.47006267826133191</v>
      </c>
      <c r="N5" s="4">
        <v>0.66527371004301594</v>
      </c>
      <c r="O5" s="4">
        <v>0.67010065776558292</v>
      </c>
      <c r="P5" s="4">
        <v>0.65366209861691549</v>
      </c>
      <c r="Q5" s="4">
        <v>0.53795132035148474</v>
      </c>
      <c r="R5" s="4">
        <v>0.53713667844857538</v>
      </c>
      <c r="S5" s="4"/>
      <c r="T5" s="4">
        <v>0.73294441573253266</v>
      </c>
      <c r="U5" s="4"/>
      <c r="V5" s="4">
        <v>0.70766428521915392</v>
      </c>
      <c r="W5" s="4">
        <v>0.55153951761278019</v>
      </c>
      <c r="X5" s="4">
        <v>0.50738344727700035</v>
      </c>
      <c r="Y5" s="4"/>
      <c r="Z5" s="4"/>
      <c r="AA5" s="4"/>
      <c r="AB5" s="4"/>
      <c r="AC5" s="4"/>
      <c r="AD5" s="4"/>
      <c r="AE5" s="4"/>
      <c r="AF5" s="4"/>
      <c r="AG5" s="4">
        <v>0.10100000000000001</v>
      </c>
      <c r="AH5" s="30">
        <v>43700</v>
      </c>
      <c r="AI5" s="4">
        <v>8.6053527511476366E-2</v>
      </c>
      <c r="AJ5" s="4">
        <v>0.11727429799162112</v>
      </c>
      <c r="AK5" s="4">
        <v>8.3106756964414399E-2</v>
      </c>
      <c r="AL5" s="4">
        <v>0.11403187197739588</v>
      </c>
      <c r="AM5" s="4">
        <v>0.10910901883267778</v>
      </c>
      <c r="AN5" s="4"/>
      <c r="AO5" s="4"/>
      <c r="AP5" s="4"/>
      <c r="AQ5" s="4">
        <v>0.1153489711866352</v>
      </c>
      <c r="AR5" s="4">
        <v>9.6728883662614867E-2</v>
      </c>
      <c r="AS5" s="4">
        <v>8.9599595660670078E-2</v>
      </c>
      <c r="AT5" s="4"/>
      <c r="AU5" s="4"/>
      <c r="AV5" s="4"/>
      <c r="AW5" s="4"/>
      <c r="AX5" s="4"/>
      <c r="AY5" s="4"/>
      <c r="AZ5" s="4">
        <v>0.10896177817100292</v>
      </c>
      <c r="BA5" s="4">
        <v>9.5039371077117241E-2</v>
      </c>
      <c r="BB5" s="4">
        <v>8.9996292352451199E-2</v>
      </c>
      <c r="BC5" s="4"/>
      <c r="BD5" s="4"/>
      <c r="BE5" s="4"/>
      <c r="BF5" s="4"/>
      <c r="BG5" s="4"/>
      <c r="BH5" s="4"/>
      <c r="BI5" s="4"/>
      <c r="BJ5" s="4"/>
      <c r="BK5" s="46">
        <v>0.27729999999999999</v>
      </c>
      <c r="BL5" s="30">
        <v>120000</v>
      </c>
      <c r="BM5" s="4">
        <v>0.278168375740522</v>
      </c>
      <c r="BN5" s="4">
        <v>0.27653623910555858</v>
      </c>
      <c r="BO5" s="4">
        <v>0.19311744775320172</v>
      </c>
      <c r="BP5" s="4">
        <v>0.30522111258785034</v>
      </c>
      <c r="BQ5" s="4">
        <v>0.41952841687403863</v>
      </c>
      <c r="BR5" s="4">
        <v>0.5682911433506812</v>
      </c>
      <c r="BS5" s="4"/>
      <c r="BT5" s="4"/>
      <c r="BU5" s="4">
        <v>0.41458835055203275</v>
      </c>
      <c r="BV5" s="4">
        <v>0.23799740629437005</v>
      </c>
      <c r="BW5" s="4">
        <v>0.24029974657374789</v>
      </c>
      <c r="BX5" s="4">
        <v>0.23899212035591602</v>
      </c>
      <c r="BY5" s="4">
        <v>0.34760895476205428</v>
      </c>
      <c r="BZ5" s="4">
        <v>0.3885866334860576</v>
      </c>
      <c r="CA5" s="4"/>
      <c r="CB5" s="4"/>
      <c r="CC5" s="4"/>
      <c r="CD5" s="4">
        <v>0.18337393660984258</v>
      </c>
      <c r="CE5" s="4">
        <v>0.35342111131010256</v>
      </c>
      <c r="CF5" s="4">
        <v>0.40262026037054888</v>
      </c>
      <c r="CG5" s="4"/>
      <c r="CH5" s="4"/>
      <c r="CI5" s="4"/>
      <c r="CJ5" s="4"/>
      <c r="CK5" s="4"/>
      <c r="CL5" s="4"/>
      <c r="CM5" s="4"/>
      <c r="CN5" s="4"/>
      <c r="CO5" s="4">
        <f t="shared" si="0"/>
        <v>0.7228</v>
      </c>
      <c r="CP5" s="30">
        <f>Manchester1[[#This Row],[Active - Numbers]]+Manchester1[[#This Row],[Fairly Active - Numbers]]</f>
        <v>312700</v>
      </c>
      <c r="CQ5" s="4">
        <f>Manchester1[[#This Row],[Male I]]-Manchester1[[#This Row],[Female I]]</f>
        <v>1.6321366349634214E-3</v>
      </c>
      <c r="CR5" s="4">
        <f>Manchester1[[#This Row],[NS SEC 1-2: Higher social groups I]]-Manchester1[[#This Row],[NS SEC 6-8: Lower social groups I]]</f>
        <v>-0.2192463237607063</v>
      </c>
      <c r="CS5" s="4">
        <f>Manchester1[[#This Row],[No LT limiting disability I]]-Manchester1[[#This Row],[LT limiting disability I]]</f>
        <v>-0.1765909442576627</v>
      </c>
      <c r="CT5" s="4">
        <f>Manchester1[[#This Row],[16-34 I]]-Manchester1[[#This Row],[75+ I]]</f>
        <v>-0.37517369559747948</v>
      </c>
      <c r="CU5" s="64"/>
      <c r="CV5" s="64"/>
      <c r="CW5" s="64"/>
      <c r="CX5" s="154">
        <v>0.1119</v>
      </c>
    </row>
    <row r="6" spans="1:102" x14ac:dyDescent="0.2">
      <c r="A6" s="4" t="s">
        <v>111</v>
      </c>
      <c r="B6" s="4" t="s">
        <v>38</v>
      </c>
      <c r="C6" s="4">
        <v>0.6555047329795527</v>
      </c>
      <c r="D6" s="30">
        <v>285400</v>
      </c>
      <c r="E6" s="4">
        <v>0.6970436613499984</v>
      </c>
      <c r="F6" s="4">
        <v>0.61574757439351668</v>
      </c>
      <c r="G6" s="4">
        <v>0.75252849264726973</v>
      </c>
      <c r="H6" s="4">
        <v>0.59480524340688756</v>
      </c>
      <c r="I6" s="4">
        <v>0.51599314712741229</v>
      </c>
      <c r="J6" s="4"/>
      <c r="K6" s="4"/>
      <c r="L6" s="4"/>
      <c r="M6" s="4">
        <v>0.45943006176737433</v>
      </c>
      <c r="N6" s="4">
        <v>0.69872179938164269</v>
      </c>
      <c r="O6" s="4">
        <v>0.68569546665430925</v>
      </c>
      <c r="P6" s="4">
        <v>0.67431743790743925</v>
      </c>
      <c r="Q6" s="4">
        <v>0.60060091201865684</v>
      </c>
      <c r="R6" s="4">
        <v>0.55127300474516705</v>
      </c>
      <c r="S6" s="4"/>
      <c r="T6" s="4"/>
      <c r="U6" s="4"/>
      <c r="V6" s="4">
        <v>0.69739110045831598</v>
      </c>
      <c r="W6" s="4">
        <v>0.59489715109069641</v>
      </c>
      <c r="X6" s="4">
        <v>0.53017035036558546</v>
      </c>
      <c r="Y6" s="4"/>
      <c r="Z6" s="4"/>
      <c r="AA6" s="4"/>
      <c r="AB6" s="4"/>
      <c r="AC6" s="4"/>
      <c r="AD6" s="4"/>
      <c r="AE6" s="4"/>
      <c r="AF6" s="4"/>
      <c r="AG6" s="4">
        <v>0.1060017492995456</v>
      </c>
      <c r="AH6" s="30">
        <v>46100</v>
      </c>
      <c r="AI6" s="4">
        <v>9.419945631510114E-2</v>
      </c>
      <c r="AJ6" s="4">
        <v>0.117303412858318</v>
      </c>
      <c r="AK6" s="4">
        <v>9.4385894761126327E-2</v>
      </c>
      <c r="AL6" s="4">
        <v>0.11619118190418465</v>
      </c>
      <c r="AM6" s="4">
        <v>0.11800311744805309</v>
      </c>
      <c r="AN6" s="4"/>
      <c r="AO6" s="4"/>
      <c r="AP6" s="4"/>
      <c r="AQ6" s="4">
        <v>0.13900845336717671</v>
      </c>
      <c r="AR6" s="4">
        <v>9.9213889456464505E-2</v>
      </c>
      <c r="AS6" s="4">
        <v>0.10618768792350629</v>
      </c>
      <c r="AT6" s="4"/>
      <c r="AU6" s="4"/>
      <c r="AV6" s="4"/>
      <c r="AW6" s="4"/>
      <c r="AX6" s="4"/>
      <c r="AY6" s="4"/>
      <c r="AZ6" s="4">
        <v>0.13476503009546487</v>
      </c>
      <c r="BA6" s="4">
        <v>0.10221185539285091</v>
      </c>
      <c r="BB6" s="4">
        <v>9.581498518119938E-2</v>
      </c>
      <c r="BC6" s="4"/>
      <c r="BD6" s="4"/>
      <c r="BE6" s="4"/>
      <c r="BF6" s="4"/>
      <c r="BG6" s="4"/>
      <c r="BH6" s="4"/>
      <c r="BI6" s="4"/>
      <c r="BJ6" s="4"/>
      <c r="BK6" s="4">
        <v>0.23849351772090321</v>
      </c>
      <c r="BL6" s="30">
        <v>103800</v>
      </c>
      <c r="BM6" s="4">
        <v>0.20875688233489961</v>
      </c>
      <c r="BN6" s="4">
        <v>0.26694901274816196</v>
      </c>
      <c r="BO6" s="4">
        <v>0.15308561259160264</v>
      </c>
      <c r="BP6" s="4">
        <v>0.28900357468892829</v>
      </c>
      <c r="BQ6" s="4">
        <v>0.36600373542453452</v>
      </c>
      <c r="BR6" s="4">
        <v>0.56266382071105525</v>
      </c>
      <c r="BS6" s="4"/>
      <c r="BT6" s="4"/>
      <c r="BU6" s="4">
        <v>0.40156148486544835</v>
      </c>
      <c r="BV6" s="4">
        <v>0.20206431116189305</v>
      </c>
      <c r="BW6" s="4">
        <v>0.20811684542218228</v>
      </c>
      <c r="BX6" s="4">
        <v>0.20363335217200962</v>
      </c>
      <c r="BY6" s="4">
        <v>0.31370328315255369</v>
      </c>
      <c r="BZ6" s="4">
        <v>0.30871541363585764</v>
      </c>
      <c r="CA6" s="4"/>
      <c r="CB6" s="4"/>
      <c r="CC6" s="4"/>
      <c r="CD6" s="4">
        <v>0.16784386944621854</v>
      </c>
      <c r="CE6" s="4">
        <v>0.30289099351645254</v>
      </c>
      <c r="CF6" s="4">
        <v>0.3740146644532153</v>
      </c>
      <c r="CG6" s="4"/>
      <c r="CH6" s="4"/>
      <c r="CI6" s="4"/>
      <c r="CJ6" s="4"/>
      <c r="CK6" s="4"/>
      <c r="CL6" s="4"/>
      <c r="CM6" s="4"/>
      <c r="CN6" s="4"/>
      <c r="CO6" s="4">
        <f t="shared" si="0"/>
        <v>0.76150648227909834</v>
      </c>
      <c r="CP6" s="30">
        <f>Manchester1[[#This Row],[Active - Numbers]]+Manchester1[[#This Row],[Fairly Active - Numbers]]</f>
        <v>331500</v>
      </c>
      <c r="CQ6" s="4">
        <f>Manchester1[[#This Row],[Male I]]-Manchester1[[#This Row],[Female I]]</f>
        <v>-5.819213041326235E-2</v>
      </c>
      <c r="CR6" s="4">
        <f>Manchester1[[#This Row],[NS SEC 1-2: Higher social groups I]]-Manchester1[[#This Row],[NS SEC 6-8: Lower social groups I]]</f>
        <v>-0.20617079500699675</v>
      </c>
      <c r="CS6" s="4">
        <f>Manchester1[[#This Row],[No LT limiting disability I]]-Manchester1[[#This Row],[LT limiting disability I]]</f>
        <v>-0.1994971737035553</v>
      </c>
      <c r="CT6" s="4">
        <f>Manchester1[[#This Row],[16-34 I]]-Manchester1[[#This Row],[75+ I]]</f>
        <v>-0.40957820811945261</v>
      </c>
      <c r="CU6" s="64"/>
      <c r="CV6" s="64"/>
      <c r="CW6" s="64"/>
      <c r="CX6" s="152">
        <v>0.1208</v>
      </c>
    </row>
    <row r="7" spans="1:102" x14ac:dyDescent="0.2">
      <c r="A7" s="4" t="s">
        <v>111</v>
      </c>
      <c r="B7" s="4" t="s">
        <v>39</v>
      </c>
      <c r="C7" s="45">
        <v>0.66220000000000001</v>
      </c>
      <c r="D7" s="30">
        <v>288300</v>
      </c>
      <c r="E7" s="4">
        <v>0.69854528278676586</v>
      </c>
      <c r="F7" s="4">
        <v>0.62039459394112006</v>
      </c>
      <c r="G7" s="4">
        <v>0.74906919307887787</v>
      </c>
      <c r="H7" s="4">
        <v>0.62195401009910578</v>
      </c>
      <c r="I7" s="4">
        <v>0.49846837490255952</v>
      </c>
      <c r="J7" s="4">
        <v>0.37775857532209128</v>
      </c>
      <c r="K7" s="4">
        <v>0.7021481540326604</v>
      </c>
      <c r="L7" s="4">
        <v>0.47512350267130371</v>
      </c>
      <c r="M7" s="4">
        <v>0.49858655350061359</v>
      </c>
      <c r="N7" s="4">
        <v>0.70016055740161931</v>
      </c>
      <c r="O7" s="4">
        <v>0.71753888758124051</v>
      </c>
      <c r="P7" s="4">
        <v>0.67062323180693695</v>
      </c>
      <c r="Q7" s="4">
        <v>0.53576333888566019</v>
      </c>
      <c r="R7" s="4">
        <v>0.55489584275389736</v>
      </c>
      <c r="S7" s="4"/>
      <c r="T7" s="4">
        <v>0.66805155071332967</v>
      </c>
      <c r="U7" s="4"/>
      <c r="V7" s="4">
        <v>0.71768341971621263</v>
      </c>
      <c r="W7" s="4">
        <v>0.61453575881274791</v>
      </c>
      <c r="X7" s="4">
        <v>0.4815480576525743</v>
      </c>
      <c r="Y7" s="4">
        <v>0.80122860690404563</v>
      </c>
      <c r="Z7" s="4"/>
      <c r="AA7" s="4"/>
      <c r="AB7" s="4"/>
      <c r="AC7" s="4"/>
      <c r="AD7" s="4"/>
      <c r="AE7" s="4"/>
      <c r="AF7" s="4"/>
      <c r="AG7" s="4">
        <v>0.1027195262577166</v>
      </c>
      <c r="AH7" s="30">
        <v>44700</v>
      </c>
      <c r="AI7" s="4">
        <v>9.636826401401935E-2</v>
      </c>
      <c r="AJ7" s="4">
        <v>0.10921540179571573</v>
      </c>
      <c r="AK7" s="4">
        <v>9.9751861237502001E-2</v>
      </c>
      <c r="AL7" s="4">
        <v>0.10728562636671313</v>
      </c>
      <c r="AM7" s="4">
        <v>0.11398133372381017</v>
      </c>
      <c r="AN7" s="4"/>
      <c r="AO7" s="4">
        <v>0.1025327413771235</v>
      </c>
      <c r="AP7" s="4">
        <v>0.10504201484781578</v>
      </c>
      <c r="AQ7" s="4">
        <v>0.10973144943379493</v>
      </c>
      <c r="AR7" s="4">
        <v>9.9745065649813044E-2</v>
      </c>
      <c r="AS7" s="4">
        <v>9.3272326228512878E-2</v>
      </c>
      <c r="AT7" s="4"/>
      <c r="AU7" s="4"/>
      <c r="AV7" s="4"/>
      <c r="AW7" s="4"/>
      <c r="AX7" s="4"/>
      <c r="AY7" s="4"/>
      <c r="AZ7" s="4">
        <v>0.1349320777097095</v>
      </c>
      <c r="BA7" s="4">
        <v>0.10262869227837362</v>
      </c>
      <c r="BB7" s="4">
        <v>9.8091683317664644E-2</v>
      </c>
      <c r="BC7" s="4"/>
      <c r="BD7" s="4"/>
      <c r="BE7" s="4"/>
      <c r="BF7" s="4"/>
      <c r="BG7" s="4"/>
      <c r="BH7" s="4"/>
      <c r="BI7" s="4"/>
      <c r="BJ7" s="4"/>
      <c r="BK7" s="45">
        <v>0.2351</v>
      </c>
      <c r="BL7" s="30">
        <v>102400</v>
      </c>
      <c r="BM7" s="4">
        <v>0.20508645319921404</v>
      </c>
      <c r="BN7" s="4">
        <v>0.27039000426316351</v>
      </c>
      <c r="BO7" s="4">
        <v>0.15117894568361895</v>
      </c>
      <c r="BP7" s="4">
        <v>0.27076036353418098</v>
      </c>
      <c r="BQ7" s="4">
        <v>0.38755029137362923</v>
      </c>
      <c r="BR7" s="4">
        <v>0.55448280655596227</v>
      </c>
      <c r="BS7" s="4">
        <v>0.19531910459021848</v>
      </c>
      <c r="BT7" s="4">
        <v>0.41983448248087996</v>
      </c>
      <c r="BU7" s="4">
        <v>0.39168199706559065</v>
      </c>
      <c r="BV7" s="4">
        <v>0.20009437694856877</v>
      </c>
      <c r="BW7" s="4">
        <v>0.18918878619024657</v>
      </c>
      <c r="BX7" s="4">
        <v>0.23484915230673944</v>
      </c>
      <c r="BY7" s="4">
        <v>0.33987458575029916</v>
      </c>
      <c r="BZ7" s="4">
        <v>0.30559070796281435</v>
      </c>
      <c r="CA7" s="4"/>
      <c r="CB7" s="4"/>
      <c r="CC7" s="4"/>
      <c r="CD7" s="4">
        <v>0.14738450257407718</v>
      </c>
      <c r="CE7" s="4">
        <v>0.28283554890887797</v>
      </c>
      <c r="CF7" s="4">
        <v>0.42036025902976093</v>
      </c>
      <c r="CG7" s="4">
        <v>0.12653698108748018</v>
      </c>
      <c r="CH7" s="4"/>
      <c r="CI7" s="4"/>
      <c r="CJ7" s="4"/>
      <c r="CK7" s="4"/>
      <c r="CL7" s="4"/>
      <c r="CM7" s="4"/>
      <c r="CN7" s="4"/>
      <c r="CO7" s="4">
        <f t="shared" si="0"/>
        <v>0.76491952625771664</v>
      </c>
      <c r="CP7" s="30">
        <f>Manchester1[[#This Row],[Active - Numbers]]+Manchester1[[#This Row],[Fairly Active - Numbers]]</f>
        <v>333000</v>
      </c>
      <c r="CQ7" s="4">
        <f>Manchester1[[#This Row],[Male I]]-Manchester1[[#This Row],[Female I]]</f>
        <v>-6.5303551063949472E-2</v>
      </c>
      <c r="CR7" s="4">
        <f>Manchester1[[#This Row],[NS SEC 1-2: Higher social groups I]]-Manchester1[[#This Row],[NS SEC 6-8: Lower social groups I]]</f>
        <v>-0.27297575645568373</v>
      </c>
      <c r="CS7" s="4">
        <f>Manchester1[[#This Row],[No LT limiting disability I]]-Manchester1[[#This Row],[LT limiting disability I]]</f>
        <v>-0.19158762011702188</v>
      </c>
      <c r="CT7" s="4">
        <f>Manchester1[[#This Row],[16-34 I]]-Manchester1[[#This Row],[75+ I]]</f>
        <v>-0.40330386087234332</v>
      </c>
      <c r="CU7" s="46">
        <v>0.31744591520552484</v>
      </c>
      <c r="CV7" s="46">
        <v>0.38679114762304878</v>
      </c>
      <c r="CW7" s="46">
        <v>0.58140399021084033</v>
      </c>
      <c r="CX7" s="152">
        <v>0.1065</v>
      </c>
    </row>
    <row r="8" spans="1:102" x14ac:dyDescent="0.2">
      <c r="A8" s="4" t="s">
        <v>111</v>
      </c>
      <c r="B8" s="4" t="s">
        <v>40</v>
      </c>
      <c r="C8" s="4">
        <v>0.63500000000000001</v>
      </c>
      <c r="D8" s="30">
        <v>277200</v>
      </c>
      <c r="E8" s="4">
        <v>0.66849999999999998</v>
      </c>
      <c r="F8" s="4">
        <v>0.60350000000000004</v>
      </c>
      <c r="G8" s="4">
        <v>0.70799999999999996</v>
      </c>
      <c r="H8" s="4">
        <v>0.63690000000000002</v>
      </c>
      <c r="I8" s="4">
        <v>0.46300000000000002</v>
      </c>
      <c r="J8" s="4">
        <v>0.38129999999999997</v>
      </c>
      <c r="K8" s="4">
        <v>0.68069999999999997</v>
      </c>
      <c r="L8" s="4">
        <v>0.44800000000000001</v>
      </c>
      <c r="M8" s="4">
        <v>0.4607</v>
      </c>
      <c r="N8" s="4">
        <v>0.67949999999999999</v>
      </c>
      <c r="O8" s="4">
        <v>0.70660000000000001</v>
      </c>
      <c r="P8" s="4">
        <v>0.68520000000000003</v>
      </c>
      <c r="Q8" s="4">
        <v>0.46060000000000001</v>
      </c>
      <c r="R8" s="4">
        <v>0.50109999999999999</v>
      </c>
      <c r="S8" s="4"/>
      <c r="T8" s="4">
        <v>0.66420000000000001</v>
      </c>
      <c r="U8" s="4"/>
      <c r="V8" s="4">
        <v>0.72570000000000001</v>
      </c>
      <c r="W8" s="4">
        <v>0.59709999999999996</v>
      </c>
      <c r="X8" s="4">
        <v>0.5</v>
      </c>
      <c r="Y8" s="4">
        <v>0.69410000000000005</v>
      </c>
      <c r="Z8" s="4">
        <v>0.67369999999999997</v>
      </c>
      <c r="AA8" s="4">
        <v>0.59840000000000004</v>
      </c>
      <c r="AB8" s="4">
        <v>0.49719999999999998</v>
      </c>
      <c r="AC8" s="4">
        <v>0.47460000000000002</v>
      </c>
      <c r="AD8" s="4"/>
      <c r="AE8" s="4">
        <v>0.72250000000000003</v>
      </c>
      <c r="AF8" s="4">
        <v>0.47820000000000001</v>
      </c>
      <c r="AG8" s="4">
        <v>0.111</v>
      </c>
      <c r="AH8" s="30">
        <v>48500</v>
      </c>
      <c r="AI8" s="4">
        <v>9.4100000000000003E-2</v>
      </c>
      <c r="AJ8" s="4">
        <v>0.127</v>
      </c>
      <c r="AK8" s="4">
        <v>0.10299999999999999</v>
      </c>
      <c r="AL8" s="4">
        <v>0.1084</v>
      </c>
      <c r="AM8" s="4">
        <v>0.14000000000000001</v>
      </c>
      <c r="AN8" s="4"/>
      <c r="AO8" s="4">
        <v>0.105</v>
      </c>
      <c r="AP8" s="4">
        <v>0.1399</v>
      </c>
      <c r="AQ8" s="4">
        <v>0.1159</v>
      </c>
      <c r="AR8" s="4">
        <v>0.11</v>
      </c>
      <c r="AS8" s="4">
        <v>9.7900000000000001E-2</v>
      </c>
      <c r="AT8" s="4"/>
      <c r="AU8" s="4"/>
      <c r="AV8" s="4"/>
      <c r="AW8" s="4"/>
      <c r="AX8" s="4"/>
      <c r="AY8" s="4"/>
      <c r="AZ8" s="4">
        <v>0.1152</v>
      </c>
      <c r="BA8" s="4">
        <v>0.10150000000000001</v>
      </c>
      <c r="BB8" s="4">
        <v>0.1182</v>
      </c>
      <c r="BC8" s="4"/>
      <c r="BD8" s="4">
        <v>0.1087</v>
      </c>
      <c r="BE8" s="4"/>
      <c r="BF8" s="4">
        <v>0.1326</v>
      </c>
      <c r="BG8" s="4"/>
      <c r="BH8" s="4"/>
      <c r="BI8" s="4"/>
      <c r="BJ8" s="4"/>
      <c r="BK8" s="4">
        <v>0.254</v>
      </c>
      <c r="BL8" s="30">
        <v>110800</v>
      </c>
      <c r="BM8" s="4">
        <v>0.2374</v>
      </c>
      <c r="BN8" s="4">
        <v>0.26950000000000002</v>
      </c>
      <c r="BO8" s="4">
        <v>0.189</v>
      </c>
      <c r="BP8" s="4">
        <v>0.25480000000000003</v>
      </c>
      <c r="BQ8" s="4">
        <v>0.39700000000000002</v>
      </c>
      <c r="BR8" s="4">
        <v>0.47920000000000001</v>
      </c>
      <c r="BS8" s="4">
        <v>0.21429999999999999</v>
      </c>
      <c r="BT8" s="4">
        <v>0.41210000000000002</v>
      </c>
      <c r="BU8" s="4">
        <v>0.4234</v>
      </c>
      <c r="BV8" s="4">
        <v>0.21049999999999999</v>
      </c>
      <c r="BW8" s="4">
        <v>0.19550000000000001</v>
      </c>
      <c r="BX8" s="4">
        <v>0.24</v>
      </c>
      <c r="BY8" s="4">
        <v>0.39389999999999997</v>
      </c>
      <c r="BZ8" s="4">
        <v>0.36120000000000002</v>
      </c>
      <c r="CA8" s="4"/>
      <c r="CB8" s="4"/>
      <c r="CC8" s="4"/>
      <c r="CD8" s="4">
        <v>0.15909999999999999</v>
      </c>
      <c r="CE8" s="4">
        <v>0.3014</v>
      </c>
      <c r="CF8" s="4">
        <v>0.38179999999999997</v>
      </c>
      <c r="CG8" s="4">
        <v>0.20100000000000001</v>
      </c>
      <c r="CH8" s="4">
        <v>0.21759999999999999</v>
      </c>
      <c r="CI8" s="4"/>
      <c r="CJ8" s="4">
        <v>0.37030000000000002</v>
      </c>
      <c r="CK8" s="4"/>
      <c r="CL8" s="4">
        <v>0.56940000000000002</v>
      </c>
      <c r="CM8" s="4">
        <v>0.1726</v>
      </c>
      <c r="CN8" s="4"/>
      <c r="CO8" s="4">
        <f t="shared" si="0"/>
        <v>0.746</v>
      </c>
      <c r="CP8" s="30">
        <f>Manchester1[[#This Row],[Active - Numbers]]+Manchester1[[#This Row],[Fairly Active - Numbers]]</f>
        <v>325700</v>
      </c>
      <c r="CQ8" s="4">
        <f>Manchester1[[#This Row],[Male I]]-Manchester1[[#This Row],[Female I]]</f>
        <v>-3.2100000000000017E-2</v>
      </c>
      <c r="CR8" s="4">
        <f>Manchester1[[#This Row],[NS SEC 1-2: Higher social groups I]]-Manchester1[[#This Row],[NS SEC 6-8: Lower social groups I]]</f>
        <v>-0.22269999999999998</v>
      </c>
      <c r="CS8" s="4">
        <f>Manchester1[[#This Row],[No LT limiting disability I]]-Manchester1[[#This Row],[LT limiting disability I]]</f>
        <v>-0.21290000000000001</v>
      </c>
      <c r="CT8" s="4">
        <f>Manchester1[[#This Row],[16-34 I]]-Manchester1[[#This Row],[75+ I]]</f>
        <v>-0.29020000000000001</v>
      </c>
      <c r="CU8" s="46">
        <v>0.32869999999999999</v>
      </c>
      <c r="CV8" s="46">
        <v>0.3846</v>
      </c>
      <c r="CW8" s="46">
        <v>0.57169999999999999</v>
      </c>
      <c r="CX8" s="152">
        <v>0.10150000000000001</v>
      </c>
    </row>
    <row r="9" spans="1:102" x14ac:dyDescent="0.2">
      <c r="A9" s="4" t="s">
        <v>111</v>
      </c>
      <c r="B9" s="4" t="s">
        <v>41</v>
      </c>
      <c r="C9" s="4">
        <v>0.64800000000000002</v>
      </c>
      <c r="D9" s="30">
        <v>282900</v>
      </c>
      <c r="E9" s="4">
        <v>0.67384100351190923</v>
      </c>
      <c r="F9" s="4">
        <v>0.62465599617901268</v>
      </c>
      <c r="G9" s="4">
        <v>0.7228648860552298</v>
      </c>
      <c r="H9" s="4">
        <v>0.58294685637941157</v>
      </c>
      <c r="I9" s="4">
        <v>0.57673377087749533</v>
      </c>
      <c r="J9" s="4">
        <v>0.39945892916276532</v>
      </c>
      <c r="K9" s="4">
        <v>0.67381002073738483</v>
      </c>
      <c r="L9" s="4">
        <v>0.54327251700672774</v>
      </c>
      <c r="M9" s="4">
        <v>0.51760727558219821</v>
      </c>
      <c r="N9" s="4">
        <v>0.67963198238899536</v>
      </c>
      <c r="O9" s="4">
        <v>0.71014071214120345</v>
      </c>
      <c r="P9" s="4">
        <v>0.73241968258941204</v>
      </c>
      <c r="Q9" s="4">
        <v>0.49796962599643391</v>
      </c>
      <c r="R9" s="4">
        <v>0.47142745921841522</v>
      </c>
      <c r="S9" s="4"/>
      <c r="T9" s="4"/>
      <c r="U9" s="4"/>
      <c r="V9" s="4">
        <v>0.72370628349568977</v>
      </c>
      <c r="W9" s="4">
        <v>0.5986735175697997</v>
      </c>
      <c r="X9" s="4">
        <v>0.54461119182913886</v>
      </c>
      <c r="Y9" s="4">
        <v>0.69867643274283053</v>
      </c>
      <c r="Z9" s="4">
        <v>0.67975535166971979</v>
      </c>
      <c r="AA9" s="4">
        <v>0.6432329996878533</v>
      </c>
      <c r="AB9" s="4">
        <v>0.53380437480615173</v>
      </c>
      <c r="AC9" s="4"/>
      <c r="AD9" s="4"/>
      <c r="AE9" s="4">
        <v>0.72413520240632134</v>
      </c>
      <c r="AF9" s="4"/>
      <c r="AG9" s="4">
        <v>0.1</v>
      </c>
      <c r="AH9" s="30">
        <v>43800</v>
      </c>
      <c r="AI9" s="4">
        <v>8.2507078282313268E-2</v>
      </c>
      <c r="AJ9" s="4">
        <v>0.11831330112145544</v>
      </c>
      <c r="AK9" s="4">
        <v>8.1326538065405227E-2</v>
      </c>
      <c r="AL9" s="4">
        <v>0.12624066090898975</v>
      </c>
      <c r="AM9" s="4">
        <v>0.12139164656587247</v>
      </c>
      <c r="AN9" s="4">
        <v>9.5546490210222504E-2</v>
      </c>
      <c r="AO9" s="4">
        <v>9.7073302453568142E-2</v>
      </c>
      <c r="AP9" s="4">
        <v>0.11651328182002912</v>
      </c>
      <c r="AQ9" s="4">
        <v>8.3044398036437983E-2</v>
      </c>
      <c r="AR9" s="4">
        <v>0.10398769703874461</v>
      </c>
      <c r="AS9" s="4">
        <v>9.3637295927264427E-2</v>
      </c>
      <c r="AT9" s="4"/>
      <c r="AU9" s="4"/>
      <c r="AV9" s="4"/>
      <c r="AW9" s="4"/>
      <c r="AX9" s="4"/>
      <c r="AY9" s="4"/>
      <c r="AZ9" s="4">
        <v>9.4443719315575561E-2</v>
      </c>
      <c r="BA9" s="4">
        <v>0.10386202325114283</v>
      </c>
      <c r="BB9" s="4"/>
      <c r="BC9" s="4">
        <v>9.1063969527283961E-2</v>
      </c>
      <c r="BD9" s="4">
        <v>9.5809085335015767E-2</v>
      </c>
      <c r="BE9" s="4">
        <v>9.9080732489451651E-2</v>
      </c>
      <c r="BF9" s="4"/>
      <c r="BG9" s="4"/>
      <c r="BH9" s="4"/>
      <c r="BI9" s="4"/>
      <c r="BJ9" s="4"/>
      <c r="BK9" s="4">
        <v>0.252</v>
      </c>
      <c r="BL9" s="30">
        <v>109800</v>
      </c>
      <c r="BM9" s="4">
        <v>0.24365191820577667</v>
      </c>
      <c r="BN9" s="4">
        <v>0.25703070269953199</v>
      </c>
      <c r="BO9" s="4">
        <v>0.1958085758793649</v>
      </c>
      <c r="BP9" s="4">
        <v>0.2908124827115996</v>
      </c>
      <c r="BQ9" s="4">
        <v>0.30187458255663169</v>
      </c>
      <c r="BR9" s="4">
        <v>0.50499458062701164</v>
      </c>
      <c r="BS9" s="4">
        <v>0.22911667680904557</v>
      </c>
      <c r="BT9" s="4">
        <v>0.34021420117324375</v>
      </c>
      <c r="BU9" s="4">
        <v>0.39934832638136269</v>
      </c>
      <c r="BV9" s="4">
        <v>0.21638032057225737</v>
      </c>
      <c r="BW9" s="4">
        <v>0.19622199193153184</v>
      </c>
      <c r="BX9" s="4">
        <v>0.18979984474177516</v>
      </c>
      <c r="BY9" s="4">
        <v>0.37059614575943561</v>
      </c>
      <c r="BZ9" s="4">
        <v>0.42692863171978002</v>
      </c>
      <c r="CA9" s="4"/>
      <c r="CB9" s="4"/>
      <c r="CC9" s="4"/>
      <c r="CD9" s="4">
        <v>0.18184999718873518</v>
      </c>
      <c r="CE9" s="4">
        <v>0.29746445917905623</v>
      </c>
      <c r="CF9" s="4">
        <v>0.33179596788949006</v>
      </c>
      <c r="CG9" s="4">
        <v>0.21025959772988589</v>
      </c>
      <c r="CH9" s="4">
        <v>0.22443556299526379</v>
      </c>
      <c r="CI9" s="4">
        <v>0.25768626782269477</v>
      </c>
      <c r="CJ9" s="4">
        <v>0.36234636192273501</v>
      </c>
      <c r="CK9" s="4">
        <v>0.44752155940098204</v>
      </c>
      <c r="CL9" s="4">
        <v>0.53466420434065154</v>
      </c>
      <c r="CM9" s="4">
        <v>0.18534648900967826</v>
      </c>
      <c r="CN9" s="4"/>
      <c r="CO9" s="4">
        <f t="shared" si="0"/>
        <v>0.748</v>
      </c>
      <c r="CP9" s="30">
        <f>Manchester1[[#This Row],[Active - Numbers]]+Manchester1[[#This Row],[Fairly Active - Numbers]]</f>
        <v>326700</v>
      </c>
      <c r="CQ9" s="4">
        <f>Manchester1[[#This Row],[Male I]]-Manchester1[[#This Row],[Female I]]</f>
        <v>-1.3378784493755319E-2</v>
      </c>
      <c r="CR9" s="4">
        <f>Manchester1[[#This Row],[NS SEC 1-2: Higher social groups I]]-Manchester1[[#This Row],[NS SEC 6-8: Lower social groups I]]</f>
        <v>-0.14994597070075488</v>
      </c>
      <c r="CS9" s="4">
        <f>Manchester1[[#This Row],[No LT limiting disability I]]-Manchester1[[#This Row],[LT limiting disability I]]</f>
        <v>-0.18296800580910533</v>
      </c>
      <c r="CT9" s="4">
        <f>Manchester1[[#This Row],[16-34 I]]-Manchester1[[#This Row],[75+ I]]</f>
        <v>-0.30918600474764674</v>
      </c>
      <c r="CU9" s="46">
        <v>0.31816452406635892</v>
      </c>
      <c r="CV9" s="46">
        <v>0.37266899680383503</v>
      </c>
      <c r="CW9" s="46">
        <v>0.54982335766012846</v>
      </c>
      <c r="CX9" s="152">
        <v>0.1133</v>
      </c>
    </row>
    <row r="10" spans="1:102" s="29" customFormat="1" x14ac:dyDescent="0.2">
      <c r="A10" s="156" t="s">
        <v>111</v>
      </c>
      <c r="B10" s="156" t="s">
        <v>155</v>
      </c>
      <c r="C10" s="155">
        <v>0.63400000000000001</v>
      </c>
      <c r="D10" s="30">
        <v>279700</v>
      </c>
      <c r="E10" s="170">
        <v>0.66167102217690887</v>
      </c>
      <c r="F10" s="170">
        <v>0.60406612858299658</v>
      </c>
      <c r="G10" s="170">
        <v>0.7003591672299565</v>
      </c>
      <c r="H10" s="170">
        <v>0.56487888425151456</v>
      </c>
      <c r="I10" s="170">
        <v>0.60536441857073242</v>
      </c>
      <c r="J10" s="170">
        <v>0.39208762274070075</v>
      </c>
      <c r="K10" s="170">
        <v>0.65104517680856844</v>
      </c>
      <c r="L10" s="170">
        <v>0.56237684561644519</v>
      </c>
      <c r="M10" s="170">
        <v>0.52211293415676563</v>
      </c>
      <c r="N10" s="170">
        <v>0.6634685906002763</v>
      </c>
      <c r="O10" s="170">
        <v>0.69538789352289176</v>
      </c>
      <c r="P10" s="170">
        <v>0.70804359559616015</v>
      </c>
      <c r="Q10" s="170">
        <v>0.54949259442555287</v>
      </c>
      <c r="R10" s="170">
        <v>0.40520215198963561</v>
      </c>
      <c r="S10" s="46"/>
      <c r="T10" s="170">
        <v>0.6615271878590403</v>
      </c>
      <c r="U10" s="46"/>
      <c r="V10" s="170">
        <v>0.73317120415716419</v>
      </c>
      <c r="W10" s="170">
        <v>0.57366674530691009</v>
      </c>
      <c r="X10" s="170">
        <v>0.51060223010529782</v>
      </c>
      <c r="Y10" s="170">
        <v>0.67735696919948341</v>
      </c>
      <c r="Z10" s="170">
        <v>0.66377945270347138</v>
      </c>
      <c r="AA10" s="170">
        <v>0.55263934083035715</v>
      </c>
      <c r="AB10" s="170">
        <v>0.55602121937596405</v>
      </c>
      <c r="AC10" s="46"/>
      <c r="AD10" s="46"/>
      <c r="AE10" s="170">
        <v>0.72048487702174446</v>
      </c>
      <c r="AF10" s="46"/>
      <c r="AG10" s="155">
        <v>9.1800000000000007E-2</v>
      </c>
      <c r="AH10" s="30">
        <v>40500</v>
      </c>
      <c r="AI10" s="170">
        <v>7.4923335500889504E-2</v>
      </c>
      <c r="AJ10" s="170">
        <v>0.11242825063573904</v>
      </c>
      <c r="AK10" s="170">
        <v>7.8498741998259305E-2</v>
      </c>
      <c r="AL10" s="170">
        <v>0.12219344079039128</v>
      </c>
      <c r="AM10" s="170">
        <v>8.7179112818794688E-2</v>
      </c>
      <c r="AN10" s="46"/>
      <c r="AO10" s="170">
        <v>9.4403343836471545E-2</v>
      </c>
      <c r="AP10" s="170">
        <v>8.1786878357413856E-2</v>
      </c>
      <c r="AQ10" s="46"/>
      <c r="AR10" s="170">
        <v>9.6804356365425517E-2</v>
      </c>
      <c r="AS10" s="170">
        <v>8.4666449412285696E-2</v>
      </c>
      <c r="AT10" s="46"/>
      <c r="AU10" s="170">
        <v>0.1260281635315377</v>
      </c>
      <c r="AV10" s="46"/>
      <c r="AW10" s="46"/>
      <c r="AX10" s="46"/>
      <c r="AY10" s="46"/>
      <c r="AZ10" s="170">
        <v>9.2706643396731306E-2</v>
      </c>
      <c r="BA10" s="170">
        <v>0.13148923780303062</v>
      </c>
      <c r="BB10" s="46"/>
      <c r="BC10" s="46"/>
      <c r="BD10" s="170">
        <v>0.10510915428102162</v>
      </c>
      <c r="BE10" s="46"/>
      <c r="BF10" s="46"/>
      <c r="BG10" s="46"/>
      <c r="BH10" s="46"/>
      <c r="BI10" s="46"/>
      <c r="BJ10" s="46"/>
      <c r="BK10" s="155">
        <v>0.2742</v>
      </c>
      <c r="BL10" s="30">
        <v>121000</v>
      </c>
      <c r="BM10" s="170">
        <v>0.26340564232220232</v>
      </c>
      <c r="BN10" s="170">
        <v>0.28350562078126523</v>
      </c>
      <c r="BO10" s="170">
        <v>0.22114209077178482</v>
      </c>
      <c r="BP10" s="170">
        <v>0.31292767495809543</v>
      </c>
      <c r="BQ10" s="170">
        <v>0.30745646861047293</v>
      </c>
      <c r="BR10" s="170">
        <v>0.54748607715478703</v>
      </c>
      <c r="BS10" s="170">
        <v>0.25455147935495603</v>
      </c>
      <c r="BT10" s="170">
        <v>0.35583627602614326</v>
      </c>
      <c r="BU10" s="170">
        <v>0.40996004657537688</v>
      </c>
      <c r="BV10" s="170">
        <v>0.23972705303429265</v>
      </c>
      <c r="BW10" s="170">
        <v>0.2199456570648223</v>
      </c>
      <c r="BX10" s="170">
        <v>0.21318744955173369</v>
      </c>
      <c r="BY10" s="170">
        <v>0.32447924204291018</v>
      </c>
      <c r="BZ10" s="170">
        <v>0.50741001463890467</v>
      </c>
      <c r="CA10" s="46"/>
      <c r="CB10" s="46"/>
      <c r="CC10" s="46"/>
      <c r="CD10" s="170">
        <v>0.17412215244610596</v>
      </c>
      <c r="CE10" s="170">
        <v>0.29484401689006029</v>
      </c>
      <c r="CF10" s="170">
        <v>0.3869725342077619</v>
      </c>
      <c r="CG10" s="170">
        <v>0.26429215761011177</v>
      </c>
      <c r="CH10" s="170">
        <v>0.23111139301550782</v>
      </c>
      <c r="CI10" s="170">
        <v>0.360401591586959</v>
      </c>
      <c r="CJ10" s="170">
        <v>0.36586070778005397</v>
      </c>
      <c r="CK10" s="46"/>
      <c r="CL10" s="170">
        <v>0.57983270340549264</v>
      </c>
      <c r="CM10" s="170">
        <v>0.22627176563726958</v>
      </c>
      <c r="CN10" s="46"/>
      <c r="CO10" s="64">
        <f>SUM(C10,AG10)</f>
        <v>0.7258</v>
      </c>
      <c r="CP10" s="130">
        <f>Manchester1[[#This Row],[Active - Numbers]]+Manchester1[[#This Row],[Fairly Active - Numbers]]</f>
        <v>320200</v>
      </c>
      <c r="CQ10" s="64">
        <f>Manchester1[[#This Row],[Male I]]-Manchester1[[#This Row],[Female I]]</f>
        <v>-2.0099978459062917E-2</v>
      </c>
      <c r="CR10" s="64">
        <f>Manchester1[[#This Row],[NS SEC 1-2: Higher social groups I]]-Manchester1[[#This Row],[NS SEC 6-8: Lower social groups I]]</f>
        <v>-0.21285038176165594</v>
      </c>
      <c r="CS10" s="64">
        <f>Manchester1[[#This Row],[No LT limiting disability I]]-Manchester1[[#This Row],[LT limiting disability I]]</f>
        <v>-0.17023299354108423</v>
      </c>
      <c r="CT10" s="64">
        <f>Manchester1[[#This Row],[16-34 I]]-Manchester1[[#This Row],[75+ I]]</f>
        <v>-0.32634398638300222</v>
      </c>
      <c r="CU10" s="65">
        <v>0.32285231995484098</v>
      </c>
      <c r="CV10" s="65">
        <v>0.33228827852750231</v>
      </c>
      <c r="CW10" s="65">
        <v>0.52050303212903404</v>
      </c>
      <c r="CX10" s="150"/>
    </row>
    <row r="11" spans="1:102" x14ac:dyDescent="0.2">
      <c r="A11" s="4" t="s">
        <v>111</v>
      </c>
      <c r="B11" s="4" t="s">
        <v>42</v>
      </c>
      <c r="C11" s="4">
        <f>C10-C3</f>
        <v>2.8399999999999981E-2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-3.9299999999999988E-2</v>
      </c>
      <c r="AH11" s="26"/>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f>BK10-BK3</f>
        <v>1.0900000000000021E-2</v>
      </c>
      <c r="BL11" s="26"/>
      <c r="BM11" s="4">
        <f t="shared" ref="BM11:CP11" si="1">BM10-BM3</f>
        <v>5.0403163858641631E-3</v>
      </c>
      <c r="BN11" s="4">
        <f t="shared" si="1"/>
        <v>1.615856173075908E-2</v>
      </c>
      <c r="BO11" s="4">
        <f t="shared" si="1"/>
        <v>3.6616791013426964E-2</v>
      </c>
      <c r="BP11" s="4">
        <f t="shared" si="1"/>
        <v>2.1314165723344325E-2</v>
      </c>
      <c r="BQ11" s="4">
        <f t="shared" si="1"/>
        <v>-4.4517882597231773E-2</v>
      </c>
      <c r="BR11" s="4">
        <f t="shared" si="1"/>
        <v>-0.15940319192852992</v>
      </c>
      <c r="BS11" s="4">
        <f t="shared" si="1"/>
        <v>0.25455147935495603</v>
      </c>
      <c r="BT11" s="4">
        <f t="shared" si="1"/>
        <v>0.35583627602614326</v>
      </c>
      <c r="BU11" s="4">
        <f t="shared" si="1"/>
        <v>-3.0071685549192595E-2</v>
      </c>
      <c r="BV11" s="4">
        <f t="shared" si="1"/>
        <v>3.5916465919363039E-2</v>
      </c>
      <c r="BW11" s="4">
        <f t="shared" si="1"/>
        <v>-1.9417178626739806E-2</v>
      </c>
      <c r="BX11" s="4">
        <f t="shared" si="1"/>
        <v>1.7040885585711818E-2</v>
      </c>
      <c r="BY11" s="4">
        <f t="shared" si="1"/>
        <v>6.3373316481594777E-2</v>
      </c>
      <c r="BZ11" s="4">
        <f t="shared" si="1"/>
        <v>0.15008005712832789</v>
      </c>
      <c r="CA11" s="4">
        <f t="shared" si="1"/>
        <v>0</v>
      </c>
      <c r="CB11" s="4">
        <f t="shared" si="1"/>
        <v>0</v>
      </c>
      <c r="CC11" s="4">
        <f t="shared" si="1"/>
        <v>0</v>
      </c>
      <c r="CD11" s="4">
        <f t="shared" si="1"/>
        <v>9.2772316496162743E-3</v>
      </c>
      <c r="CE11" s="4">
        <f t="shared" si="1"/>
        <v>2.2418939364541868E-3</v>
      </c>
      <c r="CF11" s="4">
        <f t="shared" si="1"/>
        <v>-2.3460137736948661E-3</v>
      </c>
      <c r="CG11" s="4">
        <f t="shared" si="1"/>
        <v>0.26429215761011177</v>
      </c>
      <c r="CH11" s="4">
        <f t="shared" si="1"/>
        <v>0.23111139301550782</v>
      </c>
      <c r="CI11" s="4">
        <f t="shared" si="1"/>
        <v>0.360401591586959</v>
      </c>
      <c r="CJ11" s="4">
        <f t="shared" si="1"/>
        <v>0.36586070778005397</v>
      </c>
      <c r="CK11" s="4">
        <f t="shared" si="1"/>
        <v>0</v>
      </c>
      <c r="CL11" s="4">
        <f t="shared" si="1"/>
        <v>0.57983270340549264</v>
      </c>
      <c r="CM11" s="4">
        <f t="shared" si="1"/>
        <v>0.22627176563726958</v>
      </c>
      <c r="CN11" s="4">
        <f t="shared" si="1"/>
        <v>0</v>
      </c>
      <c r="CO11" s="4">
        <f t="shared" si="1"/>
        <v>-1.0900000000000021E-2</v>
      </c>
      <c r="CP11" s="30">
        <f t="shared" si="1"/>
        <v>8100</v>
      </c>
      <c r="CQ11" s="4">
        <f>Manchester1[[#This Row],[Male I]]-Manchester1[[#This Row],[Female I]]</f>
        <v>-1.1118245344894917E-2</v>
      </c>
      <c r="CR11" s="4">
        <f>Manchester1[[#This Row],[NS SEC 1-2: Higher social groups I]]-Manchester1[[#This Row],[NS SEC 6-8: Lower social groups I]]</f>
        <v>1.162324542331114E-2</v>
      </c>
      <c r="CS11" s="4">
        <f>Manchester1[[#This Row],[No LT limiting disability I]]-Manchester1[[#This Row],[LT limiting disability I]]</f>
        <v>6.5988151468555634E-2</v>
      </c>
      <c r="CT11" s="4">
        <f>Manchester1[[#This Row],[16-34 I]]-Manchester1[[#This Row],[75+ I]]</f>
        <v>0.19601998294195688</v>
      </c>
      <c r="CU11" s="64">
        <f>CU10-CU7</f>
        <v>5.4064047493161405E-3</v>
      </c>
      <c r="CV11" s="64">
        <f>CV10-CV7</f>
        <v>-5.4502869095546469E-2</v>
      </c>
      <c r="CW11" s="64">
        <f>CW10-CW7</f>
        <v>-6.0900958081806289E-2</v>
      </c>
      <c r="CX11" s="64"/>
    </row>
  </sheetData>
  <mergeCells count="3">
    <mergeCell ref="C1:AD1"/>
    <mergeCell ref="AF1:BG1"/>
    <mergeCell ref="BI1:CJ1"/>
  </mergeCells>
  <conditionalFormatting sqref="D9 D7 D4">
    <cfRule type="containsText" dxfId="1871" priority="31" operator="containsText" text="Significant increase">
      <formula>NOT(ISERROR(SEARCH("Significant increase",D4)))</formula>
    </cfRule>
    <cfRule type="containsText" dxfId="1870" priority="32" operator="containsText" text="Significant decrease">
      <formula>NOT(ISERROR(SEARCH("Significant decrease",D4)))</formula>
    </cfRule>
  </conditionalFormatting>
  <conditionalFormatting sqref="AH9 AH7 AH4">
    <cfRule type="containsText" dxfId="1869" priority="29" operator="containsText" text="Significant increase">
      <formula>NOT(ISERROR(SEARCH("Significant increase",AH4)))</formula>
    </cfRule>
    <cfRule type="containsText" dxfId="1868" priority="30" operator="containsText" text="Significant decrease">
      <formula>NOT(ISERROR(SEARCH("Significant decrease",AH4)))</formula>
    </cfRule>
  </conditionalFormatting>
  <conditionalFormatting sqref="BL9 BL7 BL4">
    <cfRule type="containsText" dxfId="1867" priority="27" operator="containsText" text="Significant increase">
      <formula>NOT(ISERROR(SEARCH("Significant increase",BL4)))</formula>
    </cfRule>
    <cfRule type="containsText" dxfId="1866" priority="28" operator="containsText" text="Significant decrease">
      <formula>NOT(ISERROR(SEARCH("Significant decrease",BL4)))</formula>
    </cfRule>
  </conditionalFormatting>
  <conditionalFormatting sqref="C7">
    <cfRule type="containsText" dxfId="1865" priority="25" operator="containsText" text="Significant increase">
      <formula>NOT(ISERROR(SEARCH("Significant increase",C7)))</formula>
    </cfRule>
    <cfRule type="containsText" dxfId="1864" priority="26" operator="containsText" text="Significant decrease">
      <formula>NOT(ISERROR(SEARCH("Significant decrease",C7)))</formula>
    </cfRule>
  </conditionalFormatting>
  <conditionalFormatting sqref="BK7">
    <cfRule type="containsText" dxfId="1863" priority="23" operator="containsText" text="Significant increase">
      <formula>NOT(ISERROR(SEARCH("Significant increase",BK7)))</formula>
    </cfRule>
    <cfRule type="containsText" dxfId="1862" priority="24" operator="containsText" text="Significant decrease">
      <formula>NOT(ISERROR(SEARCH("Significant decrease",BK7)))</formula>
    </cfRule>
  </conditionalFormatting>
  <conditionalFormatting sqref="CX9:CX10">
    <cfRule type="containsText" dxfId="1861" priority="21" operator="containsText" text="Significant increase">
      <formula>NOT(ISERROR(SEARCH("Significant increase",CX9)))</formula>
    </cfRule>
    <cfRule type="containsText" dxfId="1860" priority="22" operator="containsText" text="Significant decrease">
      <formula>NOT(ISERROR(SEARCH("Significant decrease",CX9)))</formula>
    </cfRule>
  </conditionalFormatting>
  <conditionalFormatting sqref="CX8">
    <cfRule type="containsText" dxfId="1859" priority="19" operator="containsText" text="Significant increase">
      <formula>NOT(ISERROR(SEARCH("Significant increase",CX8)))</formula>
    </cfRule>
    <cfRule type="containsText" dxfId="1858" priority="20" operator="containsText" text="Significant decrease">
      <formula>NOT(ISERROR(SEARCH("Significant decrease",CX8)))</formula>
    </cfRule>
  </conditionalFormatting>
  <conditionalFormatting sqref="CX7">
    <cfRule type="containsText" dxfId="1857" priority="17" operator="containsText" text="Significant increase">
      <formula>NOT(ISERROR(SEARCH("Significant increase",CX7)))</formula>
    </cfRule>
    <cfRule type="containsText" dxfId="1856" priority="18" operator="containsText" text="Significant decrease">
      <formula>NOT(ISERROR(SEARCH("Significant decrease",CX7)))</formula>
    </cfRule>
  </conditionalFormatting>
  <conditionalFormatting sqref="CX6">
    <cfRule type="containsText" dxfId="1855" priority="15" operator="containsText" text="Significant increase">
      <formula>NOT(ISERROR(SEARCH("Significant increase",CX6)))</formula>
    </cfRule>
    <cfRule type="containsText" dxfId="1854" priority="16" operator="containsText" text="Significant decrease">
      <formula>NOT(ISERROR(SEARCH("Significant decrease",CX6)))</formula>
    </cfRule>
  </conditionalFormatting>
  <conditionalFormatting sqref="CX4">
    <cfRule type="containsText" dxfId="1853" priority="13" operator="containsText" text="Significant increase">
      <formula>NOT(ISERROR(SEARCH("Significant increase",CX4)))</formula>
    </cfRule>
    <cfRule type="containsText" dxfId="1852" priority="14" operator="containsText" text="Significant decrease">
      <formula>NOT(ISERROR(SEARCH("Significant decrease",CX4)))</formula>
    </cfRule>
  </conditionalFormatting>
  <conditionalFormatting sqref="D10">
    <cfRule type="containsText" dxfId="1851" priority="11" operator="containsText" text="Significant increase">
      <formula>NOT(ISERROR(SEARCH("Significant increase",D10)))</formula>
    </cfRule>
    <cfRule type="containsText" dxfId="1850" priority="12" operator="containsText" text="Significant decrease">
      <formula>NOT(ISERROR(SEARCH("Significant decrease",D10)))</formula>
    </cfRule>
  </conditionalFormatting>
  <conditionalFormatting sqref="C10">
    <cfRule type="containsText" dxfId="1849" priority="9" operator="containsText" text="Significant increase">
      <formula>NOT(ISERROR(SEARCH("Significant increase",C10)))</formula>
    </cfRule>
    <cfRule type="containsText" dxfId="1848" priority="10" operator="containsText" text="Significant decrease">
      <formula>NOT(ISERROR(SEARCH("Significant decrease",C10)))</formula>
    </cfRule>
  </conditionalFormatting>
  <conditionalFormatting sqref="AG10">
    <cfRule type="containsText" dxfId="1847" priority="7" operator="containsText" text="Significant increase">
      <formula>NOT(ISERROR(SEARCH("Significant increase",AG10)))</formula>
    </cfRule>
    <cfRule type="containsText" dxfId="1846" priority="8" operator="containsText" text="Significant decrease">
      <formula>NOT(ISERROR(SEARCH("Significant decrease",AG10)))</formula>
    </cfRule>
  </conditionalFormatting>
  <conditionalFormatting sqref="AH10">
    <cfRule type="containsText" dxfId="1845" priority="5" operator="containsText" text="Significant increase">
      <formula>NOT(ISERROR(SEARCH("Significant increase",AH10)))</formula>
    </cfRule>
    <cfRule type="containsText" dxfId="1844" priority="6" operator="containsText" text="Significant decrease">
      <formula>NOT(ISERROR(SEARCH("Significant decrease",AH10)))</formula>
    </cfRule>
  </conditionalFormatting>
  <conditionalFormatting sqref="BK10">
    <cfRule type="containsText" dxfId="1843" priority="3" operator="containsText" text="Significant increase">
      <formula>NOT(ISERROR(SEARCH("Significant increase",BK10)))</formula>
    </cfRule>
    <cfRule type="containsText" dxfId="1842" priority="4" operator="containsText" text="Significant decrease">
      <formula>NOT(ISERROR(SEARCH("Significant decrease",BK10)))</formula>
    </cfRule>
  </conditionalFormatting>
  <conditionalFormatting sqref="BL10">
    <cfRule type="containsText" dxfId="1841" priority="1" operator="containsText" text="Significant increase">
      <formula>NOT(ISERROR(SEARCH("Significant increase",BL10)))</formula>
    </cfRule>
    <cfRule type="containsText" dxfId="1840" priority="2" operator="containsText" text="Significant decrease">
      <formula>NOT(ISERROR(SEARCH("Significant decrease",BL10)))</formula>
    </cfRule>
  </conditionalFormatting>
  <pageMargins left="0.7" right="0.7" top="0.75" bottom="0.75" header="0.3" footer="0.3"/>
  <legacyDrawing r:id="rId1"/>
  <tableParts count="1">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CX11"/>
  <sheetViews>
    <sheetView zoomScale="69" zoomScaleNormal="69" workbookViewId="0">
      <pane xSplit="2" ySplit="2" topLeftCell="BJ3" activePane="bottomRight" state="frozen"/>
      <selection pane="topRight" activeCell="C1" sqref="C1"/>
      <selection pane="bottomLeft" activeCell="A3" sqref="A3"/>
      <selection pane="bottomRight" activeCell="CR2" sqref="CR2"/>
    </sheetView>
  </sheetViews>
  <sheetFormatPr defaultRowHeight="14.25" outlineLevelCol="1" x14ac:dyDescent="0.2"/>
  <cols>
    <col min="1" max="1" width="11.69921875" customWidth="1"/>
    <col min="2" max="2" width="23.5" customWidth="1"/>
    <col min="3" max="10" width="8.69921875" customWidth="1" outlineLevel="1"/>
    <col min="11" max="11" width="18.296875" customWidth="1" outlineLevel="1"/>
    <col min="12" max="12" width="21" customWidth="1" outlineLevel="1"/>
    <col min="13" max="13" width="12.796875" customWidth="1" outlineLevel="1"/>
    <col min="14" max="14" width="12.19921875" customWidth="1" outlineLevel="1"/>
    <col min="15" max="15" width="12.09765625" customWidth="1" outlineLevel="1"/>
    <col min="16" max="16" width="8.69921875" customWidth="1" outlineLevel="1"/>
    <col min="17" max="17" width="9.296875" customWidth="1" outlineLevel="1"/>
    <col min="18" max="18" width="8.69921875" customWidth="1" outlineLevel="1"/>
    <col min="19" max="19" width="17.69921875" customWidth="1" outlineLevel="1"/>
    <col min="20" max="21" width="29" customWidth="1" outlineLevel="1"/>
    <col min="22" max="22" width="28.5" customWidth="1" outlineLevel="1"/>
    <col min="23" max="23" width="26.296875" customWidth="1" outlineLevel="1"/>
    <col min="24" max="24" width="21.5" customWidth="1" outlineLevel="1"/>
    <col min="25" max="25" width="12.5" customWidth="1" outlineLevel="1"/>
    <col min="26" max="26" width="19" customWidth="1" outlineLevel="1"/>
    <col min="27" max="27" width="35.69921875" customWidth="1" outlineLevel="1"/>
    <col min="28" max="28" width="33.796875" customWidth="1" outlineLevel="1"/>
    <col min="29" max="29" width="21.296875" customWidth="1" outlineLevel="1"/>
    <col min="30" max="30" width="19.19921875" customWidth="1" outlineLevel="1"/>
    <col min="31" max="31" width="28.296875" customWidth="1"/>
    <col min="32" max="32" width="8.69921875" customWidth="1" outlineLevel="1"/>
    <col min="33" max="33" width="9.296875" customWidth="1" outlineLevel="1"/>
    <col min="34" max="39" width="8.69921875" customWidth="1" outlineLevel="1"/>
    <col min="40" max="40" width="20.09765625" customWidth="1" outlineLevel="1"/>
    <col min="41" max="41" width="22.69921875" customWidth="1" outlineLevel="1"/>
    <col min="42" max="42" width="14.59765625" customWidth="1" outlineLevel="1"/>
    <col min="43" max="43" width="14" customWidth="1" outlineLevel="1"/>
    <col min="44" max="44" width="13.796875" customWidth="1" outlineLevel="1"/>
    <col min="45" max="45" width="8.796875" customWidth="1" outlineLevel="1"/>
    <col min="46" max="46" width="11.09765625" customWidth="1" outlineLevel="1"/>
    <col min="47" max="47" width="9.296875" customWidth="1" outlineLevel="1"/>
    <col min="48" max="48" width="19.5" customWidth="1" outlineLevel="1"/>
    <col min="49" max="50" width="30.69921875" customWidth="1" outlineLevel="1"/>
    <col min="51" max="51" width="30.296875" customWidth="1" outlineLevel="1"/>
    <col min="52" max="52" width="28.09765625" customWidth="1" outlineLevel="1"/>
    <col min="53" max="53" width="23.296875" customWidth="1" outlineLevel="1"/>
    <col min="54" max="54" width="14.296875" customWidth="1" outlineLevel="1"/>
    <col min="55" max="55" width="20.69921875" customWidth="1" outlineLevel="1"/>
    <col min="56" max="56" width="37.5" customWidth="1" outlineLevel="1"/>
    <col min="57" max="57" width="35.59765625" customWidth="1" outlineLevel="1"/>
    <col min="58" max="58" width="23.09765625" customWidth="1" outlineLevel="1"/>
    <col min="59" max="59" width="21" customWidth="1" outlineLevel="1"/>
    <col min="60" max="60" width="24.796875" customWidth="1"/>
    <col min="61" max="61" width="8.69921875" customWidth="1" outlineLevel="1"/>
    <col min="62" max="62" width="10.19921875" customWidth="1" outlineLevel="1"/>
    <col min="63" max="68" width="8.69921875" customWidth="1" outlineLevel="1"/>
    <col min="69" max="69" width="20.09765625" customWidth="1" outlineLevel="1"/>
    <col min="70" max="70" width="22.69921875" customWidth="1" outlineLevel="1"/>
    <col min="71" max="71" width="14.59765625" customWidth="1" outlineLevel="1"/>
    <col min="72" max="72" width="14" customWidth="1" outlineLevel="1"/>
    <col min="73" max="73" width="13.796875" customWidth="1" outlineLevel="1"/>
    <col min="74" max="74" width="8.796875" customWidth="1" outlineLevel="1"/>
    <col min="75" max="75" width="11.09765625" customWidth="1" outlineLevel="1"/>
    <col min="76" max="76" width="9.296875" customWidth="1" outlineLevel="1"/>
    <col min="77" max="77" width="19.5" customWidth="1" outlineLevel="1"/>
    <col min="78" max="79" width="30.69921875" customWidth="1" outlineLevel="1"/>
    <col min="80" max="80" width="30.296875" customWidth="1" outlineLevel="1"/>
    <col min="81" max="81" width="28.09765625" customWidth="1" outlineLevel="1"/>
    <col min="82" max="82" width="23.296875" customWidth="1" outlineLevel="1"/>
    <col min="83" max="83" width="14.296875" customWidth="1" outlineLevel="1"/>
    <col min="84" max="84" width="20.69921875" customWidth="1" outlineLevel="1"/>
    <col min="85" max="85" width="37.5" customWidth="1" outlineLevel="1"/>
    <col min="86" max="86" width="35.59765625" customWidth="1" outlineLevel="1"/>
    <col min="87" max="87" width="23.09765625" customWidth="1" outlineLevel="1"/>
    <col min="88" max="88" width="21" customWidth="1" outlineLevel="1"/>
    <col min="94" max="94" width="8.69921875" style="30"/>
  </cols>
  <sheetData>
    <row r="1" spans="1:102" x14ac:dyDescent="0.2">
      <c r="C1" s="229" t="s">
        <v>30</v>
      </c>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F1" s="229" t="s">
        <v>32</v>
      </c>
      <c r="AG1" s="229"/>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I1" s="229" t="s">
        <v>34</v>
      </c>
      <c r="BJ1" s="229"/>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row>
    <row r="2" spans="1:102" x14ac:dyDescent="0.2">
      <c r="A2" s="2" t="s">
        <v>106</v>
      </c>
      <c r="B2" t="s">
        <v>0</v>
      </c>
      <c r="C2" t="s">
        <v>29</v>
      </c>
      <c r="D2" s="29"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165</v>
      </c>
      <c r="CQ2" s="2" t="s">
        <v>102</v>
      </c>
      <c r="CR2" s="2" t="s">
        <v>103</v>
      </c>
      <c r="CS2" s="2" t="s">
        <v>104</v>
      </c>
      <c r="CT2" s="2" t="s">
        <v>105</v>
      </c>
      <c r="CU2" s="2" t="s">
        <v>207</v>
      </c>
      <c r="CV2" s="2" t="s">
        <v>208</v>
      </c>
      <c r="CW2" s="2" t="s">
        <v>209</v>
      </c>
      <c r="CX2" s="2" t="s">
        <v>301</v>
      </c>
    </row>
    <row r="3" spans="1:102" x14ac:dyDescent="0.2">
      <c r="A3" s="4" t="s">
        <v>112</v>
      </c>
      <c r="B3" s="4" t="s">
        <v>35</v>
      </c>
      <c r="C3" s="4">
        <v>0.61609999999999998</v>
      </c>
      <c r="D3" s="30">
        <v>109700</v>
      </c>
      <c r="E3" s="4">
        <v>0.62350665417478657</v>
      </c>
      <c r="F3" s="4">
        <v>0.61517546690676628</v>
      </c>
      <c r="G3" s="4">
        <v>0.73248926383304702</v>
      </c>
      <c r="H3" s="4">
        <v>0.61011758811238659</v>
      </c>
      <c r="I3" s="4">
        <v>0.56311449899251464</v>
      </c>
      <c r="J3" s="4">
        <v>0.34218919020665078</v>
      </c>
      <c r="K3" s="4"/>
      <c r="L3" s="4"/>
      <c r="M3" s="4">
        <v>0.4602710806054563</v>
      </c>
      <c r="N3" s="4">
        <v>0.67162668879687448</v>
      </c>
      <c r="O3" s="4">
        <v>0.61860971572290246</v>
      </c>
      <c r="P3" s="4"/>
      <c r="Q3" s="4">
        <v>0.60188725088611594</v>
      </c>
      <c r="R3" s="4"/>
      <c r="S3" s="4"/>
      <c r="T3" s="4"/>
      <c r="U3" s="4"/>
      <c r="V3" s="4">
        <v>0.66836439195004171</v>
      </c>
      <c r="W3" s="4">
        <v>0.67996541219946627</v>
      </c>
      <c r="X3" s="4">
        <v>0.51584144376577545</v>
      </c>
      <c r="Y3" s="4"/>
      <c r="Z3" s="4"/>
      <c r="AA3" s="4"/>
      <c r="AB3" s="4"/>
      <c r="AC3" s="4"/>
      <c r="AD3" s="4"/>
      <c r="AE3" s="4"/>
      <c r="AF3" s="4"/>
      <c r="AG3" s="4">
        <v>0.11849999999999999</v>
      </c>
      <c r="AH3" s="30">
        <v>21100</v>
      </c>
      <c r="AI3" s="4">
        <v>0.10097387904511036</v>
      </c>
      <c r="AJ3" s="4">
        <v>0.12997397397366084</v>
      </c>
      <c r="AK3" s="4"/>
      <c r="AL3" s="4">
        <v>0.122480368181568</v>
      </c>
      <c r="AM3" s="4">
        <v>0.12230858409519288</v>
      </c>
      <c r="AN3" s="4"/>
      <c r="AO3" s="4"/>
      <c r="AP3" s="4"/>
      <c r="AQ3" s="4"/>
      <c r="AR3" s="4">
        <v>0.11672091308113494</v>
      </c>
      <c r="AS3" s="4">
        <v>0.12618225209003189</v>
      </c>
      <c r="AT3" s="4"/>
      <c r="AU3" s="4"/>
      <c r="AV3" s="4"/>
      <c r="AW3" s="4"/>
      <c r="AX3" s="4"/>
      <c r="AY3" s="4"/>
      <c r="AZ3" s="4">
        <v>0.16641010013040347</v>
      </c>
      <c r="BA3" s="4"/>
      <c r="BB3" s="4"/>
      <c r="BC3" s="4"/>
      <c r="BD3" s="4"/>
      <c r="BE3" s="4"/>
      <c r="BF3" s="4"/>
      <c r="BG3" s="4"/>
      <c r="BH3" s="4"/>
      <c r="BI3" s="4"/>
      <c r="BJ3" s="4"/>
      <c r="BK3" s="4">
        <v>0.26540000000000002</v>
      </c>
      <c r="BL3" s="30">
        <v>47300</v>
      </c>
      <c r="BM3" s="4">
        <v>0.27551946678010314</v>
      </c>
      <c r="BN3" s="4">
        <v>0.25485055911957294</v>
      </c>
      <c r="BO3" s="4"/>
      <c r="BP3" s="4">
        <v>0.26740204370604492</v>
      </c>
      <c r="BQ3" s="4">
        <v>0.31457691691229211</v>
      </c>
      <c r="BR3" s="4">
        <v>0.51083468328541004</v>
      </c>
      <c r="BS3" s="4"/>
      <c r="BT3" s="4"/>
      <c r="BU3" s="4">
        <v>0.39244447067658983</v>
      </c>
      <c r="BV3" s="4">
        <v>0.2116523981219908</v>
      </c>
      <c r="BW3" s="4">
        <v>0.25520803218706567</v>
      </c>
      <c r="BX3" s="4"/>
      <c r="BY3" s="4"/>
      <c r="BZ3" s="4"/>
      <c r="CA3" s="4"/>
      <c r="CB3" s="4"/>
      <c r="CC3" s="4"/>
      <c r="CD3" s="4">
        <v>0.16522550791955384</v>
      </c>
      <c r="CE3" s="4">
        <v>0.23759777701574764</v>
      </c>
      <c r="CF3" s="4">
        <v>0.38094249013329778</v>
      </c>
      <c r="CG3" s="4"/>
      <c r="CH3" s="4"/>
      <c r="CI3" s="4"/>
      <c r="CJ3" s="4"/>
      <c r="CK3" s="4"/>
      <c r="CL3" s="4"/>
      <c r="CM3" s="4"/>
      <c r="CN3" s="4"/>
      <c r="CO3" s="4">
        <f t="shared" ref="CO3:CO9" si="0">SUM(C3,AG3)</f>
        <v>0.73459999999999992</v>
      </c>
      <c r="CP3" s="30">
        <f>Oldham1[[#This Row],[Active - Numbers]]+Oldham1[[#This Row],[Fairly Active - Numbers]]</f>
        <v>130800</v>
      </c>
      <c r="CQ3" s="4">
        <f>Oldham1[[#This Row],[Male I]]-Oldham1[[#This Row],[Female I]]</f>
        <v>2.06689076605302E-2</v>
      </c>
      <c r="CR3" s="4">
        <f>Oldham1[[#This Row],[NS SEC 1-2: Higher social groups I]]-Oldham1[[#This Row],[NS SEC 6-8: Lower social groups I]]</f>
        <v>-0.21571698221374394</v>
      </c>
      <c r="CS3" s="4">
        <f>Oldham1[[#This Row],[No LT limiting disability I]]-Oldham1[[#This Row],[LT limiting disability I]]</f>
        <v>-0.18079207255459903</v>
      </c>
      <c r="CT3" s="4">
        <f>Oldham1[[#This Row],[16-34 I]]-Oldham1[[#This Row],[75+ I]]</f>
        <v>-0.51083468328541004</v>
      </c>
      <c r="CU3" s="64"/>
      <c r="CV3" s="64"/>
      <c r="CW3" s="64"/>
      <c r="CX3" s="64"/>
    </row>
    <row r="4" spans="1:102" x14ac:dyDescent="0.2">
      <c r="A4" s="4" t="s">
        <v>112</v>
      </c>
      <c r="B4" s="4" t="s">
        <v>36</v>
      </c>
      <c r="C4" s="44">
        <v>0.61029999999999995</v>
      </c>
      <c r="D4" s="30">
        <v>109700</v>
      </c>
      <c r="E4" s="4">
        <v>0.63696752738874141</v>
      </c>
      <c r="F4" s="4">
        <v>0.57298678012182624</v>
      </c>
      <c r="G4" s="4">
        <v>0.71684002349475084</v>
      </c>
      <c r="H4" s="4">
        <v>0.60822160772204403</v>
      </c>
      <c r="I4" s="4">
        <v>0.54725064077689067</v>
      </c>
      <c r="J4" s="4">
        <v>0.40032290696321704</v>
      </c>
      <c r="K4" s="4"/>
      <c r="L4" s="4"/>
      <c r="M4" s="4">
        <v>0.45611671242080037</v>
      </c>
      <c r="N4" s="4">
        <v>0.63734172099743525</v>
      </c>
      <c r="O4" s="4">
        <v>0.61149912001886364</v>
      </c>
      <c r="P4" s="4"/>
      <c r="Q4" s="4">
        <v>0.58603183137054837</v>
      </c>
      <c r="R4" s="4"/>
      <c r="S4" s="4"/>
      <c r="T4" s="4"/>
      <c r="U4" s="4"/>
      <c r="V4" s="4">
        <v>0.66712552434643868</v>
      </c>
      <c r="W4" s="4">
        <v>0.62180533376076974</v>
      </c>
      <c r="X4" s="4">
        <v>0.49988199719380949</v>
      </c>
      <c r="Y4" s="4"/>
      <c r="Z4" s="4"/>
      <c r="AA4" s="4"/>
      <c r="AB4" s="4"/>
      <c r="AC4" s="4"/>
      <c r="AD4" s="4"/>
      <c r="AE4" s="4"/>
      <c r="AF4" s="4"/>
      <c r="AG4" s="44">
        <v>0.1227</v>
      </c>
      <c r="AH4" s="30">
        <v>22100</v>
      </c>
      <c r="AI4" s="4">
        <v>0.1092764538144245</v>
      </c>
      <c r="AJ4" s="4">
        <v>0.14963280368791851</v>
      </c>
      <c r="AK4" s="4"/>
      <c r="AL4" s="4">
        <v>0.1245336226907356</v>
      </c>
      <c r="AM4" s="4">
        <v>0.16057216316618267</v>
      </c>
      <c r="AN4" s="4"/>
      <c r="AO4" s="4"/>
      <c r="AP4" s="4"/>
      <c r="AQ4" s="4"/>
      <c r="AR4" s="4">
        <v>0.14315022286473988</v>
      </c>
      <c r="AS4" s="4">
        <v>0.13677903965949248</v>
      </c>
      <c r="AT4" s="4"/>
      <c r="AU4" s="4"/>
      <c r="AV4" s="4"/>
      <c r="AW4" s="4"/>
      <c r="AX4" s="4"/>
      <c r="AY4" s="4"/>
      <c r="AZ4" s="4">
        <v>0.15820543453014996</v>
      </c>
      <c r="BA4" s="4">
        <v>0.14239022423297323</v>
      </c>
      <c r="BB4" s="4"/>
      <c r="BC4" s="4"/>
      <c r="BD4" s="4"/>
      <c r="BE4" s="4"/>
      <c r="BF4" s="4"/>
      <c r="BG4" s="4"/>
      <c r="BH4" s="4"/>
      <c r="BI4" s="4"/>
      <c r="BJ4" s="4"/>
      <c r="BK4" s="4">
        <v>0.26697339084382105</v>
      </c>
      <c r="BL4" s="30">
        <v>48000</v>
      </c>
      <c r="BM4" s="4">
        <v>0.25375601879683474</v>
      </c>
      <c r="BN4" s="4">
        <v>0.27738041619025522</v>
      </c>
      <c r="BO4" s="4">
        <v>0.1897841757167624</v>
      </c>
      <c r="BP4" s="4">
        <v>0.26724476958722099</v>
      </c>
      <c r="BQ4" s="4">
        <v>0.29217719605692755</v>
      </c>
      <c r="BR4" s="4">
        <v>0.44553382981855294</v>
      </c>
      <c r="BS4" s="4"/>
      <c r="BT4" s="4"/>
      <c r="BU4" s="4">
        <v>0.44537047964834764</v>
      </c>
      <c r="BV4" s="4">
        <v>0.21950805613782379</v>
      </c>
      <c r="BW4" s="4">
        <v>0.25172184032164269</v>
      </c>
      <c r="BX4" s="4"/>
      <c r="BY4" s="4"/>
      <c r="BZ4" s="4"/>
      <c r="CA4" s="4"/>
      <c r="CB4" s="4"/>
      <c r="CC4" s="4"/>
      <c r="CD4" s="4">
        <v>0.17466904112341147</v>
      </c>
      <c r="CE4" s="4">
        <v>0.23580444200625775</v>
      </c>
      <c r="CF4" s="4">
        <v>0.41639550057177727</v>
      </c>
      <c r="CG4" s="4"/>
      <c r="CH4" s="4"/>
      <c r="CI4" s="4"/>
      <c r="CJ4" s="4"/>
      <c r="CK4" s="4"/>
      <c r="CL4" s="4"/>
      <c r="CM4" s="4"/>
      <c r="CN4" s="4"/>
      <c r="CO4" s="4">
        <f t="shared" si="0"/>
        <v>0.73299999999999998</v>
      </c>
      <c r="CP4" s="30">
        <f>Oldham1[[#This Row],[Active - Numbers]]+Oldham1[[#This Row],[Fairly Active - Numbers]]</f>
        <v>131800</v>
      </c>
      <c r="CQ4" s="4">
        <f>Oldham1[[#This Row],[Male I]]-Oldham1[[#This Row],[Female I]]</f>
        <v>-2.3624397393420482E-2</v>
      </c>
      <c r="CR4" s="4">
        <f>Oldham1[[#This Row],[NS SEC 1-2: Higher social groups I]]-Oldham1[[#This Row],[NS SEC 6-8: Lower social groups I]]</f>
        <v>-0.24172645944836579</v>
      </c>
      <c r="CS4" s="4">
        <f>Oldham1[[#This Row],[No LT limiting disability I]]-Oldham1[[#This Row],[LT limiting disability I]]</f>
        <v>-0.22586242351052385</v>
      </c>
      <c r="CT4" s="4">
        <f>Oldham1[[#This Row],[16-34 I]]-Oldham1[[#This Row],[75+ I]]</f>
        <v>-0.25574965410179051</v>
      </c>
      <c r="CU4" s="64"/>
      <c r="CV4" s="64"/>
      <c r="CW4" s="64"/>
      <c r="CX4" s="152">
        <v>0.1772</v>
      </c>
    </row>
    <row r="5" spans="1:102" x14ac:dyDescent="0.2">
      <c r="A5" s="4" t="s">
        <v>112</v>
      </c>
      <c r="B5" s="4" t="s">
        <v>37</v>
      </c>
      <c r="C5" s="4">
        <v>0.5756</v>
      </c>
      <c r="D5" s="30">
        <v>103700</v>
      </c>
      <c r="E5" s="4">
        <v>0.59206362944086732</v>
      </c>
      <c r="F5" s="4">
        <v>0.55889954626899685</v>
      </c>
      <c r="G5" s="4">
        <v>0.58739879619864976</v>
      </c>
      <c r="H5" s="4">
        <v>0.61824722167883872</v>
      </c>
      <c r="I5" s="4">
        <v>0.59330974879288223</v>
      </c>
      <c r="J5" s="4">
        <v>0.3312999297112546</v>
      </c>
      <c r="K5" s="4"/>
      <c r="L5" s="4"/>
      <c r="M5" s="4">
        <v>0.39013624932088303</v>
      </c>
      <c r="N5" s="4">
        <v>0.61075551855722421</v>
      </c>
      <c r="O5" s="4">
        <v>0.60192444423478697</v>
      </c>
      <c r="P5" s="4"/>
      <c r="Q5" s="4">
        <v>0.52659195106352152</v>
      </c>
      <c r="R5" s="4"/>
      <c r="S5" s="4"/>
      <c r="T5" s="4"/>
      <c r="U5" s="4"/>
      <c r="V5" s="4">
        <v>0.69101889835105379</v>
      </c>
      <c r="W5" s="4">
        <v>0.61958039358953809</v>
      </c>
      <c r="X5" s="4">
        <v>0.48037590462354357</v>
      </c>
      <c r="Y5" s="4"/>
      <c r="Z5" s="4"/>
      <c r="AA5" s="4"/>
      <c r="AB5" s="4"/>
      <c r="AC5" s="4"/>
      <c r="AD5" s="4"/>
      <c r="AE5" s="4"/>
      <c r="AF5" s="4"/>
      <c r="AG5" s="4">
        <v>0.127</v>
      </c>
      <c r="AH5" s="30">
        <v>22900</v>
      </c>
      <c r="AI5" s="4">
        <v>0.11630933766949038</v>
      </c>
      <c r="AJ5" s="4">
        <v>0.13734604112848278</v>
      </c>
      <c r="AK5" s="4"/>
      <c r="AL5" s="4">
        <v>0.11917910901802037</v>
      </c>
      <c r="AM5" s="4">
        <v>0.14412649288757953</v>
      </c>
      <c r="AN5" s="4"/>
      <c r="AO5" s="4"/>
      <c r="AP5" s="4"/>
      <c r="AQ5" s="4">
        <v>0.12597724048869355</v>
      </c>
      <c r="AR5" s="4">
        <v>0.13212391025886183</v>
      </c>
      <c r="AS5" s="4">
        <v>0.13690318068090371</v>
      </c>
      <c r="AT5" s="4"/>
      <c r="AU5" s="4"/>
      <c r="AV5" s="4"/>
      <c r="AW5" s="4"/>
      <c r="AX5" s="4"/>
      <c r="AY5" s="4"/>
      <c r="AZ5" s="4">
        <v>0.13759882914830912</v>
      </c>
      <c r="BA5" s="4">
        <v>0.13912324098882536</v>
      </c>
      <c r="BB5" s="4"/>
      <c r="BC5" s="4"/>
      <c r="BD5" s="4"/>
      <c r="BE5" s="4"/>
      <c r="BF5" s="4"/>
      <c r="BG5" s="4"/>
      <c r="BH5" s="4"/>
      <c r="BI5" s="4"/>
      <c r="BJ5" s="4"/>
      <c r="BK5" s="4">
        <v>0.2974</v>
      </c>
      <c r="BL5" s="30">
        <v>53600</v>
      </c>
      <c r="BM5" s="4">
        <v>0.29162703288964187</v>
      </c>
      <c r="BN5" s="4">
        <v>0.30375441260251967</v>
      </c>
      <c r="BO5" s="4">
        <v>0.29564138469388029</v>
      </c>
      <c r="BP5" s="4">
        <v>0.26257366930314124</v>
      </c>
      <c r="BQ5" s="4">
        <v>0.26256375831953849</v>
      </c>
      <c r="BR5" s="4">
        <v>0.52767644194144436</v>
      </c>
      <c r="BS5" s="4"/>
      <c r="BT5" s="4"/>
      <c r="BU5" s="4">
        <v>0.4838865101904235</v>
      </c>
      <c r="BV5" s="4">
        <v>0.25712057118391318</v>
      </c>
      <c r="BW5" s="4">
        <v>0.26117237508430724</v>
      </c>
      <c r="BX5" s="4"/>
      <c r="BY5" s="4"/>
      <c r="BZ5" s="4"/>
      <c r="CA5" s="4"/>
      <c r="CB5" s="4"/>
      <c r="CC5" s="4"/>
      <c r="CD5" s="4">
        <v>0.17138227250063787</v>
      </c>
      <c r="CE5" s="4">
        <v>0.24129636542163627</v>
      </c>
      <c r="CF5" s="4">
        <v>0.4282920848986676</v>
      </c>
      <c r="CG5" s="4"/>
      <c r="CH5" s="4"/>
      <c r="CI5" s="4"/>
      <c r="CJ5" s="4"/>
      <c r="CK5" s="4"/>
      <c r="CL5" s="4"/>
      <c r="CM5" s="4"/>
      <c r="CN5" s="4"/>
      <c r="CO5" s="4">
        <f t="shared" si="0"/>
        <v>0.7026</v>
      </c>
      <c r="CP5" s="30">
        <f>Oldham1[[#This Row],[Active - Numbers]]+Oldham1[[#This Row],[Fairly Active - Numbers]]</f>
        <v>126600</v>
      </c>
      <c r="CQ5" s="4">
        <f>Oldham1[[#This Row],[Male I]]-Oldham1[[#This Row],[Female I]]</f>
        <v>-1.2127379712877806E-2</v>
      </c>
      <c r="CR5" s="4">
        <f>Oldham1[[#This Row],[NS SEC 1-2: Higher social groups I]]-Oldham1[[#This Row],[NS SEC 6-8: Lower social groups I]]</f>
        <v>-0.25690981239802974</v>
      </c>
      <c r="CS5" s="4">
        <f>Oldham1[[#This Row],[No LT limiting disability I]]-Oldham1[[#This Row],[LT limiting disability I]]</f>
        <v>-0.22676593900651032</v>
      </c>
      <c r="CT5" s="4">
        <f>Oldham1[[#This Row],[16-34 I]]-Oldham1[[#This Row],[75+ I]]</f>
        <v>-0.23203505724756407</v>
      </c>
      <c r="CU5" s="64"/>
      <c r="CV5" s="64"/>
      <c r="CW5" s="64"/>
      <c r="CX5" s="154">
        <v>0.1258</v>
      </c>
    </row>
    <row r="6" spans="1:102" x14ac:dyDescent="0.2">
      <c r="A6" s="4" t="s">
        <v>112</v>
      </c>
      <c r="B6" s="4" t="s">
        <v>38</v>
      </c>
      <c r="C6" s="4">
        <v>0.56583651637582988</v>
      </c>
      <c r="D6" s="30">
        <v>102300</v>
      </c>
      <c r="E6" s="4">
        <v>0.54321201288927623</v>
      </c>
      <c r="F6" s="4">
        <v>0.58773512086437163</v>
      </c>
      <c r="G6" s="4">
        <v>0.5380674967440876</v>
      </c>
      <c r="H6" s="4">
        <v>0.63092241842053498</v>
      </c>
      <c r="I6" s="4">
        <v>0.59091164132326524</v>
      </c>
      <c r="J6" s="4">
        <v>0.33484856769029514</v>
      </c>
      <c r="K6" s="4"/>
      <c r="L6" s="4"/>
      <c r="M6" s="4">
        <v>0.47110173639180258</v>
      </c>
      <c r="N6" s="4">
        <v>0.58664327707164976</v>
      </c>
      <c r="O6" s="4">
        <v>0.60222600117996705</v>
      </c>
      <c r="P6" s="4"/>
      <c r="Q6" s="4">
        <v>0.49491044423748731</v>
      </c>
      <c r="R6" s="4"/>
      <c r="S6" s="4"/>
      <c r="T6" s="4"/>
      <c r="U6" s="4"/>
      <c r="V6" s="4">
        <v>0.65239413837741755</v>
      </c>
      <c r="W6" s="4">
        <v>0.57135869926514316</v>
      </c>
      <c r="X6" s="4">
        <v>0.51199733430630823</v>
      </c>
      <c r="Y6" s="4"/>
      <c r="Z6" s="4"/>
      <c r="AA6" s="4"/>
      <c r="AB6" s="4"/>
      <c r="AC6" s="4"/>
      <c r="AD6" s="4"/>
      <c r="AE6" s="4"/>
      <c r="AF6" s="4"/>
      <c r="AG6" s="4">
        <v>0.13452898612137781</v>
      </c>
      <c r="AH6" s="30">
        <v>24300</v>
      </c>
      <c r="AI6" s="4">
        <v>0.14124092043382913</v>
      </c>
      <c r="AJ6" s="4">
        <v>0.12803613784302156</v>
      </c>
      <c r="AK6" s="4">
        <v>0.14996417087585132</v>
      </c>
      <c r="AL6" s="4">
        <v>0.11898919743855581</v>
      </c>
      <c r="AM6" s="4">
        <v>0.12370278488735829</v>
      </c>
      <c r="AN6" s="4"/>
      <c r="AO6" s="4"/>
      <c r="AP6" s="4"/>
      <c r="AQ6" s="4">
        <v>0.14719589188549481</v>
      </c>
      <c r="AR6" s="4">
        <v>0.13606700888473258</v>
      </c>
      <c r="AS6" s="4">
        <v>0.1425856323143519</v>
      </c>
      <c r="AT6" s="4"/>
      <c r="AU6" s="4"/>
      <c r="AV6" s="4"/>
      <c r="AW6" s="4"/>
      <c r="AX6" s="4"/>
      <c r="AY6" s="4"/>
      <c r="AZ6" s="4">
        <v>0.15717044257309271</v>
      </c>
      <c r="BA6" s="4">
        <v>0.13694709322387022</v>
      </c>
      <c r="BB6" s="4">
        <v>9.4307457178569809E-2</v>
      </c>
      <c r="BC6" s="4"/>
      <c r="BD6" s="4"/>
      <c r="BE6" s="4"/>
      <c r="BF6" s="4"/>
      <c r="BG6" s="4"/>
      <c r="BH6" s="4"/>
      <c r="BI6" s="4"/>
      <c r="BJ6" s="4"/>
      <c r="BK6" s="4">
        <v>0.29963449750279142</v>
      </c>
      <c r="BL6" s="30">
        <v>54200</v>
      </c>
      <c r="BM6" s="4">
        <v>0.31554706667689492</v>
      </c>
      <c r="BN6" s="4">
        <v>0.28422874129260745</v>
      </c>
      <c r="BO6" s="4">
        <v>0.31196833238006122</v>
      </c>
      <c r="BP6" s="4">
        <v>0.25008838414090856</v>
      </c>
      <c r="BQ6" s="4">
        <v>0.28538557378937579</v>
      </c>
      <c r="BR6" s="4">
        <v>0.49975051457142117</v>
      </c>
      <c r="BS6" s="4"/>
      <c r="BT6" s="4"/>
      <c r="BU6" s="4">
        <v>0.38170237172270355</v>
      </c>
      <c r="BV6" s="4">
        <v>0.27728971404361774</v>
      </c>
      <c r="BW6" s="4">
        <v>0.25518836650568127</v>
      </c>
      <c r="BX6" s="4"/>
      <c r="BY6" s="4">
        <v>0.43468744842048535</v>
      </c>
      <c r="BZ6" s="4"/>
      <c r="CA6" s="4"/>
      <c r="CB6" s="4"/>
      <c r="CC6" s="4"/>
      <c r="CD6" s="4">
        <v>0.19043541904948916</v>
      </c>
      <c r="CE6" s="4">
        <v>0.29169420751098651</v>
      </c>
      <c r="CF6" s="4">
        <v>0.3936952085151213</v>
      </c>
      <c r="CG6" s="4"/>
      <c r="CH6" s="4"/>
      <c r="CI6" s="4"/>
      <c r="CJ6" s="4"/>
      <c r="CK6" s="4"/>
      <c r="CL6" s="4"/>
      <c r="CM6" s="4"/>
      <c r="CN6" s="4"/>
      <c r="CO6" s="4">
        <f t="shared" si="0"/>
        <v>0.70036550249720775</v>
      </c>
      <c r="CP6" s="30">
        <f>Oldham1[[#This Row],[Active - Numbers]]+Oldham1[[#This Row],[Fairly Active - Numbers]]</f>
        <v>126600</v>
      </c>
      <c r="CQ6" s="4">
        <f>Oldham1[[#This Row],[Male I]]-Oldham1[[#This Row],[Female I]]</f>
        <v>3.1318325384287471E-2</v>
      </c>
      <c r="CR6" s="4">
        <f>Oldham1[[#This Row],[NS SEC 1-2: Higher social groups I]]-Oldham1[[#This Row],[NS SEC 6-8: Lower social groups I]]</f>
        <v>-0.20325978946563214</v>
      </c>
      <c r="CS6" s="4">
        <f>Oldham1[[#This Row],[No LT limiting disability I]]-Oldham1[[#This Row],[LT limiting disability I]]</f>
        <v>-0.10441265767908581</v>
      </c>
      <c r="CT6" s="4">
        <f>Oldham1[[#This Row],[16-34 I]]-Oldham1[[#This Row],[75+ I]]</f>
        <v>-0.18778218219135995</v>
      </c>
      <c r="CU6" s="64"/>
      <c r="CV6" s="64"/>
      <c r="CW6" s="64"/>
      <c r="CX6" s="152">
        <v>0.12239999999999999</v>
      </c>
    </row>
    <row r="7" spans="1:102" x14ac:dyDescent="0.2">
      <c r="A7" s="4" t="s">
        <v>112</v>
      </c>
      <c r="B7" s="4" t="s">
        <v>39</v>
      </c>
      <c r="C7" s="4">
        <v>0.55914482031737844</v>
      </c>
      <c r="D7" s="30">
        <v>101100</v>
      </c>
      <c r="E7" s="4">
        <v>0.54364204908540714</v>
      </c>
      <c r="F7" s="4">
        <v>0.57417060333556935</v>
      </c>
      <c r="G7" s="4">
        <v>0.57527343285304477</v>
      </c>
      <c r="H7" s="4">
        <v>0.61965279463476042</v>
      </c>
      <c r="I7" s="4">
        <v>0.54613208034577898</v>
      </c>
      <c r="J7" s="4">
        <v>0.32402664775743789</v>
      </c>
      <c r="K7" s="4">
        <v>0.59746864762983032</v>
      </c>
      <c r="L7" s="4">
        <v>0.48916736658142601</v>
      </c>
      <c r="M7" s="4">
        <v>0.44777925455610423</v>
      </c>
      <c r="N7" s="4">
        <v>0.59164573559479927</v>
      </c>
      <c r="O7" s="4">
        <v>0.58154132963079763</v>
      </c>
      <c r="P7" s="4"/>
      <c r="Q7" s="4">
        <v>0.54486098362409485</v>
      </c>
      <c r="R7" s="4"/>
      <c r="S7" s="4"/>
      <c r="T7" s="4"/>
      <c r="U7" s="4"/>
      <c r="V7" s="4">
        <v>0.61604262002965704</v>
      </c>
      <c r="W7" s="4">
        <v>0.53777201092261806</v>
      </c>
      <c r="X7" s="4">
        <v>0.50746848962411073</v>
      </c>
      <c r="Y7" s="4">
        <v>0.69631990126485599</v>
      </c>
      <c r="Z7" s="4"/>
      <c r="AA7" s="4"/>
      <c r="AB7" s="4"/>
      <c r="AC7" s="4"/>
      <c r="AD7" s="4"/>
      <c r="AE7" s="4"/>
      <c r="AF7" s="4"/>
      <c r="AG7" s="4">
        <v>0.12501918307024665</v>
      </c>
      <c r="AH7" s="30">
        <v>22600</v>
      </c>
      <c r="AI7" s="4">
        <v>0.12439066992382325</v>
      </c>
      <c r="AJ7" s="4">
        <v>0.12572251433053397</v>
      </c>
      <c r="AK7" s="4"/>
      <c r="AL7" s="4">
        <v>0.11817966882685851</v>
      </c>
      <c r="AM7" s="4">
        <v>0.11338826730045948</v>
      </c>
      <c r="AN7" s="4"/>
      <c r="AO7" s="4">
        <v>0.12327315005758324</v>
      </c>
      <c r="AP7" s="4">
        <v>0.12538319025227268</v>
      </c>
      <c r="AQ7" s="4"/>
      <c r="AR7" s="4">
        <v>0.12904916470192312</v>
      </c>
      <c r="AS7" s="4">
        <v>0.12787371620122731</v>
      </c>
      <c r="AT7" s="4"/>
      <c r="AU7" s="4"/>
      <c r="AV7" s="4"/>
      <c r="AW7" s="4"/>
      <c r="AX7" s="4"/>
      <c r="AY7" s="4"/>
      <c r="AZ7" s="4">
        <v>0.13722579911934091</v>
      </c>
      <c r="BA7" s="4">
        <v>0.14957454925286909</v>
      </c>
      <c r="BB7" s="4"/>
      <c r="BC7" s="4"/>
      <c r="BD7" s="4"/>
      <c r="BE7" s="4"/>
      <c r="BF7" s="4"/>
      <c r="BG7" s="4"/>
      <c r="BH7" s="4"/>
      <c r="BI7" s="4"/>
      <c r="BJ7" s="4"/>
      <c r="BK7" s="4">
        <v>0.31583599661237566</v>
      </c>
      <c r="BL7" s="30">
        <v>57100</v>
      </c>
      <c r="BM7" s="4">
        <v>0.33196728099076933</v>
      </c>
      <c r="BN7" s="4">
        <v>0.30010688233389443</v>
      </c>
      <c r="BO7" s="4">
        <v>0.29635739469769123</v>
      </c>
      <c r="BP7" s="4">
        <v>0.2621675365383811</v>
      </c>
      <c r="BQ7" s="4">
        <v>0.34047965235376149</v>
      </c>
      <c r="BR7" s="4">
        <v>0.51581687748481431</v>
      </c>
      <c r="BS7" s="4">
        <v>0.2792582023125868</v>
      </c>
      <c r="BT7" s="4">
        <v>0.38544944316630092</v>
      </c>
      <c r="BU7" s="4">
        <v>0.43419517406013625</v>
      </c>
      <c r="BV7" s="4">
        <v>0.27930509970327771</v>
      </c>
      <c r="BW7" s="4">
        <v>0.29058495416797481</v>
      </c>
      <c r="BX7" s="4"/>
      <c r="BY7" s="4">
        <v>0.41032750730344586</v>
      </c>
      <c r="BZ7" s="4"/>
      <c r="CA7" s="4"/>
      <c r="CB7" s="4"/>
      <c r="CC7" s="4"/>
      <c r="CD7" s="4">
        <v>0.24673158085100172</v>
      </c>
      <c r="CE7" s="4">
        <v>0.31265343982451227</v>
      </c>
      <c r="CF7" s="4">
        <v>0.39392991574684999</v>
      </c>
      <c r="CG7" s="4"/>
      <c r="CH7" s="4"/>
      <c r="CI7" s="4"/>
      <c r="CJ7" s="4"/>
      <c r="CK7" s="4"/>
      <c r="CL7" s="4"/>
      <c r="CM7" s="4"/>
      <c r="CN7" s="4"/>
      <c r="CO7" s="4">
        <f t="shared" si="0"/>
        <v>0.68416400338762506</v>
      </c>
      <c r="CP7" s="30">
        <f>Oldham1[[#This Row],[Active - Numbers]]+Oldham1[[#This Row],[Fairly Active - Numbers]]</f>
        <v>123700</v>
      </c>
      <c r="CQ7" s="4">
        <f>Oldham1[[#This Row],[Male I]]-Oldham1[[#This Row],[Female I]]</f>
        <v>3.18603986568749E-2</v>
      </c>
      <c r="CR7" s="4">
        <f>Oldham1[[#This Row],[NS SEC 1-2: Higher social groups I]]-Oldham1[[#This Row],[NS SEC 6-8: Lower social groups I]]</f>
        <v>-0.14719833489584827</v>
      </c>
      <c r="CS7" s="4">
        <f>Oldham1[[#This Row],[No LT limiting disability I]]-Oldham1[[#This Row],[LT limiting disability I]]</f>
        <v>-0.15489007435685853</v>
      </c>
      <c r="CT7" s="4">
        <f>Oldham1[[#This Row],[16-34 I]]-Oldham1[[#This Row],[75+ I]]</f>
        <v>-0.21945948278712307</v>
      </c>
      <c r="CU7" s="46">
        <v>0.38610801908872433</v>
      </c>
      <c r="CV7" s="66">
        <v>0.30853047571252784</v>
      </c>
      <c r="CW7" s="46">
        <v>0.55524442598823875</v>
      </c>
      <c r="CX7" s="152">
        <v>0.1125</v>
      </c>
    </row>
    <row r="8" spans="1:102" x14ac:dyDescent="0.2">
      <c r="A8" s="4" t="s">
        <v>112</v>
      </c>
      <c r="B8" s="4" t="s">
        <v>40</v>
      </c>
      <c r="C8" s="4">
        <v>0.55979999999999996</v>
      </c>
      <c r="D8" s="30">
        <v>102100</v>
      </c>
      <c r="E8" s="4">
        <v>0.58479999999999999</v>
      </c>
      <c r="F8" s="4">
        <v>0.54200000000000004</v>
      </c>
      <c r="G8" s="4">
        <v>0.60799999999999998</v>
      </c>
      <c r="H8" s="4">
        <v>0.57609999999999995</v>
      </c>
      <c r="I8" s="4">
        <v>0.55400000000000005</v>
      </c>
      <c r="J8" s="4">
        <v>0.35249999999999998</v>
      </c>
      <c r="K8" s="4">
        <v>0.59140000000000004</v>
      </c>
      <c r="L8" s="4">
        <v>0.50290000000000001</v>
      </c>
      <c r="M8" s="4">
        <v>0.39190000000000003</v>
      </c>
      <c r="N8" s="4">
        <v>0.61799999999999999</v>
      </c>
      <c r="O8" s="4">
        <v>0.57430000000000003</v>
      </c>
      <c r="P8" s="4"/>
      <c r="Q8" s="4">
        <v>0.55879999999999996</v>
      </c>
      <c r="R8" s="4"/>
      <c r="S8" s="4"/>
      <c r="T8" s="4"/>
      <c r="U8" s="4"/>
      <c r="V8" s="4">
        <v>0.64549999999999996</v>
      </c>
      <c r="W8" s="4">
        <v>0.53669999999999995</v>
      </c>
      <c r="X8" s="4">
        <v>0.50849999999999995</v>
      </c>
      <c r="Y8" s="4">
        <v>0.6522</v>
      </c>
      <c r="Z8" s="4">
        <v>0.61429999999999996</v>
      </c>
      <c r="AA8" s="4"/>
      <c r="AB8" s="4">
        <v>0.49509999999999998</v>
      </c>
      <c r="AC8" s="4"/>
      <c r="AD8" s="4"/>
      <c r="AE8" s="4"/>
      <c r="AF8" s="4"/>
      <c r="AG8" s="4">
        <v>0.1167</v>
      </c>
      <c r="AH8" s="30">
        <v>21300</v>
      </c>
      <c r="AI8" s="4">
        <v>0.1134</v>
      </c>
      <c r="AJ8" s="4">
        <v>0.1203</v>
      </c>
      <c r="AK8" s="4"/>
      <c r="AL8" s="4">
        <v>0.13689999999999999</v>
      </c>
      <c r="AM8" s="4">
        <v>0.1234</v>
      </c>
      <c r="AN8" s="4"/>
      <c r="AO8" s="4">
        <v>0.1142</v>
      </c>
      <c r="AP8" s="4">
        <v>0.123</v>
      </c>
      <c r="AQ8" s="4"/>
      <c r="AR8" s="4">
        <v>0.1139</v>
      </c>
      <c r="AS8" s="4">
        <v>0.1242</v>
      </c>
      <c r="AT8" s="4"/>
      <c r="AU8" s="4"/>
      <c r="AV8" s="4"/>
      <c r="AW8" s="4"/>
      <c r="AX8" s="4"/>
      <c r="AY8" s="4"/>
      <c r="AZ8" s="4">
        <v>0.1305</v>
      </c>
      <c r="BA8" s="4">
        <v>0.14849999999999999</v>
      </c>
      <c r="BB8" s="4"/>
      <c r="BC8" s="4"/>
      <c r="BD8" s="4">
        <v>0.10970000000000001</v>
      </c>
      <c r="BE8" s="4"/>
      <c r="BF8" s="4">
        <v>0.1386</v>
      </c>
      <c r="BG8" s="4"/>
      <c r="BH8" s="4"/>
      <c r="BI8" s="4"/>
      <c r="BJ8" s="4"/>
      <c r="BK8" s="4">
        <v>0.32350000000000001</v>
      </c>
      <c r="BL8" s="30">
        <v>59000</v>
      </c>
      <c r="BM8" s="4">
        <v>0.30180000000000001</v>
      </c>
      <c r="BN8" s="4">
        <v>0.3377</v>
      </c>
      <c r="BO8" s="4">
        <v>0.30230000000000001</v>
      </c>
      <c r="BP8" s="4">
        <v>0.28699999999999998</v>
      </c>
      <c r="BQ8" s="4">
        <v>0.3226</v>
      </c>
      <c r="BR8" s="4">
        <v>0.52590000000000003</v>
      </c>
      <c r="BS8" s="4">
        <v>0.2944</v>
      </c>
      <c r="BT8" s="4">
        <v>0.37409999999999999</v>
      </c>
      <c r="BU8" s="4">
        <v>0.49730000000000002</v>
      </c>
      <c r="BV8" s="4">
        <v>0.2681</v>
      </c>
      <c r="BW8" s="4">
        <v>0.30149999999999999</v>
      </c>
      <c r="BX8" s="4"/>
      <c r="BY8" s="4">
        <v>0.34839999999999999</v>
      </c>
      <c r="BZ8" s="4"/>
      <c r="CA8" s="4"/>
      <c r="CB8" s="4"/>
      <c r="CC8" s="4"/>
      <c r="CD8" s="4">
        <v>0.224</v>
      </c>
      <c r="CE8" s="4">
        <v>0.31469999999999998</v>
      </c>
      <c r="CF8" s="4">
        <v>0.38350000000000001</v>
      </c>
      <c r="CG8" s="4"/>
      <c r="CH8" s="4">
        <v>0.27610000000000001</v>
      </c>
      <c r="CI8" s="4"/>
      <c r="CJ8" s="4">
        <v>0.3664</v>
      </c>
      <c r="CK8" s="4"/>
      <c r="CL8" s="4"/>
      <c r="CM8" s="4"/>
      <c r="CN8" s="4"/>
      <c r="CO8" s="4">
        <f t="shared" si="0"/>
        <v>0.67649999999999999</v>
      </c>
      <c r="CP8" s="30">
        <f>Oldham1[[#This Row],[Active - Numbers]]+Oldham1[[#This Row],[Fairly Active - Numbers]]</f>
        <v>123400</v>
      </c>
      <c r="CQ8" s="4">
        <f>Oldham1[[#This Row],[Male I]]-Oldham1[[#This Row],[Female I]]</f>
        <v>-3.5899999999999987E-2</v>
      </c>
      <c r="CR8" s="4">
        <f>Oldham1[[#This Row],[NS SEC 1-2: Higher social groups I]]-Oldham1[[#This Row],[NS SEC 6-8: Lower social groups I]]</f>
        <v>-0.1595</v>
      </c>
      <c r="CS8" s="4">
        <f>Oldham1[[#This Row],[No LT limiting disability I]]-Oldham1[[#This Row],[LT limiting disability I]]</f>
        <v>-0.22920000000000001</v>
      </c>
      <c r="CT8" s="4">
        <f>Oldham1[[#This Row],[16-34 I]]-Oldham1[[#This Row],[75+ I]]</f>
        <v>-0.22360000000000002</v>
      </c>
      <c r="CU8" s="46">
        <v>0.3725</v>
      </c>
      <c r="CV8" s="66">
        <v>0.29909999999999998</v>
      </c>
      <c r="CW8" s="46">
        <v>0.5363</v>
      </c>
      <c r="CX8" s="152">
        <v>7.7200000000000005E-2</v>
      </c>
    </row>
    <row r="9" spans="1:102" x14ac:dyDescent="0.2">
      <c r="A9" s="4" t="s">
        <v>112</v>
      </c>
      <c r="B9" s="4" t="s">
        <v>41</v>
      </c>
      <c r="C9" s="4">
        <v>0.55757342867665061</v>
      </c>
      <c r="D9" s="30">
        <v>101700</v>
      </c>
      <c r="E9" s="4">
        <v>0.56938690141036319</v>
      </c>
      <c r="F9" s="4">
        <v>0.55193259094610203</v>
      </c>
      <c r="G9" s="4">
        <v>0.53844954093471764</v>
      </c>
      <c r="H9" s="4">
        <v>0.5687437098464676</v>
      </c>
      <c r="I9" s="4">
        <v>0.57405445659042154</v>
      </c>
      <c r="J9" s="4">
        <v>0.50917015130912002</v>
      </c>
      <c r="K9" s="4">
        <v>0.55469580689295084</v>
      </c>
      <c r="L9" s="4">
        <v>0.56122429487202663</v>
      </c>
      <c r="M9" s="4">
        <v>0.39622194209207862</v>
      </c>
      <c r="N9" s="4">
        <v>0.61421037488938257</v>
      </c>
      <c r="O9" s="4">
        <v>0.61031446328450023</v>
      </c>
      <c r="P9" s="4"/>
      <c r="Q9" s="4">
        <v>0.43053970887836313</v>
      </c>
      <c r="R9" s="4"/>
      <c r="S9" s="4"/>
      <c r="T9" s="4"/>
      <c r="U9" s="4"/>
      <c r="V9" s="4">
        <v>0.64792543618995124</v>
      </c>
      <c r="W9" s="4">
        <v>0.54103904281393711</v>
      </c>
      <c r="X9" s="4">
        <v>0.51305866055335525</v>
      </c>
      <c r="Y9" s="4"/>
      <c r="Z9" s="4">
        <v>0.6217705850470725</v>
      </c>
      <c r="AA9" s="4"/>
      <c r="AB9" s="4">
        <v>0.54160280507979142</v>
      </c>
      <c r="AC9" s="4"/>
      <c r="AD9" s="4"/>
      <c r="AE9" s="4"/>
      <c r="AF9" s="4"/>
      <c r="AG9" s="4">
        <v>0.11716985050045539</v>
      </c>
      <c r="AH9" s="30">
        <v>21400</v>
      </c>
      <c r="AI9" s="4">
        <v>0.11700477904363149</v>
      </c>
      <c r="AJ9" s="4">
        <v>0.11896696952647279</v>
      </c>
      <c r="AK9" s="4">
        <v>9.9963850441549165E-2</v>
      </c>
      <c r="AL9" s="4">
        <v>0.1258191355609003</v>
      </c>
      <c r="AM9" s="4">
        <v>0.12778786814852361</v>
      </c>
      <c r="AN9" s="4">
        <v>0.11487569037834547</v>
      </c>
      <c r="AO9" s="4">
        <v>0.11382961582031198</v>
      </c>
      <c r="AP9" s="4">
        <v>0.12523462621721501</v>
      </c>
      <c r="AQ9" s="4">
        <v>0.10872898329407638</v>
      </c>
      <c r="AR9" s="4">
        <v>0.10871743281445805</v>
      </c>
      <c r="AS9" s="4">
        <v>0.12000695871425221</v>
      </c>
      <c r="AT9" s="4"/>
      <c r="AU9" s="4"/>
      <c r="AV9" s="4"/>
      <c r="AW9" s="4"/>
      <c r="AX9" s="4"/>
      <c r="AY9" s="4"/>
      <c r="AZ9" s="4">
        <v>0.13545238219403133</v>
      </c>
      <c r="BA9" s="4"/>
      <c r="BB9" s="4"/>
      <c r="BC9" s="4"/>
      <c r="BD9" s="4">
        <v>0.11210780323842184</v>
      </c>
      <c r="BE9" s="4"/>
      <c r="BF9" s="4">
        <v>0.13532974143708271</v>
      </c>
      <c r="BG9" s="4"/>
      <c r="BH9" s="4"/>
      <c r="BI9" s="4"/>
      <c r="BJ9" s="4"/>
      <c r="BK9" s="4">
        <v>0.32525672082289314</v>
      </c>
      <c r="BL9" s="30">
        <v>59300</v>
      </c>
      <c r="BM9" s="4">
        <v>0.31360831954600465</v>
      </c>
      <c r="BN9" s="4">
        <v>0.32910043952742479</v>
      </c>
      <c r="BO9" s="4">
        <v>0.36158660862373326</v>
      </c>
      <c r="BP9" s="4">
        <v>0.30543715459263188</v>
      </c>
      <c r="BQ9" s="4">
        <v>0.2981576752610548</v>
      </c>
      <c r="BR9" s="4">
        <v>0.37595415831253454</v>
      </c>
      <c r="BS9" s="4">
        <v>0.33147457728673613</v>
      </c>
      <c r="BT9" s="4">
        <v>0.31354107891075855</v>
      </c>
      <c r="BU9" s="4">
        <v>0.49504907461384529</v>
      </c>
      <c r="BV9" s="4">
        <v>0.27707219229615881</v>
      </c>
      <c r="BW9" s="4">
        <v>0.26967857800124634</v>
      </c>
      <c r="BX9" s="4"/>
      <c r="BY9" s="4">
        <v>0.45108570090886585</v>
      </c>
      <c r="BZ9" s="4"/>
      <c r="CA9" s="4"/>
      <c r="CB9" s="4"/>
      <c r="CC9" s="4"/>
      <c r="CD9" s="4">
        <v>0.21662218161601776</v>
      </c>
      <c r="CE9" s="4">
        <v>0.33843564596972081</v>
      </c>
      <c r="CF9" s="4">
        <v>0.35470569473271252</v>
      </c>
      <c r="CG9" s="4"/>
      <c r="CH9" s="4">
        <v>0.26612161171450488</v>
      </c>
      <c r="CI9" s="4"/>
      <c r="CJ9" s="4">
        <v>0.32306745348312554</v>
      </c>
      <c r="CK9" s="4"/>
      <c r="CL9" s="4"/>
      <c r="CM9" s="4"/>
      <c r="CN9" s="4"/>
      <c r="CO9" s="4">
        <f t="shared" si="0"/>
        <v>0.67474327917710597</v>
      </c>
      <c r="CP9" s="30">
        <f>Oldham1[[#This Row],[Active - Numbers]]+Oldham1[[#This Row],[Fairly Active - Numbers]]</f>
        <v>123100</v>
      </c>
      <c r="CQ9" s="4">
        <f>Oldham1[[#This Row],[Male I]]-Oldham1[[#This Row],[Female I]]</f>
        <v>-1.5492119981420138E-2</v>
      </c>
      <c r="CR9" s="4">
        <f>Oldham1[[#This Row],[NS SEC 1-2: Higher social groups I]]-Oldham1[[#This Row],[NS SEC 6-8: Lower social groups I]]</f>
        <v>-0.13808351311669476</v>
      </c>
      <c r="CS9" s="4">
        <f>Oldham1[[#This Row],[No LT limiting disability I]]-Oldham1[[#This Row],[LT limiting disability I]]</f>
        <v>-0.21797688231768647</v>
      </c>
      <c r="CT9" s="4">
        <f>Oldham1[[#This Row],[16-34 I]]-Oldham1[[#This Row],[75+ I]]</f>
        <v>-1.4367549688801273E-2</v>
      </c>
      <c r="CU9" s="46">
        <v>0.37295093017666753</v>
      </c>
      <c r="CV9" s="66">
        <v>0.32650181165038444</v>
      </c>
      <c r="CW9" s="46">
        <v>0.57340701123806781</v>
      </c>
      <c r="CX9" s="152">
        <v>0.10879999999999999</v>
      </c>
    </row>
    <row r="10" spans="1:102" s="29" customFormat="1" x14ac:dyDescent="0.2">
      <c r="A10" s="156" t="s">
        <v>112</v>
      </c>
      <c r="B10" s="156" t="s">
        <v>155</v>
      </c>
      <c r="C10" s="155">
        <v>0.57509999999999994</v>
      </c>
      <c r="D10" s="30">
        <v>105700</v>
      </c>
      <c r="E10" s="170">
        <v>0.58342136607974704</v>
      </c>
      <c r="F10" s="170">
        <v>0.56801506821701619</v>
      </c>
      <c r="G10" s="170">
        <v>0.56856474371814936</v>
      </c>
      <c r="H10" s="170">
        <v>0.59534860625621477</v>
      </c>
      <c r="I10" s="170">
        <v>0.58963895790552523</v>
      </c>
      <c r="J10" s="170">
        <v>0.46042745326657164</v>
      </c>
      <c r="K10" s="170">
        <v>0.58205815745486733</v>
      </c>
      <c r="L10" s="170">
        <v>0.56448354202229178</v>
      </c>
      <c r="M10" s="170">
        <v>0.41395398700062919</v>
      </c>
      <c r="N10" s="170">
        <v>0.61127723301640347</v>
      </c>
      <c r="O10" s="170">
        <v>0.63084076410755396</v>
      </c>
      <c r="P10" s="46"/>
      <c r="Q10" s="170">
        <v>0.41476625268937606</v>
      </c>
      <c r="R10" s="46"/>
      <c r="S10" s="46"/>
      <c r="T10" s="46"/>
      <c r="U10" s="46"/>
      <c r="V10" s="170">
        <v>0.6526573325873738</v>
      </c>
      <c r="W10" s="170">
        <v>0.57504899308038759</v>
      </c>
      <c r="X10" s="170">
        <v>0.52213983754491522</v>
      </c>
      <c r="Y10" s="170">
        <v>0.54904995635536991</v>
      </c>
      <c r="Z10" s="170">
        <v>0.62647678855917899</v>
      </c>
      <c r="AA10" s="46"/>
      <c r="AB10" s="170">
        <v>0.55208216516732855</v>
      </c>
      <c r="AC10" s="46"/>
      <c r="AD10" s="46"/>
      <c r="AE10" s="46"/>
      <c r="AF10" s="46"/>
      <c r="AG10" s="64">
        <v>0.12659999999999999</v>
      </c>
      <c r="AH10" s="30">
        <v>23300</v>
      </c>
      <c r="AI10" s="170">
        <v>0.12024793739745446</v>
      </c>
      <c r="AJ10" s="170">
        <v>0.13413744550592158</v>
      </c>
      <c r="AK10" s="46"/>
      <c r="AL10" s="170">
        <v>0.114912667576513</v>
      </c>
      <c r="AM10" s="170">
        <v>0.11292589251337336</v>
      </c>
      <c r="AN10" s="46"/>
      <c r="AO10" s="170">
        <v>0.13460717580372253</v>
      </c>
      <c r="AP10" s="170">
        <v>0.11283263304448508</v>
      </c>
      <c r="AQ10" s="46"/>
      <c r="AR10" s="170">
        <v>0.1287534426460738</v>
      </c>
      <c r="AS10" s="170">
        <v>0.1161876315332967</v>
      </c>
      <c r="AT10" s="46"/>
      <c r="AU10" s="170">
        <v>0.16552367374974356</v>
      </c>
      <c r="AV10" s="46"/>
      <c r="AW10" s="46"/>
      <c r="AX10" s="46"/>
      <c r="AY10" s="46"/>
      <c r="AZ10" s="170">
        <v>0.11971957099354824</v>
      </c>
      <c r="BA10" s="170">
        <v>0.14483035788293572</v>
      </c>
      <c r="BB10" s="46"/>
      <c r="BC10" s="46"/>
      <c r="BD10" s="170">
        <v>0.1266024848856506</v>
      </c>
      <c r="BE10" s="46"/>
      <c r="BF10" s="170">
        <v>0.10798986819675417</v>
      </c>
      <c r="BG10" s="46"/>
      <c r="BH10" s="46"/>
      <c r="BI10" s="46"/>
      <c r="BJ10" s="46"/>
      <c r="BK10" s="64">
        <v>0.29830000000000001</v>
      </c>
      <c r="BL10" s="30">
        <v>54800</v>
      </c>
      <c r="BM10" s="170">
        <v>0.29633069652279959</v>
      </c>
      <c r="BN10" s="170">
        <v>0.29784748627706137</v>
      </c>
      <c r="BO10" s="170">
        <v>0.27683280779599156</v>
      </c>
      <c r="BP10" s="170">
        <v>0.28973872616727225</v>
      </c>
      <c r="BQ10" s="170">
        <v>0.29743514958110184</v>
      </c>
      <c r="BR10" s="170">
        <v>0.42712568411774426</v>
      </c>
      <c r="BS10" s="170">
        <v>0.28333466674141061</v>
      </c>
      <c r="BT10" s="170">
        <v>0.32268382493322301</v>
      </c>
      <c r="BU10" s="170">
        <v>0.46780340596456277</v>
      </c>
      <c r="BV10" s="170">
        <v>0.25996932433752401</v>
      </c>
      <c r="BW10" s="170">
        <v>0.25297160435914939</v>
      </c>
      <c r="BX10" s="46"/>
      <c r="BY10" s="170">
        <v>0.41971007356088036</v>
      </c>
      <c r="BZ10" s="46"/>
      <c r="CA10" s="46"/>
      <c r="CB10" s="46"/>
      <c r="CC10" s="46"/>
      <c r="CD10" s="170">
        <v>0.22762309641907905</v>
      </c>
      <c r="CE10" s="170">
        <v>0.28012064903667649</v>
      </c>
      <c r="CF10" s="170">
        <v>0.3467250934263385</v>
      </c>
      <c r="CG10" s="170">
        <v>0.33682941182445653</v>
      </c>
      <c r="CH10" s="170">
        <v>0.24692072655517119</v>
      </c>
      <c r="CI10" s="46"/>
      <c r="CJ10" s="170">
        <v>0.3399279666359179</v>
      </c>
      <c r="CK10" s="46"/>
      <c r="CL10" s="46"/>
      <c r="CM10" s="46"/>
      <c r="CN10" s="46"/>
      <c r="CO10" s="64">
        <f>SUM(C10,AG10)</f>
        <v>0.70169999999999999</v>
      </c>
      <c r="CP10" s="130">
        <f>Oldham1[[#This Row],[Active - Numbers]]+Oldham1[[#This Row],[Fairly Active - Numbers]]</f>
        <v>129000</v>
      </c>
      <c r="CQ10" s="64">
        <f>Oldham1[[#This Row],[Male I]]-Oldham1[[#This Row],[Female I]]</f>
        <v>-1.5167897542617825E-3</v>
      </c>
      <c r="CR10" s="64">
        <f>Oldham1[[#This Row],[NS SEC 1-2: Higher social groups I]]-Oldham1[[#This Row],[NS SEC 6-8: Lower social groups I]]</f>
        <v>-0.11910199700725946</v>
      </c>
      <c r="CS10" s="64">
        <f>Oldham1[[#This Row],[No LT limiting disability I]]-Oldham1[[#This Row],[LT limiting disability I]]</f>
        <v>-0.20783408162703876</v>
      </c>
      <c r="CT10" s="64">
        <f>Oldham1[[#This Row],[16-34 I]]-Oldham1[[#This Row],[75+ I]]</f>
        <v>-0.1502928763217527</v>
      </c>
      <c r="CU10" s="173">
        <v>0.38335596500787489</v>
      </c>
      <c r="CV10" s="173">
        <v>0.30837917890856043</v>
      </c>
      <c r="CW10" s="173">
        <v>0.573338280801864</v>
      </c>
      <c r="CX10" s="150"/>
    </row>
    <row r="11" spans="1:102" x14ac:dyDescent="0.2">
      <c r="A11" s="4" t="s">
        <v>112</v>
      </c>
      <c r="B11" s="4" t="s">
        <v>42</v>
      </c>
      <c r="C11" s="4">
        <f>C10-C3</f>
        <v>-4.1000000000000036E-2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8.0999999999999961E-3</v>
      </c>
      <c r="AH11" s="26"/>
      <c r="AI11" s="4">
        <f t="shared" ref="AI11:BK11" si="1">AI10-AI3</f>
        <v>1.9274058352344095E-2</v>
      </c>
      <c r="AJ11" s="4">
        <f t="shared" si="1"/>
        <v>4.1634715322607374E-3</v>
      </c>
      <c r="AK11" s="4">
        <f t="shared" si="1"/>
        <v>0</v>
      </c>
      <c r="AL11" s="4">
        <f t="shared" si="1"/>
        <v>-7.5677006050550027E-3</v>
      </c>
      <c r="AM11" s="4">
        <f t="shared" si="1"/>
        <v>-9.3826915818195217E-3</v>
      </c>
      <c r="AN11" s="4">
        <f t="shared" si="1"/>
        <v>0</v>
      </c>
      <c r="AO11" s="4">
        <f t="shared" si="1"/>
        <v>0.13460717580372253</v>
      </c>
      <c r="AP11" s="4">
        <f t="shared" si="1"/>
        <v>0.11283263304448508</v>
      </c>
      <c r="AQ11" s="4">
        <f t="shared" si="1"/>
        <v>0</v>
      </c>
      <c r="AR11" s="4">
        <f t="shared" si="1"/>
        <v>1.203252956493886E-2</v>
      </c>
      <c r="AS11" s="4">
        <f t="shared" si="1"/>
        <v>-9.9946205567351953E-3</v>
      </c>
      <c r="AT11" s="4">
        <f t="shared" si="1"/>
        <v>0</v>
      </c>
      <c r="AU11" s="4">
        <f t="shared" si="1"/>
        <v>0.16552367374974356</v>
      </c>
      <c r="AV11" s="4">
        <f t="shared" si="1"/>
        <v>0</v>
      </c>
      <c r="AW11" s="4">
        <f t="shared" si="1"/>
        <v>0</v>
      </c>
      <c r="AX11" s="4">
        <f t="shared" si="1"/>
        <v>0</v>
      </c>
      <c r="AY11" s="4">
        <f t="shared" si="1"/>
        <v>0</v>
      </c>
      <c r="AZ11" s="4">
        <f t="shared" si="1"/>
        <v>-4.669052913685523E-2</v>
      </c>
      <c r="BA11" s="4">
        <f t="shared" si="1"/>
        <v>0.14483035788293572</v>
      </c>
      <c r="BB11" s="4">
        <f t="shared" si="1"/>
        <v>0</v>
      </c>
      <c r="BC11" s="4">
        <f t="shared" si="1"/>
        <v>0</v>
      </c>
      <c r="BD11" s="4">
        <f t="shared" si="1"/>
        <v>0.1266024848856506</v>
      </c>
      <c r="BE11" s="4">
        <f t="shared" si="1"/>
        <v>0</v>
      </c>
      <c r="BF11" s="4">
        <f t="shared" si="1"/>
        <v>0.10798986819675417</v>
      </c>
      <c r="BG11" s="4">
        <f t="shared" si="1"/>
        <v>0</v>
      </c>
      <c r="BH11" s="4">
        <f t="shared" si="1"/>
        <v>0</v>
      </c>
      <c r="BI11" s="4">
        <f t="shared" si="1"/>
        <v>0</v>
      </c>
      <c r="BJ11" s="4">
        <f t="shared" si="1"/>
        <v>0</v>
      </c>
      <c r="BK11" s="4">
        <f t="shared" si="1"/>
        <v>3.2899999999999985E-2</v>
      </c>
      <c r="BL11" s="26"/>
      <c r="BM11" s="4">
        <f t="shared" ref="BM11:CS11" si="2">BM10-BM3</f>
        <v>2.0811229742696447E-2</v>
      </c>
      <c r="BN11" s="4">
        <f t="shared" si="2"/>
        <v>4.2996927157488429E-2</v>
      </c>
      <c r="BO11" s="4">
        <f t="shared" si="2"/>
        <v>0.27683280779599156</v>
      </c>
      <c r="BP11" s="4">
        <f t="shared" si="2"/>
        <v>2.2336682461227331E-2</v>
      </c>
      <c r="BQ11" s="4">
        <f t="shared" si="2"/>
        <v>-1.7141767331190272E-2</v>
      </c>
      <c r="BR11" s="4">
        <f t="shared" si="2"/>
        <v>-8.3708999167665776E-2</v>
      </c>
      <c r="BS11" s="4">
        <f t="shared" si="2"/>
        <v>0.28333466674141061</v>
      </c>
      <c r="BT11" s="4">
        <f t="shared" si="2"/>
        <v>0.32268382493322301</v>
      </c>
      <c r="BU11" s="4">
        <f t="shared" si="2"/>
        <v>7.5358935287972939E-2</v>
      </c>
      <c r="BV11" s="4">
        <f t="shared" si="2"/>
        <v>4.8316926215533212E-2</v>
      </c>
      <c r="BW11" s="4">
        <f t="shared" si="2"/>
        <v>-2.2364278279162764E-3</v>
      </c>
      <c r="BX11" s="4">
        <f t="shared" si="2"/>
        <v>0</v>
      </c>
      <c r="BY11" s="4">
        <f t="shared" si="2"/>
        <v>0.41971007356088036</v>
      </c>
      <c r="BZ11" s="4">
        <f t="shared" si="2"/>
        <v>0</v>
      </c>
      <c r="CA11" s="4">
        <f t="shared" si="2"/>
        <v>0</v>
      </c>
      <c r="CB11" s="4">
        <f t="shared" si="2"/>
        <v>0</v>
      </c>
      <c r="CC11" s="4">
        <f t="shared" si="2"/>
        <v>0</v>
      </c>
      <c r="CD11" s="4">
        <f t="shared" si="2"/>
        <v>6.2397588499525203E-2</v>
      </c>
      <c r="CE11" s="4">
        <f t="shared" si="2"/>
        <v>4.2522872020928859E-2</v>
      </c>
      <c r="CF11" s="4">
        <f t="shared" si="2"/>
        <v>-3.421739670695928E-2</v>
      </c>
      <c r="CG11" s="4">
        <f t="shared" si="2"/>
        <v>0.33682941182445653</v>
      </c>
      <c r="CH11" s="4">
        <f t="shared" si="2"/>
        <v>0.24692072655517119</v>
      </c>
      <c r="CI11" s="4">
        <f t="shared" si="2"/>
        <v>0</v>
      </c>
      <c r="CJ11" s="4">
        <f t="shared" si="2"/>
        <v>0.3399279666359179</v>
      </c>
      <c r="CK11" s="4">
        <f t="shared" si="2"/>
        <v>0</v>
      </c>
      <c r="CL11" s="4">
        <f t="shared" si="2"/>
        <v>0</v>
      </c>
      <c r="CM11" s="4">
        <f t="shared" si="2"/>
        <v>0</v>
      </c>
      <c r="CN11" s="4">
        <f t="shared" si="2"/>
        <v>0</v>
      </c>
      <c r="CO11" s="4">
        <f t="shared" si="2"/>
        <v>-3.2899999999999929E-2</v>
      </c>
      <c r="CP11" s="30">
        <f t="shared" si="2"/>
        <v>-1800</v>
      </c>
      <c r="CQ11" s="169">
        <f t="shared" si="2"/>
        <v>-2.2185697414791983E-2</v>
      </c>
      <c r="CR11" s="169">
        <f t="shared" si="2"/>
        <v>9.6614985206484483E-2</v>
      </c>
      <c r="CS11" s="169">
        <f t="shared" si="2"/>
        <v>-2.7042009072439727E-2</v>
      </c>
      <c r="CT11" s="4">
        <f>CT10-CT3</f>
        <v>0.36054180696365734</v>
      </c>
      <c r="CU11" s="64">
        <f>CU10-CU7</f>
        <v>-2.752054080849442E-3</v>
      </c>
      <c r="CV11" s="64">
        <f>CV10-CV7</f>
        <v>-1.5129680396741563E-4</v>
      </c>
      <c r="CW11" s="64">
        <f>CW10-CW7</f>
        <v>1.8093854813625243E-2</v>
      </c>
      <c r="CX11" s="64"/>
    </row>
  </sheetData>
  <mergeCells count="3">
    <mergeCell ref="C1:AD1"/>
    <mergeCell ref="AF1:BG1"/>
    <mergeCell ref="BI1:CJ1"/>
  </mergeCells>
  <conditionalFormatting sqref="D9 D7 D4">
    <cfRule type="containsText" dxfId="1736" priority="21" operator="containsText" text="Significant increase">
      <formula>NOT(ISERROR(SEARCH("Significant increase",D4)))</formula>
    </cfRule>
    <cfRule type="containsText" dxfId="1735" priority="22" operator="containsText" text="Significant decrease">
      <formula>NOT(ISERROR(SEARCH("Significant decrease",D4)))</formula>
    </cfRule>
  </conditionalFormatting>
  <conditionalFormatting sqref="AH9 AH7 AH4">
    <cfRule type="containsText" dxfId="1734" priority="19" operator="containsText" text="Significant increase">
      <formula>NOT(ISERROR(SEARCH("Significant increase",AH4)))</formula>
    </cfRule>
    <cfRule type="containsText" dxfId="1733" priority="20" operator="containsText" text="Significant decrease">
      <formula>NOT(ISERROR(SEARCH("Significant decrease",AH4)))</formula>
    </cfRule>
  </conditionalFormatting>
  <conditionalFormatting sqref="BL9:BL10 BL7 BL4">
    <cfRule type="containsText" dxfId="1732" priority="17" operator="containsText" text="Significant increase">
      <formula>NOT(ISERROR(SEARCH("Significant increase",BL4)))</formula>
    </cfRule>
    <cfRule type="containsText" dxfId="1731" priority="18" operator="containsText" text="Significant decrease">
      <formula>NOT(ISERROR(SEARCH("Significant decrease",BL4)))</formula>
    </cfRule>
  </conditionalFormatting>
  <conditionalFormatting sqref="CX9:CX10">
    <cfRule type="containsText" dxfId="1730" priority="15" operator="containsText" text="Significant increase">
      <formula>NOT(ISERROR(SEARCH("Significant increase",CX9)))</formula>
    </cfRule>
    <cfRule type="containsText" dxfId="1729" priority="16" operator="containsText" text="Significant decrease">
      <formula>NOT(ISERROR(SEARCH("Significant decrease",CX9)))</formula>
    </cfRule>
  </conditionalFormatting>
  <conditionalFormatting sqref="CX8">
    <cfRule type="containsText" dxfId="1728" priority="13" operator="containsText" text="Significant increase">
      <formula>NOT(ISERROR(SEARCH("Significant increase",CX8)))</formula>
    </cfRule>
    <cfRule type="containsText" dxfId="1727" priority="14" operator="containsText" text="Significant decrease">
      <formula>NOT(ISERROR(SEARCH("Significant decrease",CX8)))</formula>
    </cfRule>
  </conditionalFormatting>
  <conditionalFormatting sqref="CX7">
    <cfRule type="containsText" dxfId="1726" priority="11" operator="containsText" text="Significant increase">
      <formula>NOT(ISERROR(SEARCH("Significant increase",CX7)))</formula>
    </cfRule>
    <cfRule type="containsText" dxfId="1725" priority="12" operator="containsText" text="Significant decrease">
      <formula>NOT(ISERROR(SEARCH("Significant decrease",CX7)))</formula>
    </cfRule>
  </conditionalFormatting>
  <conditionalFormatting sqref="CX6">
    <cfRule type="containsText" dxfId="1724" priority="9" operator="containsText" text="Significant increase">
      <formula>NOT(ISERROR(SEARCH("Significant increase",CX6)))</formula>
    </cfRule>
    <cfRule type="containsText" dxfId="1723" priority="10" operator="containsText" text="Significant decrease">
      <formula>NOT(ISERROR(SEARCH("Significant decrease",CX6)))</formula>
    </cfRule>
  </conditionalFormatting>
  <conditionalFormatting sqref="CX4">
    <cfRule type="containsText" dxfId="1722" priority="7" operator="containsText" text="Significant increase">
      <formula>NOT(ISERROR(SEARCH("Significant increase",CX4)))</formula>
    </cfRule>
    <cfRule type="containsText" dxfId="1721" priority="8" operator="containsText" text="Significant decrease">
      <formula>NOT(ISERROR(SEARCH("Significant decrease",CX4)))</formula>
    </cfRule>
  </conditionalFormatting>
  <conditionalFormatting sqref="C10">
    <cfRule type="containsText" dxfId="1720" priority="5" operator="containsText" text="Significant increase">
      <formula>NOT(ISERROR(SEARCH("Significant increase",C10)))</formula>
    </cfRule>
    <cfRule type="containsText" dxfId="1719" priority="6" operator="containsText" text="Significant decrease">
      <formula>NOT(ISERROR(SEARCH("Significant decrease",C10)))</formula>
    </cfRule>
  </conditionalFormatting>
  <conditionalFormatting sqref="D10">
    <cfRule type="containsText" dxfId="1718" priority="3" operator="containsText" text="Significant increase">
      <formula>NOT(ISERROR(SEARCH("Significant increase",D10)))</formula>
    </cfRule>
    <cfRule type="containsText" dxfId="1717" priority="4" operator="containsText" text="Significant decrease">
      <formula>NOT(ISERROR(SEARCH("Significant decrease",D10)))</formula>
    </cfRule>
  </conditionalFormatting>
  <conditionalFormatting sqref="AH10">
    <cfRule type="containsText" dxfId="1716" priority="1" operator="containsText" text="Significant increase">
      <formula>NOT(ISERROR(SEARCH("Significant increase",AH10)))</formula>
    </cfRule>
    <cfRule type="containsText" dxfId="1715" priority="2" operator="containsText" text="Significant decrease">
      <formula>NOT(ISERROR(SEARCH("Significant decrease",AH10)))</formula>
    </cfRule>
  </conditionalFormatting>
  <pageMargins left="0.7" right="0.7" top="0.75" bottom="0.75" header="0.3" footer="0.3"/>
  <legacyDrawing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X11"/>
  <sheetViews>
    <sheetView zoomScale="85" zoomScaleNormal="85" workbookViewId="0">
      <pane xSplit="2" ySplit="2" topLeftCell="CC3" activePane="bottomRight" state="frozen"/>
      <selection pane="topRight" activeCell="C1" sqref="C1"/>
      <selection pane="bottomLeft" activeCell="A3" sqref="A3"/>
      <selection pane="bottomRight" activeCell="BO28" sqref="BO28"/>
    </sheetView>
  </sheetViews>
  <sheetFormatPr defaultRowHeight="14.25" outlineLevelCol="1" x14ac:dyDescent="0.2"/>
  <cols>
    <col min="1" max="1" width="11.69921875" customWidth="1"/>
    <col min="2" max="2" width="23.5" customWidth="1"/>
    <col min="3" max="10" width="8.69921875" customWidth="1" outlineLevel="1"/>
    <col min="11" max="11" width="18.296875" customWidth="1" outlineLevel="1"/>
    <col min="12" max="12" width="21" customWidth="1" outlineLevel="1"/>
    <col min="13" max="13" width="12.796875" customWidth="1" outlineLevel="1"/>
    <col min="14" max="14" width="12.19921875" customWidth="1" outlineLevel="1"/>
    <col min="15" max="15" width="12.09765625" customWidth="1" outlineLevel="1"/>
    <col min="16" max="16" width="8.69921875" customWidth="1" outlineLevel="1"/>
    <col min="17" max="17" width="9.296875" customWidth="1" outlineLevel="1"/>
    <col min="18" max="18" width="8.69921875" customWidth="1" outlineLevel="1"/>
    <col min="19" max="19" width="17.69921875" customWidth="1" outlineLevel="1"/>
    <col min="20" max="21" width="29" customWidth="1" outlineLevel="1"/>
    <col min="22" max="22" width="28.5" customWidth="1" outlineLevel="1"/>
    <col min="23" max="23" width="26.296875" customWidth="1" outlineLevel="1"/>
    <col min="24" max="24" width="21.5" customWidth="1" outlineLevel="1"/>
    <col min="25" max="25" width="12.5" customWidth="1" outlineLevel="1"/>
    <col min="26" max="26" width="19" customWidth="1" outlineLevel="1"/>
    <col min="27" max="27" width="35.69921875" customWidth="1" outlineLevel="1"/>
    <col min="28" max="28" width="33.796875" customWidth="1" outlineLevel="1"/>
    <col min="29" max="29" width="21.296875" customWidth="1" outlineLevel="1"/>
    <col min="30" max="30" width="19.19921875" customWidth="1" outlineLevel="1"/>
    <col min="31" max="31" width="28.296875" customWidth="1"/>
    <col min="32" max="32" width="8.69921875" customWidth="1" outlineLevel="1"/>
    <col min="33" max="33" width="9.296875" customWidth="1" outlineLevel="1"/>
    <col min="34" max="39" width="8.69921875" customWidth="1" outlineLevel="1"/>
    <col min="40" max="40" width="20.09765625" customWidth="1" outlineLevel="1"/>
    <col min="41" max="41" width="22.69921875" customWidth="1" outlineLevel="1"/>
    <col min="42" max="42" width="14.59765625" customWidth="1" outlineLevel="1"/>
    <col min="43" max="43" width="14" customWidth="1" outlineLevel="1"/>
    <col min="44" max="44" width="13.796875" customWidth="1" outlineLevel="1"/>
    <col min="45" max="45" width="8.796875" customWidth="1" outlineLevel="1"/>
    <col min="46" max="46" width="11.09765625" customWidth="1" outlineLevel="1"/>
    <col min="47" max="47" width="9.296875" customWidth="1" outlineLevel="1"/>
    <col min="48" max="48" width="19.5" customWidth="1" outlineLevel="1"/>
    <col min="49" max="50" width="30.69921875" customWidth="1" outlineLevel="1"/>
    <col min="51" max="51" width="30.296875" customWidth="1" outlineLevel="1"/>
    <col min="52" max="52" width="28.09765625" customWidth="1" outlineLevel="1"/>
    <col min="53" max="53" width="23.296875" customWidth="1" outlineLevel="1"/>
    <col min="54" max="54" width="14.296875" customWidth="1" outlineLevel="1"/>
    <col min="55" max="55" width="20.69921875" customWidth="1" outlineLevel="1"/>
    <col min="56" max="56" width="37.5" customWidth="1" outlineLevel="1"/>
    <col min="57" max="57" width="35.59765625" customWidth="1" outlineLevel="1"/>
    <col min="58" max="58" width="23.09765625" customWidth="1" outlineLevel="1"/>
    <col min="59" max="59" width="21" customWidth="1" outlineLevel="1"/>
    <col min="60" max="60" width="24.796875" customWidth="1"/>
    <col min="61" max="61" width="8.69921875" customWidth="1" outlineLevel="1"/>
    <col min="62" max="62" width="10.19921875" customWidth="1" outlineLevel="1"/>
    <col min="63" max="68" width="8.69921875" customWidth="1" outlineLevel="1"/>
    <col min="69" max="69" width="20.09765625" customWidth="1" outlineLevel="1"/>
    <col min="70" max="70" width="22.69921875" customWidth="1" outlineLevel="1"/>
    <col min="71" max="71" width="14.59765625" customWidth="1" outlineLevel="1"/>
    <col min="72" max="72" width="14" customWidth="1" outlineLevel="1"/>
    <col min="73" max="73" width="13.796875" customWidth="1" outlineLevel="1"/>
    <col min="74" max="74" width="8.796875" customWidth="1" outlineLevel="1"/>
    <col min="75" max="75" width="11.09765625" customWidth="1" outlineLevel="1"/>
    <col min="76" max="76" width="9.296875" customWidth="1" outlineLevel="1"/>
    <col min="77" max="77" width="19.5" customWidth="1" outlineLevel="1"/>
    <col min="78" max="79" width="30.69921875" customWidth="1" outlineLevel="1"/>
    <col min="80" max="80" width="30.296875" customWidth="1" outlineLevel="1"/>
    <col min="81" max="81" width="28.09765625" customWidth="1" outlineLevel="1"/>
    <col min="82" max="82" width="23.296875" customWidth="1" outlineLevel="1"/>
    <col min="83" max="83" width="14.296875" customWidth="1" outlineLevel="1"/>
    <col min="84" max="84" width="20.69921875" customWidth="1" outlineLevel="1"/>
    <col min="85" max="85" width="37.5" customWidth="1" outlineLevel="1"/>
    <col min="86" max="86" width="35.59765625" customWidth="1" outlineLevel="1"/>
    <col min="87" max="87" width="23.09765625" customWidth="1" outlineLevel="1"/>
    <col min="88" max="88" width="21" customWidth="1" outlineLevel="1"/>
    <col min="94" max="94" width="8.69921875" style="30"/>
  </cols>
  <sheetData>
    <row r="1" spans="1:102" x14ac:dyDescent="0.2">
      <c r="C1" s="229" t="s">
        <v>30</v>
      </c>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F1" s="229" t="s">
        <v>32</v>
      </c>
      <c r="AG1" s="229"/>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I1" s="229" t="s">
        <v>34</v>
      </c>
      <c r="BJ1" s="229"/>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row>
    <row r="2" spans="1:102" x14ac:dyDescent="0.2">
      <c r="A2" s="2" t="s">
        <v>106</v>
      </c>
      <c r="B2" t="s">
        <v>0</v>
      </c>
      <c r="C2" t="s">
        <v>29</v>
      </c>
      <c r="D2" s="29"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165</v>
      </c>
      <c r="CQ2" s="2" t="s">
        <v>102</v>
      </c>
      <c r="CR2" s="2" t="s">
        <v>103</v>
      </c>
      <c r="CS2" s="2" t="s">
        <v>104</v>
      </c>
      <c r="CT2" s="2" t="s">
        <v>105</v>
      </c>
      <c r="CU2" s="2" t="s">
        <v>207</v>
      </c>
      <c r="CV2" s="2" t="s">
        <v>208</v>
      </c>
      <c r="CW2" s="2" t="s">
        <v>209</v>
      </c>
      <c r="CX2" s="2" t="s">
        <v>301</v>
      </c>
    </row>
    <row r="3" spans="1:102" x14ac:dyDescent="0.2">
      <c r="A3" s="4" t="s">
        <v>113</v>
      </c>
      <c r="B3" s="4" t="s">
        <v>35</v>
      </c>
      <c r="C3" s="4">
        <v>0.53859999999999997</v>
      </c>
      <c r="D3" s="30">
        <v>91100</v>
      </c>
      <c r="E3" s="4">
        <v>0.57544752107367858</v>
      </c>
      <c r="F3" s="4">
        <v>0.49991369794221091</v>
      </c>
      <c r="G3" s="4">
        <v>0.58816639929402947</v>
      </c>
      <c r="H3" s="4">
        <v>0.56737249134330736</v>
      </c>
      <c r="I3" s="4">
        <v>0.53194211521273249</v>
      </c>
      <c r="J3" s="4"/>
      <c r="K3" s="4"/>
      <c r="L3" s="4"/>
      <c r="M3" s="4">
        <v>0.34820755873474168</v>
      </c>
      <c r="N3" s="4">
        <v>0.59703600047794025</v>
      </c>
      <c r="O3" s="4">
        <v>0.56100604373362206</v>
      </c>
      <c r="P3" s="4"/>
      <c r="Q3" s="4">
        <v>0.47023211344095023</v>
      </c>
      <c r="R3" s="4"/>
      <c r="S3" s="4"/>
      <c r="T3" s="4"/>
      <c r="U3" s="4"/>
      <c r="V3" s="4">
        <v>0.65421273848633177</v>
      </c>
      <c r="W3" s="4">
        <v>0.55628197857726713</v>
      </c>
      <c r="X3" s="4">
        <v>0.46255012702776099</v>
      </c>
      <c r="Y3" s="4"/>
      <c r="Z3" s="4"/>
      <c r="AA3" s="4"/>
      <c r="AB3" s="4"/>
      <c r="AC3" s="4"/>
      <c r="AD3" s="4"/>
      <c r="AE3" s="4"/>
      <c r="AF3" s="4"/>
      <c r="AG3" s="4">
        <v>0.11650000000000001</v>
      </c>
      <c r="AH3" s="30">
        <v>19700</v>
      </c>
      <c r="AI3" s="4">
        <v>0.10198648015511777</v>
      </c>
      <c r="AJ3" s="4">
        <v>0.13401634573538387</v>
      </c>
      <c r="AK3" s="4">
        <v>0.1142988706549922</v>
      </c>
      <c r="AL3" s="4">
        <v>0.12289965014202067</v>
      </c>
      <c r="AM3" s="4">
        <v>0.10304780017034806</v>
      </c>
      <c r="AN3" s="4"/>
      <c r="AO3" s="4"/>
      <c r="AP3" s="4"/>
      <c r="AQ3" s="4"/>
      <c r="AR3" s="4">
        <v>0.11510288927015813</v>
      </c>
      <c r="AS3" s="4">
        <v>0.12902373598300607</v>
      </c>
      <c r="AT3" s="4"/>
      <c r="AU3" s="4"/>
      <c r="AV3" s="4"/>
      <c r="AW3" s="4"/>
      <c r="AX3" s="4"/>
      <c r="AY3" s="4"/>
      <c r="AZ3" s="4">
        <v>0.10559568674858197</v>
      </c>
      <c r="BA3" s="4"/>
      <c r="BB3" s="4"/>
      <c r="BC3" s="4"/>
      <c r="BD3" s="4"/>
      <c r="BE3" s="4"/>
      <c r="BF3" s="4"/>
      <c r="BG3" s="4"/>
      <c r="BH3" s="4"/>
      <c r="BI3" s="4"/>
      <c r="BJ3" s="4"/>
      <c r="BK3" s="4">
        <v>0.34489999999999998</v>
      </c>
      <c r="BL3" s="30">
        <v>58300</v>
      </c>
      <c r="BM3" s="4">
        <v>0.32256599877120429</v>
      </c>
      <c r="BN3" s="4">
        <v>0.36606995632240463</v>
      </c>
      <c r="BO3" s="4">
        <v>0.2975347300509778</v>
      </c>
      <c r="BP3" s="4">
        <v>0.30972785851467155</v>
      </c>
      <c r="BQ3" s="4">
        <v>0.36501008461692064</v>
      </c>
      <c r="BR3" s="4">
        <v>0.60757561078825972</v>
      </c>
      <c r="BS3" s="4"/>
      <c r="BT3" s="4"/>
      <c r="BU3" s="4">
        <v>0.51640931498656528</v>
      </c>
      <c r="BV3" s="4">
        <v>0.28786111025190103</v>
      </c>
      <c r="BW3" s="4">
        <v>0.30997022028337201</v>
      </c>
      <c r="BX3" s="4"/>
      <c r="BY3" s="4">
        <v>0.43200881094343058</v>
      </c>
      <c r="BZ3" s="4"/>
      <c r="CA3" s="4"/>
      <c r="CB3" s="4"/>
      <c r="CC3" s="4"/>
      <c r="CD3" s="4">
        <v>0.24019157476508685</v>
      </c>
      <c r="CE3" s="4">
        <v>0.32084585028168766</v>
      </c>
      <c r="CF3" s="4">
        <v>0.41758848892958655</v>
      </c>
      <c r="CG3" s="4"/>
      <c r="CH3" s="4"/>
      <c r="CI3" s="4"/>
      <c r="CJ3" s="4"/>
      <c r="CK3" s="4"/>
      <c r="CL3" s="4"/>
      <c r="CM3" s="4"/>
      <c r="CN3" s="4"/>
      <c r="CO3" s="4">
        <f t="shared" ref="CO3:CO9" si="0">SUM(C3,AG3)</f>
        <v>0.65510000000000002</v>
      </c>
      <c r="CP3" s="30">
        <f>Rochdale1[[#This Row],[Active - Numbers]]+Rochdale1[[#This Row],[Fairly Active - Numbers]]</f>
        <v>110800</v>
      </c>
      <c r="CQ3" s="4">
        <f>Rochdale1[[#This Row],[Male I]]-Rochdale1[[#This Row],[Female I]]</f>
        <v>-4.3503957551200345E-2</v>
      </c>
      <c r="CR3" s="4">
        <f>Rochdale1[[#This Row],[NS SEC 1-2: Higher social groups I]]-Rochdale1[[#This Row],[NS SEC 6-8: Lower social groups I]]</f>
        <v>-0.17739691416449971</v>
      </c>
      <c r="CS3" s="4">
        <f>Rochdale1[[#This Row],[No LT limiting disability I]]-Rochdale1[[#This Row],[LT limiting disability I]]</f>
        <v>-0.22854820473466425</v>
      </c>
      <c r="CT3" s="4">
        <f>Rochdale1[[#This Row],[16-34 I]]-Rochdale1[[#This Row],[75+ I]]</f>
        <v>-0.31004088073728192</v>
      </c>
      <c r="CU3" s="64"/>
      <c r="CV3" s="64"/>
      <c r="CW3" s="64"/>
      <c r="CX3" s="64"/>
    </row>
    <row r="4" spans="1:102" x14ac:dyDescent="0.2">
      <c r="A4" s="4" t="s">
        <v>113</v>
      </c>
      <c r="B4" s="4" t="s">
        <v>36</v>
      </c>
      <c r="C4" s="44">
        <v>0.61699999999999999</v>
      </c>
      <c r="D4" s="30">
        <v>105100</v>
      </c>
      <c r="E4" s="4">
        <v>0.66037723220025224</v>
      </c>
      <c r="F4" s="4">
        <v>0.54290272249826943</v>
      </c>
      <c r="G4" s="4">
        <v>0.67705528615283184</v>
      </c>
      <c r="H4" s="4">
        <v>0.64689667708973009</v>
      </c>
      <c r="I4" s="4">
        <v>0.54763747236310401</v>
      </c>
      <c r="J4" s="4"/>
      <c r="K4" s="4"/>
      <c r="L4" s="4"/>
      <c r="M4" s="4">
        <v>0.44599519908064472</v>
      </c>
      <c r="N4" s="4">
        <v>0.65991707178184389</v>
      </c>
      <c r="O4" s="4">
        <v>0.60990708608688105</v>
      </c>
      <c r="P4" s="4"/>
      <c r="Q4" s="4">
        <v>0.55586964155328578</v>
      </c>
      <c r="R4" s="4"/>
      <c r="S4" s="4"/>
      <c r="T4" s="4"/>
      <c r="U4" s="4"/>
      <c r="V4" s="4">
        <v>0.6404608963555164</v>
      </c>
      <c r="W4" s="4">
        <v>0.63115721906480782</v>
      </c>
      <c r="X4" s="4">
        <v>0.53417353037460491</v>
      </c>
      <c r="Y4" s="4"/>
      <c r="Z4" s="4"/>
      <c r="AA4" s="4"/>
      <c r="AB4" s="4"/>
      <c r="AC4" s="4"/>
      <c r="AD4" s="4"/>
      <c r="AE4" s="4"/>
      <c r="AF4" s="4"/>
      <c r="AG4" s="44">
        <v>8.2100000000000006E-2</v>
      </c>
      <c r="AH4" s="30">
        <v>14000</v>
      </c>
      <c r="AI4" s="4">
        <v>6.718946322740664E-2</v>
      </c>
      <c r="AJ4" s="4">
        <v>0.13168415963635272</v>
      </c>
      <c r="AK4" s="4"/>
      <c r="AL4" s="4">
        <v>9.4082519485978525E-2</v>
      </c>
      <c r="AM4" s="4">
        <v>0.11363963960093482</v>
      </c>
      <c r="AN4" s="4"/>
      <c r="AO4" s="4"/>
      <c r="AP4" s="4"/>
      <c r="AQ4" s="4"/>
      <c r="AR4" s="4">
        <v>9.9083224274006024E-2</v>
      </c>
      <c r="AS4" s="4">
        <v>0.11371771950395926</v>
      </c>
      <c r="AT4" s="4"/>
      <c r="AU4" s="4"/>
      <c r="AV4" s="4"/>
      <c r="AW4" s="4"/>
      <c r="AX4" s="4"/>
      <c r="AY4" s="4"/>
      <c r="AZ4" s="4">
        <v>0.10860848031578653</v>
      </c>
      <c r="BA4" s="4">
        <v>0.10598877676326762</v>
      </c>
      <c r="BB4" s="4"/>
      <c r="BC4" s="4"/>
      <c r="BD4" s="4"/>
      <c r="BE4" s="4"/>
      <c r="BF4" s="4"/>
      <c r="BG4" s="4"/>
      <c r="BH4" s="4"/>
      <c r="BI4" s="4"/>
      <c r="BJ4" s="4"/>
      <c r="BK4" s="4">
        <v>0.30093514962307633</v>
      </c>
      <c r="BL4" s="30">
        <v>51300</v>
      </c>
      <c r="BM4" s="4">
        <v>0.27243330457234111</v>
      </c>
      <c r="BN4" s="4">
        <v>0.32541311786537724</v>
      </c>
      <c r="BO4" s="4">
        <v>0.23635719784190404</v>
      </c>
      <c r="BP4" s="4">
        <v>0.25902080342429096</v>
      </c>
      <c r="BQ4" s="4">
        <v>0.3387228880359624</v>
      </c>
      <c r="BR4" s="4">
        <v>0.57587483260649786</v>
      </c>
      <c r="BS4" s="4"/>
      <c r="BT4" s="4"/>
      <c r="BU4" s="4">
        <v>0.45581866199733234</v>
      </c>
      <c r="BV4" s="4">
        <v>0.24099970394414977</v>
      </c>
      <c r="BW4" s="4">
        <v>0.27637519440915992</v>
      </c>
      <c r="BX4" s="4"/>
      <c r="BY4" s="4">
        <v>0.38804464103114178</v>
      </c>
      <c r="BZ4" s="4"/>
      <c r="CA4" s="4"/>
      <c r="CB4" s="4"/>
      <c r="CC4" s="4"/>
      <c r="CD4" s="4">
        <v>0.25093062332869748</v>
      </c>
      <c r="CE4" s="4">
        <v>0.26285400417192389</v>
      </c>
      <c r="CF4" s="4">
        <v>0.37578663479783531</v>
      </c>
      <c r="CG4" s="4"/>
      <c r="CH4" s="4"/>
      <c r="CI4" s="4"/>
      <c r="CJ4" s="4"/>
      <c r="CK4" s="4"/>
      <c r="CL4" s="4"/>
      <c r="CM4" s="4"/>
      <c r="CN4" s="4"/>
      <c r="CO4" s="4">
        <f t="shared" si="0"/>
        <v>0.69910000000000005</v>
      </c>
      <c r="CP4" s="30">
        <f>Rochdale1[[#This Row],[Active - Numbers]]+Rochdale1[[#This Row],[Fairly Active - Numbers]]</f>
        <v>119100</v>
      </c>
      <c r="CQ4" s="4">
        <f>Rochdale1[[#This Row],[Male I]]-Rochdale1[[#This Row],[Female I]]</f>
        <v>-5.2979813293036138E-2</v>
      </c>
      <c r="CR4" s="4">
        <f>Rochdale1[[#This Row],[NS SEC 1-2: Higher social groups I]]-Rochdale1[[#This Row],[NS SEC 6-8: Lower social groups I]]</f>
        <v>-0.12485601146913783</v>
      </c>
      <c r="CS4" s="4">
        <f>Rochdale1[[#This Row],[No LT limiting disability I]]-Rochdale1[[#This Row],[LT limiting disability I]]</f>
        <v>-0.21481895805318257</v>
      </c>
      <c r="CT4" s="4">
        <f>Rochdale1[[#This Row],[16-34 I]]-Rochdale1[[#This Row],[75+ I]]</f>
        <v>-0.33951763476459385</v>
      </c>
      <c r="CU4" s="64"/>
      <c r="CV4" s="64"/>
      <c r="CW4" s="64"/>
      <c r="CX4" s="152">
        <v>0.17</v>
      </c>
    </row>
    <row r="5" spans="1:102" x14ac:dyDescent="0.2">
      <c r="A5" s="4" t="s">
        <v>113</v>
      </c>
      <c r="B5" s="4" t="s">
        <v>37</v>
      </c>
      <c r="C5" s="4">
        <v>0.58209999999999995</v>
      </c>
      <c r="D5" s="30">
        <v>99000</v>
      </c>
      <c r="E5" s="4">
        <v>0.60746294031177561</v>
      </c>
      <c r="F5" s="4">
        <v>0.55637802205578457</v>
      </c>
      <c r="G5" s="4">
        <v>0.5779116994704655</v>
      </c>
      <c r="H5" s="4">
        <v>0.661447439873728</v>
      </c>
      <c r="I5" s="4">
        <v>0.5916141413597944</v>
      </c>
      <c r="J5" s="4"/>
      <c r="K5" s="4"/>
      <c r="L5" s="4"/>
      <c r="M5" s="4">
        <v>0.41132772625995928</v>
      </c>
      <c r="N5" s="4">
        <v>0.64665356051182077</v>
      </c>
      <c r="O5" s="4">
        <v>0.59925251516405897</v>
      </c>
      <c r="P5" s="4"/>
      <c r="Q5" s="4">
        <v>0.4888213242379168</v>
      </c>
      <c r="R5" s="4"/>
      <c r="S5" s="4"/>
      <c r="T5" s="4"/>
      <c r="U5" s="4"/>
      <c r="V5" s="4">
        <v>0.7006418641506752</v>
      </c>
      <c r="W5" s="4">
        <v>0.62186200956920989</v>
      </c>
      <c r="X5" s="4">
        <v>0.47719481189002011</v>
      </c>
      <c r="Y5" s="4"/>
      <c r="Z5" s="4"/>
      <c r="AA5" s="4"/>
      <c r="AB5" s="4"/>
      <c r="AC5" s="4"/>
      <c r="AD5" s="4"/>
      <c r="AE5" s="4"/>
      <c r="AF5" s="4"/>
      <c r="AG5" s="4">
        <v>9.4100000000000003E-2</v>
      </c>
      <c r="AH5" s="30">
        <v>16000</v>
      </c>
      <c r="AI5" s="4">
        <v>7.9676462958630984E-2</v>
      </c>
      <c r="AJ5" s="4">
        <v>0.10901703504310457</v>
      </c>
      <c r="AK5" s="4"/>
      <c r="AL5" s="4">
        <v>7.8641866092806351E-2</v>
      </c>
      <c r="AM5" s="4">
        <v>7.9328146131294561E-2</v>
      </c>
      <c r="AN5" s="4"/>
      <c r="AO5" s="4"/>
      <c r="AP5" s="4"/>
      <c r="AQ5" s="4"/>
      <c r="AR5" s="4">
        <v>9.2871297320023471E-2</v>
      </c>
      <c r="AS5" s="4">
        <v>0.10366322276299826</v>
      </c>
      <c r="AT5" s="4"/>
      <c r="AU5" s="4"/>
      <c r="AV5" s="4"/>
      <c r="AW5" s="4"/>
      <c r="AX5" s="4"/>
      <c r="AY5" s="4"/>
      <c r="AZ5" s="4">
        <v>8.9818386912163109E-2</v>
      </c>
      <c r="BA5" s="4"/>
      <c r="BB5" s="4"/>
      <c r="BC5" s="4"/>
      <c r="BD5" s="4"/>
      <c r="BE5" s="4"/>
      <c r="BF5" s="4"/>
      <c r="BG5" s="4"/>
      <c r="BH5" s="4"/>
      <c r="BI5" s="4"/>
      <c r="BJ5" s="4"/>
      <c r="BK5" s="4">
        <v>0.32379999999999998</v>
      </c>
      <c r="BL5" s="30">
        <v>55100</v>
      </c>
      <c r="BM5" s="4">
        <v>0.31286059672959365</v>
      </c>
      <c r="BN5" s="4">
        <v>0.33460494290111115</v>
      </c>
      <c r="BO5" s="4">
        <v>0.29286337972505655</v>
      </c>
      <c r="BP5" s="4">
        <v>0.25991069403346567</v>
      </c>
      <c r="BQ5" s="4">
        <v>0.32905771250891119</v>
      </c>
      <c r="BR5" s="4">
        <v>0.63384090921613112</v>
      </c>
      <c r="BS5" s="4"/>
      <c r="BT5" s="4"/>
      <c r="BU5" s="4">
        <v>0.48678825144714444</v>
      </c>
      <c r="BV5" s="4">
        <v>0.26047514216815598</v>
      </c>
      <c r="BW5" s="4">
        <v>0.29708426207294353</v>
      </c>
      <c r="BX5" s="4"/>
      <c r="BY5" s="4">
        <v>0.47219878622950323</v>
      </c>
      <c r="BZ5" s="4"/>
      <c r="CA5" s="4"/>
      <c r="CB5" s="4"/>
      <c r="CC5" s="4"/>
      <c r="CD5" s="4">
        <v>0.20953974893716201</v>
      </c>
      <c r="CE5" s="4">
        <v>0.28484344072520101</v>
      </c>
      <c r="CF5" s="4">
        <v>0.41766560928081442</v>
      </c>
      <c r="CG5" s="4"/>
      <c r="CH5" s="4"/>
      <c r="CI5" s="4"/>
      <c r="CJ5" s="4"/>
      <c r="CK5" s="4"/>
      <c r="CL5" s="4"/>
      <c r="CM5" s="4"/>
      <c r="CN5" s="4"/>
      <c r="CO5" s="4">
        <f t="shared" si="0"/>
        <v>0.67619999999999991</v>
      </c>
      <c r="CP5" s="30">
        <f>Rochdale1[[#This Row],[Active - Numbers]]+Rochdale1[[#This Row],[Fairly Active - Numbers]]</f>
        <v>115000</v>
      </c>
      <c r="CQ5" s="4">
        <f>Rochdale1[[#This Row],[Male I]]-Rochdale1[[#This Row],[Female I]]</f>
        <v>-2.1744346171517492E-2</v>
      </c>
      <c r="CR5" s="4">
        <f>Rochdale1[[#This Row],[NS SEC 1-2: Higher social groups I]]-Rochdale1[[#This Row],[NS SEC 6-8: Lower social groups I]]</f>
        <v>-0.20812586034365241</v>
      </c>
      <c r="CS5" s="4">
        <f>Rochdale1[[#This Row],[No LT limiting disability I]]-Rochdale1[[#This Row],[LT limiting disability I]]</f>
        <v>-0.22631310927898846</v>
      </c>
      <c r="CT5" s="4">
        <f>Rochdale1[[#This Row],[16-34 I]]-Rochdale1[[#This Row],[75+ I]]</f>
        <v>-0.34097752949107457</v>
      </c>
      <c r="CU5" s="64"/>
      <c r="CV5" s="64"/>
      <c r="CW5" s="64"/>
      <c r="CX5" s="154">
        <v>0.1474</v>
      </c>
    </row>
    <row r="6" spans="1:102" x14ac:dyDescent="0.2">
      <c r="A6" s="4" t="s">
        <v>113</v>
      </c>
      <c r="B6" s="4" t="s">
        <v>38</v>
      </c>
      <c r="C6" s="4">
        <v>0.5512671902365287</v>
      </c>
      <c r="D6" s="30">
        <v>94600</v>
      </c>
      <c r="E6" s="4">
        <v>0.59073969456340747</v>
      </c>
      <c r="F6" s="4">
        <v>0.51215450579846789</v>
      </c>
      <c r="G6" s="4">
        <v>0.61271973044603856</v>
      </c>
      <c r="H6" s="4">
        <v>0.56916364515227569</v>
      </c>
      <c r="I6" s="4">
        <v>0.54067061805917627</v>
      </c>
      <c r="J6" s="4"/>
      <c r="K6" s="4"/>
      <c r="L6" s="4"/>
      <c r="M6" s="4">
        <v>0.37545446888224776</v>
      </c>
      <c r="N6" s="4">
        <v>0.6126294874053192</v>
      </c>
      <c r="O6" s="4">
        <v>0.57181175077231416</v>
      </c>
      <c r="P6" s="4"/>
      <c r="Q6" s="4">
        <v>0.45418234109204536</v>
      </c>
      <c r="R6" s="4"/>
      <c r="S6" s="4"/>
      <c r="T6" s="4"/>
      <c r="U6" s="4"/>
      <c r="V6" s="4">
        <v>0.61055359357380723</v>
      </c>
      <c r="W6" s="4">
        <v>0.63427758546463375</v>
      </c>
      <c r="X6" s="4">
        <v>0.44872114021182902</v>
      </c>
      <c r="Y6" s="4"/>
      <c r="Z6" s="4"/>
      <c r="AA6" s="4"/>
      <c r="AB6" s="4"/>
      <c r="AC6" s="4"/>
      <c r="AD6" s="4"/>
      <c r="AE6" s="4"/>
      <c r="AF6" s="4"/>
      <c r="AG6" s="4">
        <v>0.12503990403213261</v>
      </c>
      <c r="AH6" s="30">
        <v>21500</v>
      </c>
      <c r="AI6" s="4">
        <v>0.11220007411514477</v>
      </c>
      <c r="AJ6" s="4">
        <v>0.13825752666297839</v>
      </c>
      <c r="AK6" s="4">
        <v>0.12536240175198615</v>
      </c>
      <c r="AL6" s="4">
        <v>0.13626561696476339</v>
      </c>
      <c r="AM6" s="4">
        <v>0.10689704763361865</v>
      </c>
      <c r="AN6" s="4"/>
      <c r="AO6" s="4"/>
      <c r="AP6" s="4"/>
      <c r="AQ6" s="4"/>
      <c r="AR6" s="4">
        <v>0.11603533994480843</v>
      </c>
      <c r="AS6" s="4"/>
      <c r="AT6" s="4"/>
      <c r="AU6" s="4"/>
      <c r="AV6" s="4"/>
      <c r="AW6" s="4"/>
      <c r="AX6" s="4"/>
      <c r="AY6" s="4"/>
      <c r="AZ6" s="4">
        <v>0.17360442561048969</v>
      </c>
      <c r="BA6" s="4">
        <v>9.4872038790962898E-2</v>
      </c>
      <c r="BB6" s="4">
        <v>0.12836140226024501</v>
      </c>
      <c r="BC6" s="4"/>
      <c r="BD6" s="4"/>
      <c r="BE6" s="4"/>
      <c r="BF6" s="4"/>
      <c r="BG6" s="4"/>
      <c r="BH6" s="4"/>
      <c r="BI6" s="4"/>
      <c r="BJ6" s="4"/>
      <c r="BK6" s="4">
        <v>0.32369290573133896</v>
      </c>
      <c r="BL6" s="30">
        <v>55500</v>
      </c>
      <c r="BM6" s="4">
        <v>0.29706023132144599</v>
      </c>
      <c r="BN6" s="4">
        <v>0.34958796753855254</v>
      </c>
      <c r="BO6" s="4">
        <v>0.26191786780197479</v>
      </c>
      <c r="BP6" s="4">
        <v>0.29457073788296184</v>
      </c>
      <c r="BQ6" s="4">
        <v>0.35243233430720555</v>
      </c>
      <c r="BR6" s="4">
        <v>0.52926216577950547</v>
      </c>
      <c r="BS6" s="4"/>
      <c r="BT6" s="4"/>
      <c r="BU6" s="4">
        <v>0.46200459676434841</v>
      </c>
      <c r="BV6" s="4">
        <v>0.27133517264987211</v>
      </c>
      <c r="BW6" s="4">
        <v>0.30088057949501001</v>
      </c>
      <c r="BX6" s="4"/>
      <c r="BY6" s="4">
        <v>0.42594553989812217</v>
      </c>
      <c r="BZ6" s="4"/>
      <c r="CA6" s="4"/>
      <c r="CB6" s="4"/>
      <c r="CC6" s="4"/>
      <c r="CD6" s="4">
        <v>0.21584198081570274</v>
      </c>
      <c r="CE6" s="4">
        <v>0.27085037574440413</v>
      </c>
      <c r="CF6" s="4">
        <v>0.42291745752792609</v>
      </c>
      <c r="CG6" s="4"/>
      <c r="CH6" s="4"/>
      <c r="CI6" s="4"/>
      <c r="CJ6" s="4"/>
      <c r="CK6" s="4"/>
      <c r="CL6" s="4"/>
      <c r="CM6" s="4"/>
      <c r="CN6" s="4"/>
      <c r="CO6" s="4">
        <f t="shared" si="0"/>
        <v>0.67630709426866131</v>
      </c>
      <c r="CP6" s="30">
        <f>Rochdale1[[#This Row],[Active - Numbers]]+Rochdale1[[#This Row],[Fairly Active - Numbers]]</f>
        <v>116100</v>
      </c>
      <c r="CQ6" s="4">
        <f>Rochdale1[[#This Row],[Male I]]-Rochdale1[[#This Row],[Female I]]</f>
        <v>-5.2527736217106547E-2</v>
      </c>
      <c r="CR6" s="4">
        <f>Rochdale1[[#This Row],[NS SEC 1-2: Higher social groups I]]-Rochdale1[[#This Row],[NS SEC 6-8: Lower social groups I]]</f>
        <v>-0.20707547671222334</v>
      </c>
      <c r="CS6" s="4">
        <f>Rochdale1[[#This Row],[No LT limiting disability I]]-Rochdale1[[#This Row],[LT limiting disability I]]</f>
        <v>-0.19066942411447629</v>
      </c>
      <c r="CT6" s="4">
        <f>Rochdale1[[#This Row],[16-34 I]]-Rochdale1[[#This Row],[75+ I]]</f>
        <v>-0.26734429797753068</v>
      </c>
      <c r="CU6" s="64"/>
      <c r="CV6" s="64"/>
      <c r="CW6" s="64"/>
      <c r="CX6" s="152">
        <v>0.15129999999999999</v>
      </c>
    </row>
    <row r="7" spans="1:102" x14ac:dyDescent="0.2">
      <c r="A7" s="4" t="s">
        <v>113</v>
      </c>
      <c r="B7" s="4" t="s">
        <v>39</v>
      </c>
      <c r="C7" s="45">
        <v>0.56299999999999994</v>
      </c>
      <c r="D7" s="30">
        <v>96600</v>
      </c>
      <c r="E7" s="4">
        <v>0.60515977558444467</v>
      </c>
      <c r="F7" s="4">
        <v>0.52282673020620396</v>
      </c>
      <c r="G7" s="4">
        <v>0.65907324580675353</v>
      </c>
      <c r="H7" s="4">
        <v>0.5379247621658515</v>
      </c>
      <c r="I7" s="4">
        <v>0.52987918583984028</v>
      </c>
      <c r="J7" s="4"/>
      <c r="K7" s="4">
        <v>0.59577856217357361</v>
      </c>
      <c r="L7" s="4">
        <v>0.50087783431396871</v>
      </c>
      <c r="M7" s="4">
        <v>0.40469631413462293</v>
      </c>
      <c r="N7" s="4">
        <v>0.61637801817117455</v>
      </c>
      <c r="O7" s="4">
        <v>0.59189989514937125</v>
      </c>
      <c r="P7" s="4"/>
      <c r="Q7" s="4">
        <v>0.48298719770168913</v>
      </c>
      <c r="R7" s="4"/>
      <c r="S7" s="4"/>
      <c r="T7" s="4"/>
      <c r="U7" s="4"/>
      <c r="V7" s="4">
        <v>0.56058799229791134</v>
      </c>
      <c r="W7" s="4">
        <v>0.64132183430723988</v>
      </c>
      <c r="X7" s="4">
        <v>0.49231774558818758</v>
      </c>
      <c r="Y7" s="4">
        <v>0.61659696100418215</v>
      </c>
      <c r="Z7" s="4"/>
      <c r="AA7" s="4"/>
      <c r="AB7" s="4"/>
      <c r="AC7" s="4"/>
      <c r="AD7" s="4"/>
      <c r="AE7" s="4"/>
      <c r="AF7" s="4"/>
      <c r="AG7" s="45">
        <v>0.1235</v>
      </c>
      <c r="AH7" s="30">
        <v>21200</v>
      </c>
      <c r="AI7" s="4">
        <v>0.12185939628339014</v>
      </c>
      <c r="AJ7" s="4">
        <v>0.12714934973559847</v>
      </c>
      <c r="AK7" s="4">
        <v>0.11591528748556974</v>
      </c>
      <c r="AL7" s="4">
        <v>0.13311935153086762</v>
      </c>
      <c r="AM7" s="4">
        <v>0.12192077527445261</v>
      </c>
      <c r="AN7" s="4"/>
      <c r="AO7" s="4">
        <v>0.12490364423776626</v>
      </c>
      <c r="AP7" s="4">
        <v>0.12994900088306902</v>
      </c>
      <c r="AQ7" s="4"/>
      <c r="AR7" s="4">
        <v>0.12448701198868002</v>
      </c>
      <c r="AS7" s="4">
        <v>0.13279793548807389</v>
      </c>
      <c r="AT7" s="4"/>
      <c r="AU7" s="4"/>
      <c r="AV7" s="4"/>
      <c r="AW7" s="4"/>
      <c r="AX7" s="4"/>
      <c r="AY7" s="4"/>
      <c r="AZ7" s="4">
        <v>0.20050721537186419</v>
      </c>
      <c r="BA7" s="4"/>
      <c r="BB7" s="4"/>
      <c r="BC7" s="4"/>
      <c r="BD7" s="4"/>
      <c r="BE7" s="4"/>
      <c r="BF7" s="4"/>
      <c r="BG7" s="4"/>
      <c r="BH7" s="4"/>
      <c r="BI7" s="4"/>
      <c r="BJ7" s="4"/>
      <c r="BK7" s="4">
        <v>0.31343870489914583</v>
      </c>
      <c r="BL7" s="30">
        <v>53800</v>
      </c>
      <c r="BM7" s="4">
        <v>0.27298082813216401</v>
      </c>
      <c r="BN7" s="4">
        <v>0.35002392005819666</v>
      </c>
      <c r="BO7" s="4">
        <v>0.22501146670767622</v>
      </c>
      <c r="BP7" s="4">
        <v>0.32895588630328099</v>
      </c>
      <c r="BQ7" s="4">
        <v>0.34820003888570722</v>
      </c>
      <c r="BR7" s="4">
        <v>0.44800864147943648</v>
      </c>
      <c r="BS7" s="4">
        <v>0.2793177935886591</v>
      </c>
      <c r="BT7" s="4">
        <v>0.3691731648029617</v>
      </c>
      <c r="BU7" s="4">
        <v>0.44684847123348087</v>
      </c>
      <c r="BV7" s="4">
        <v>0.25913496984014384</v>
      </c>
      <c r="BW7" s="4">
        <v>0.27530216936255358</v>
      </c>
      <c r="BX7" s="4"/>
      <c r="BY7" s="4">
        <v>0.38233412840180703</v>
      </c>
      <c r="BZ7" s="4"/>
      <c r="CA7" s="4"/>
      <c r="CB7" s="4"/>
      <c r="CC7" s="4"/>
      <c r="CD7" s="4">
        <v>0.23890479233022496</v>
      </c>
      <c r="CE7" s="4">
        <v>0.26017999403363523</v>
      </c>
      <c r="CF7" s="4">
        <v>0.41100965689832675</v>
      </c>
      <c r="CG7" s="4"/>
      <c r="CH7" s="4"/>
      <c r="CI7" s="4"/>
      <c r="CJ7" s="4"/>
      <c r="CK7" s="4"/>
      <c r="CL7" s="4"/>
      <c r="CM7" s="4"/>
      <c r="CN7" s="4"/>
      <c r="CO7" s="4">
        <f t="shared" si="0"/>
        <v>0.68649999999999989</v>
      </c>
      <c r="CP7" s="30">
        <f>Rochdale1[[#This Row],[Active - Numbers]]+Rochdale1[[#This Row],[Fairly Active - Numbers]]</f>
        <v>117800</v>
      </c>
      <c r="CQ7" s="4">
        <f>Rochdale1[[#This Row],[Male I]]-Rochdale1[[#This Row],[Female I]]</f>
        <v>-7.7043091926032647E-2</v>
      </c>
      <c r="CR7" s="4">
        <f>Rochdale1[[#This Row],[NS SEC 1-2: Higher social groups I]]-Rochdale1[[#This Row],[NS SEC 6-8: Lower social groups I]]</f>
        <v>-0.17210486456810178</v>
      </c>
      <c r="CS7" s="4">
        <f>Rochdale1[[#This Row],[No LT limiting disability I]]-Rochdale1[[#This Row],[LT limiting disability I]]</f>
        <v>-0.18771350139333703</v>
      </c>
      <c r="CT7" s="4">
        <f>Rochdale1[[#This Row],[16-34 I]]-Rochdale1[[#This Row],[75+ I]]</f>
        <v>-0.22299717477176026</v>
      </c>
      <c r="CU7" s="48">
        <v>0.37591296770219829</v>
      </c>
      <c r="CV7" s="48">
        <v>0.28812056736602309</v>
      </c>
      <c r="CW7" s="48">
        <v>0.55215971928834229</v>
      </c>
      <c r="CX7" s="152">
        <v>0.1389</v>
      </c>
    </row>
    <row r="8" spans="1:102" x14ac:dyDescent="0.2">
      <c r="A8" s="4" t="s">
        <v>113</v>
      </c>
      <c r="B8" s="4" t="s">
        <v>40</v>
      </c>
      <c r="C8" s="4">
        <v>0.56910000000000005</v>
      </c>
      <c r="D8" s="30">
        <v>98200</v>
      </c>
      <c r="E8" s="4">
        <v>0.60240000000000005</v>
      </c>
      <c r="F8" s="4">
        <v>0.54110000000000003</v>
      </c>
      <c r="G8" s="4">
        <v>0.63539999999999996</v>
      </c>
      <c r="H8" s="4">
        <v>0.58330000000000004</v>
      </c>
      <c r="I8" s="4">
        <v>0.53510000000000002</v>
      </c>
      <c r="J8" s="4"/>
      <c r="K8" s="4">
        <v>0.60860000000000003</v>
      </c>
      <c r="L8" s="4">
        <v>0.49969999999999998</v>
      </c>
      <c r="M8" s="4">
        <v>0.4224</v>
      </c>
      <c r="N8" s="4">
        <v>0.62309999999999999</v>
      </c>
      <c r="O8" s="4">
        <v>0.59709999999999996</v>
      </c>
      <c r="P8" s="4"/>
      <c r="Q8" s="4">
        <v>0.50019999999999998</v>
      </c>
      <c r="R8" s="4"/>
      <c r="S8" s="4"/>
      <c r="T8" s="4"/>
      <c r="U8" s="4"/>
      <c r="V8" s="4">
        <v>0.64090000000000003</v>
      </c>
      <c r="W8" s="4">
        <v>0.58509999999999995</v>
      </c>
      <c r="X8" s="4">
        <v>0.52759999999999996</v>
      </c>
      <c r="Y8" s="4">
        <v>0.58179999999999998</v>
      </c>
      <c r="Z8" s="4">
        <v>0.61539999999999995</v>
      </c>
      <c r="AA8" s="4"/>
      <c r="AB8" s="4">
        <v>0.50600000000000001</v>
      </c>
      <c r="AC8" s="4"/>
      <c r="AD8" s="4"/>
      <c r="AE8" s="4"/>
      <c r="AF8" s="4"/>
      <c r="AG8" s="4">
        <v>0.1016</v>
      </c>
      <c r="AH8" s="30">
        <v>17500</v>
      </c>
      <c r="AI8" s="4">
        <v>8.9599999999999999E-2</v>
      </c>
      <c r="AJ8" s="4">
        <v>0.11020000000000001</v>
      </c>
      <c r="AK8" s="4"/>
      <c r="AL8" s="4">
        <v>7.4499999999999997E-2</v>
      </c>
      <c r="AM8" s="4">
        <v>0.1134</v>
      </c>
      <c r="AN8" s="4"/>
      <c r="AO8" s="4">
        <v>9.7600000000000006E-2</v>
      </c>
      <c r="AP8" s="4">
        <v>0.111</v>
      </c>
      <c r="AQ8" s="4"/>
      <c r="AR8" s="4">
        <v>0.1094</v>
      </c>
      <c r="AS8" s="4">
        <v>0.1217</v>
      </c>
      <c r="AT8" s="4"/>
      <c r="AU8" s="4"/>
      <c r="AV8" s="4"/>
      <c r="AW8" s="4"/>
      <c r="AX8" s="4"/>
      <c r="AY8" s="4"/>
      <c r="AZ8" s="4">
        <v>0.12770000000000001</v>
      </c>
      <c r="BA8" s="4"/>
      <c r="BB8" s="4"/>
      <c r="BC8" s="4"/>
      <c r="BD8" s="4">
        <v>0.10009999999999999</v>
      </c>
      <c r="BE8" s="4"/>
      <c r="BF8" s="4"/>
      <c r="BG8" s="4"/>
      <c r="BH8" s="4"/>
      <c r="BI8" s="4"/>
      <c r="BJ8" s="4"/>
      <c r="BK8" s="4">
        <v>0.32929999999999998</v>
      </c>
      <c r="BL8" s="30">
        <v>56800</v>
      </c>
      <c r="BM8" s="4">
        <v>0.30790000000000001</v>
      </c>
      <c r="BN8" s="4">
        <v>0.34870000000000001</v>
      </c>
      <c r="BO8" s="4">
        <v>0.24249999999999999</v>
      </c>
      <c r="BP8" s="4">
        <v>0.3422</v>
      </c>
      <c r="BQ8" s="4">
        <v>0.35149999999999998</v>
      </c>
      <c r="BR8" s="4">
        <v>0.54949999999999999</v>
      </c>
      <c r="BS8" s="4">
        <v>0.29380000000000001</v>
      </c>
      <c r="BT8" s="4">
        <v>0.38919999999999999</v>
      </c>
      <c r="BU8" s="4">
        <v>0.48649999999999999</v>
      </c>
      <c r="BV8" s="4">
        <v>0.2676</v>
      </c>
      <c r="BW8" s="4">
        <v>0.28120000000000001</v>
      </c>
      <c r="BX8" s="4"/>
      <c r="BY8" s="4">
        <v>0.41099999999999998</v>
      </c>
      <c r="BZ8" s="4"/>
      <c r="CA8" s="4"/>
      <c r="CB8" s="4"/>
      <c r="CC8" s="4"/>
      <c r="CD8" s="4">
        <v>0.23150000000000001</v>
      </c>
      <c r="CE8" s="4">
        <v>0.29470000000000002</v>
      </c>
      <c r="CF8" s="4">
        <v>0.41020000000000001</v>
      </c>
      <c r="CG8" s="4"/>
      <c r="CH8" s="4">
        <v>0.28449999999999998</v>
      </c>
      <c r="CI8" s="4"/>
      <c r="CJ8" s="4">
        <v>0.39329999999999998</v>
      </c>
      <c r="CK8" s="4"/>
      <c r="CL8" s="4"/>
      <c r="CM8" s="4"/>
      <c r="CN8" s="4"/>
      <c r="CO8" s="4">
        <f t="shared" si="0"/>
        <v>0.67070000000000007</v>
      </c>
      <c r="CP8" s="30">
        <f>Rochdale1[[#This Row],[Active - Numbers]]+Rochdale1[[#This Row],[Fairly Active - Numbers]]</f>
        <v>115700</v>
      </c>
      <c r="CQ8" s="4">
        <f>Rochdale1[[#This Row],[Male I]]-Rochdale1[[#This Row],[Female I]]</f>
        <v>-4.0800000000000003E-2</v>
      </c>
      <c r="CR8" s="4">
        <f>Rochdale1[[#This Row],[NS SEC 1-2: Higher social groups I]]-Rochdale1[[#This Row],[NS SEC 6-8: Lower social groups I]]</f>
        <v>-0.1787</v>
      </c>
      <c r="CS8" s="4">
        <f>Rochdale1[[#This Row],[No LT limiting disability I]]-Rochdale1[[#This Row],[LT limiting disability I]]</f>
        <v>-0.21889999999999998</v>
      </c>
      <c r="CT8" s="4">
        <f>Rochdale1[[#This Row],[16-34 I]]-Rochdale1[[#This Row],[75+ I]]</f>
        <v>-0.307</v>
      </c>
      <c r="CU8" s="48">
        <v>0.38419999999999999</v>
      </c>
      <c r="CV8" s="48">
        <v>0.2923</v>
      </c>
      <c r="CW8" s="48">
        <v>0.56259999999999999</v>
      </c>
      <c r="CX8" s="152">
        <v>0.11310000000000001</v>
      </c>
    </row>
    <row r="9" spans="1:102" x14ac:dyDescent="0.2">
      <c r="A9" s="4" t="s">
        <v>113</v>
      </c>
      <c r="B9" s="4" t="s">
        <v>41</v>
      </c>
      <c r="C9" s="4">
        <v>0.5991128948418375</v>
      </c>
      <c r="D9" s="30">
        <v>103400</v>
      </c>
      <c r="E9" s="4">
        <v>0.64183719932240901</v>
      </c>
      <c r="F9" s="4">
        <v>0.56258885514077095</v>
      </c>
      <c r="G9" s="4">
        <v>0.65020487312397446</v>
      </c>
      <c r="H9" s="4">
        <v>0.6306871996835397</v>
      </c>
      <c r="I9" s="4">
        <v>0.57356894212997211</v>
      </c>
      <c r="J9" s="4"/>
      <c r="K9" s="4">
        <v>0.63996064813686027</v>
      </c>
      <c r="L9" s="4">
        <v>0.53079748988254516</v>
      </c>
      <c r="M9" s="4">
        <v>0.45436704709526538</v>
      </c>
      <c r="N9" s="4">
        <v>0.64650880177592351</v>
      </c>
      <c r="O9" s="4">
        <v>0.63333097104659364</v>
      </c>
      <c r="P9" s="4"/>
      <c r="Q9" s="4">
        <v>0.45384302421598899</v>
      </c>
      <c r="R9" s="4"/>
      <c r="S9" s="4"/>
      <c r="T9" s="4"/>
      <c r="U9" s="4"/>
      <c r="V9" s="4">
        <v>0.72361278246751526</v>
      </c>
      <c r="W9" s="4">
        <v>0.59600195825085223</v>
      </c>
      <c r="X9" s="4">
        <v>0.50379544322387604</v>
      </c>
      <c r="Y9" s="4">
        <v>0.62847850179804421</v>
      </c>
      <c r="Z9" s="4">
        <v>0.65187430902924803</v>
      </c>
      <c r="AA9" s="4">
        <v>0.48010685607124193</v>
      </c>
      <c r="AB9" s="4">
        <v>0.53884516279275296</v>
      </c>
      <c r="AC9" s="4"/>
      <c r="AD9" s="4"/>
      <c r="AE9" s="4"/>
      <c r="AF9" s="4"/>
      <c r="AG9" s="4">
        <v>0.11169033644182796</v>
      </c>
      <c r="AH9" s="30">
        <v>19300</v>
      </c>
      <c r="AI9" s="4">
        <v>9.0049988864784519E-2</v>
      </c>
      <c r="AJ9" s="4">
        <v>0.12840574112066647</v>
      </c>
      <c r="AK9" s="4"/>
      <c r="AL9" s="4">
        <v>8.0809031447089244E-2</v>
      </c>
      <c r="AM9" s="4">
        <v>0.12742739587659727</v>
      </c>
      <c r="AN9" s="4"/>
      <c r="AO9" s="4">
        <v>9.9110628156676081E-2</v>
      </c>
      <c r="AP9" s="4">
        <v>0.13027948545809404</v>
      </c>
      <c r="AQ9" s="4">
        <v>0.10389607872025826</v>
      </c>
      <c r="AR9" s="4">
        <v>0.12175172419131622</v>
      </c>
      <c r="AS9" s="4">
        <v>0.11377037126245018</v>
      </c>
      <c r="AT9" s="4"/>
      <c r="AU9" s="4"/>
      <c r="AV9" s="4"/>
      <c r="AW9" s="4"/>
      <c r="AX9" s="4"/>
      <c r="AY9" s="4"/>
      <c r="AZ9" s="4">
        <v>9.8632593493884008E-2</v>
      </c>
      <c r="BA9" s="4">
        <v>0.14941876896659445</v>
      </c>
      <c r="BB9" s="4"/>
      <c r="BC9" s="4"/>
      <c r="BD9" s="4">
        <v>0.1051326259661738</v>
      </c>
      <c r="BE9" s="4"/>
      <c r="BF9" s="4"/>
      <c r="BG9" s="4"/>
      <c r="BH9" s="4"/>
      <c r="BI9" s="4"/>
      <c r="BJ9" s="4"/>
      <c r="BK9" s="4">
        <v>0.28919676871633726</v>
      </c>
      <c r="BL9" s="30">
        <v>49900</v>
      </c>
      <c r="BM9" s="4">
        <v>0.26811281181280727</v>
      </c>
      <c r="BN9" s="4">
        <v>0.30900540373856278</v>
      </c>
      <c r="BO9" s="4">
        <v>0.2304670278119304</v>
      </c>
      <c r="BP9" s="4">
        <v>0.28850376886937101</v>
      </c>
      <c r="BQ9" s="4">
        <v>0.29900366199343087</v>
      </c>
      <c r="BR9" s="4">
        <v>0.49756033464943877</v>
      </c>
      <c r="BS9" s="4">
        <v>0.26092872370646475</v>
      </c>
      <c r="BT9" s="4">
        <v>0.33892302465936086</v>
      </c>
      <c r="BU9" s="4">
        <v>0.44173687418447599</v>
      </c>
      <c r="BV9" s="4">
        <v>0.23173947403276096</v>
      </c>
      <c r="BW9" s="4">
        <v>0.25289865769095748</v>
      </c>
      <c r="BX9" s="4"/>
      <c r="BY9" s="4">
        <v>0.39059894242353982</v>
      </c>
      <c r="BZ9" s="4"/>
      <c r="CA9" s="4"/>
      <c r="CB9" s="4"/>
      <c r="CC9" s="4"/>
      <c r="CD9" s="4">
        <v>0.17775462403860071</v>
      </c>
      <c r="CE9" s="4">
        <v>0.25457927278255216</v>
      </c>
      <c r="CF9" s="4">
        <v>0.42792968095614098</v>
      </c>
      <c r="CG9" s="4"/>
      <c r="CH9" s="4">
        <v>0.24299306500457846</v>
      </c>
      <c r="CI9" s="4"/>
      <c r="CJ9" s="4">
        <v>0.3548455806374391</v>
      </c>
      <c r="CK9" s="4"/>
      <c r="CL9" s="4"/>
      <c r="CM9" s="4"/>
      <c r="CN9" s="4"/>
      <c r="CO9" s="4">
        <f t="shared" si="0"/>
        <v>0.7108032312836654</v>
      </c>
      <c r="CP9" s="30">
        <f>Rochdale1[[#This Row],[Active - Numbers]]+Rochdale1[[#This Row],[Fairly Active - Numbers]]</f>
        <v>122700</v>
      </c>
      <c r="CQ9" s="4">
        <f>Rochdale1[[#This Row],[Male I]]-Rochdale1[[#This Row],[Female I]]</f>
        <v>-4.0892591925755506E-2</v>
      </c>
      <c r="CR9" s="4">
        <f>Rochdale1[[#This Row],[NS SEC 1-2: Higher social groups I]]-Rochdale1[[#This Row],[NS SEC 6-8: Lower social groups I]]</f>
        <v>-0.25017505691754027</v>
      </c>
      <c r="CS9" s="4">
        <f>Rochdale1[[#This Row],[No LT limiting disability I]]-Rochdale1[[#This Row],[LT limiting disability I]]</f>
        <v>-0.20999740015171503</v>
      </c>
      <c r="CT9" s="4">
        <f>Rochdale1[[#This Row],[16-34 I]]-Rochdale1[[#This Row],[75+ I]]</f>
        <v>-0.26709330683750837</v>
      </c>
      <c r="CU9" s="48">
        <v>0.42100201520759289</v>
      </c>
      <c r="CV9" s="48">
        <v>0.30181184260765825</v>
      </c>
      <c r="CW9" s="48">
        <v>0.61469097275419404</v>
      </c>
      <c r="CX9" s="152">
        <v>0.1027</v>
      </c>
    </row>
    <row r="10" spans="1:102" s="29" customFormat="1" x14ac:dyDescent="0.2">
      <c r="A10" s="156" t="s">
        <v>113</v>
      </c>
      <c r="B10" s="156" t="s">
        <v>155</v>
      </c>
      <c r="C10" s="64">
        <v>0.5746</v>
      </c>
      <c r="D10" s="30">
        <v>100100</v>
      </c>
      <c r="E10" s="170">
        <v>0.60739071929874155</v>
      </c>
      <c r="F10" s="170">
        <v>0.54636513766392547</v>
      </c>
      <c r="G10" s="170">
        <v>0.61254771620611093</v>
      </c>
      <c r="H10" s="170">
        <v>0.55296733906471074</v>
      </c>
      <c r="I10" s="170">
        <v>0.61517628161323701</v>
      </c>
      <c r="J10" s="170">
        <v>0.41979003394595876</v>
      </c>
      <c r="K10" s="170">
        <v>0.58194939673890655</v>
      </c>
      <c r="L10" s="170">
        <v>0.56765380788671194</v>
      </c>
      <c r="M10" s="170">
        <v>0.48359166476618154</v>
      </c>
      <c r="N10" s="170">
        <v>0.60975143493363093</v>
      </c>
      <c r="O10" s="170">
        <v>0.63409880330184454</v>
      </c>
      <c r="P10" s="46"/>
      <c r="Q10" s="170">
        <v>0.31652405886434665</v>
      </c>
      <c r="R10" s="46"/>
      <c r="S10" s="46"/>
      <c r="T10" s="46"/>
      <c r="U10" s="46"/>
      <c r="V10" s="170">
        <v>0.69395880545709621</v>
      </c>
      <c r="W10" s="170">
        <v>0.56861065834257785</v>
      </c>
      <c r="X10" s="170">
        <v>0.47877379143696092</v>
      </c>
      <c r="Y10" s="170">
        <v>0.57802934690223273</v>
      </c>
      <c r="Z10" s="170">
        <v>0.61251131018893989</v>
      </c>
      <c r="AA10" s="46"/>
      <c r="AB10" s="170">
        <v>0.5730039088182507</v>
      </c>
      <c r="AC10" s="46"/>
      <c r="AD10" s="46"/>
      <c r="AE10" s="46"/>
      <c r="AF10" s="46"/>
      <c r="AG10" s="64">
        <v>0.1111</v>
      </c>
      <c r="AH10" s="30">
        <v>19400</v>
      </c>
      <c r="AI10" s="170">
        <v>0.10045389436931972</v>
      </c>
      <c r="AJ10" s="170">
        <v>0.12045284730055035</v>
      </c>
      <c r="AK10" s="46"/>
      <c r="AL10" s="170">
        <v>0.1158938192931457</v>
      </c>
      <c r="AM10" s="170">
        <v>0.11835627829536827</v>
      </c>
      <c r="AN10" s="46"/>
      <c r="AO10" s="170">
        <v>0.11211850588979191</v>
      </c>
      <c r="AP10" s="170">
        <v>0.10644473609681661</v>
      </c>
      <c r="AQ10" s="170">
        <v>0.13038025024796068</v>
      </c>
      <c r="AR10" s="170">
        <v>0.10985676322471165</v>
      </c>
      <c r="AS10" s="170">
        <v>0.10553632642189333</v>
      </c>
      <c r="AT10" s="46"/>
      <c r="AU10" s="46"/>
      <c r="AV10" s="46"/>
      <c r="AW10" s="46"/>
      <c r="AX10" s="46"/>
      <c r="AY10" s="46"/>
      <c r="AZ10" s="170">
        <v>9.950856243812703E-2</v>
      </c>
      <c r="BA10" s="170">
        <v>0.1337867276127763</v>
      </c>
      <c r="BB10" s="46"/>
      <c r="BC10" s="46"/>
      <c r="BD10" s="170">
        <v>0.11247780212101637</v>
      </c>
      <c r="BE10" s="46"/>
      <c r="BF10" s="46"/>
      <c r="BG10" s="46"/>
      <c r="BH10" s="46"/>
      <c r="BI10" s="46"/>
      <c r="BJ10" s="46"/>
      <c r="BK10" s="64">
        <v>0.31430000000000002</v>
      </c>
      <c r="BL10" s="30">
        <v>54800</v>
      </c>
      <c r="BM10" s="170">
        <v>0.29215538633193955</v>
      </c>
      <c r="BN10" s="170">
        <v>0.33318201503552536</v>
      </c>
      <c r="BO10" s="170">
        <v>0.27931963173487934</v>
      </c>
      <c r="BP10" s="170">
        <v>0.33113884164214386</v>
      </c>
      <c r="BQ10" s="170">
        <v>0.26646744009139517</v>
      </c>
      <c r="BR10" s="170">
        <v>0.51082739117947029</v>
      </c>
      <c r="BS10" s="170">
        <v>0.30593209737130217</v>
      </c>
      <c r="BT10" s="170">
        <v>0.32590145601647064</v>
      </c>
      <c r="BU10" s="170">
        <v>0.38602808498585794</v>
      </c>
      <c r="BV10" s="170">
        <v>0.28039180184165979</v>
      </c>
      <c r="BW10" s="170">
        <v>0.26036487027626393</v>
      </c>
      <c r="BX10" s="46"/>
      <c r="BY10" s="170">
        <v>0.52084457054931066</v>
      </c>
      <c r="BZ10" s="46"/>
      <c r="CA10" s="46"/>
      <c r="CB10" s="46"/>
      <c r="CC10" s="46"/>
      <c r="CD10" s="170">
        <v>0.20653263210477721</v>
      </c>
      <c r="CE10" s="170">
        <v>0.297602614044646</v>
      </c>
      <c r="CF10" s="170">
        <v>0.40998277900305302</v>
      </c>
      <c r="CG10" s="170">
        <v>0.30936737139132864</v>
      </c>
      <c r="CH10" s="170">
        <v>0.27501088769004395</v>
      </c>
      <c r="CI10" s="46"/>
      <c r="CJ10" s="170">
        <v>0.34792328023675767</v>
      </c>
      <c r="CK10" s="46"/>
      <c r="CL10" s="170">
        <v>0.61081498142551971</v>
      </c>
      <c r="CM10" s="46"/>
      <c r="CN10" s="46"/>
      <c r="CO10" s="64"/>
      <c r="CP10" s="130">
        <f>Rochdale1[[#This Row],[Active - Numbers]]+Rochdale1[[#This Row],[Fairly Active - Numbers]]</f>
        <v>119500</v>
      </c>
      <c r="CQ10" s="64">
        <f>Rochdale1[[#This Row],[Male I]]-Rochdale1[[#This Row],[Female I]]</f>
        <v>-4.102662870358581E-2</v>
      </c>
      <c r="CR10" s="64">
        <f>Rochdale1[[#This Row],[NS SEC 1-2: Higher social groups I]]-Rochdale1[[#This Row],[NS SEC 6-8: Lower social groups I]]</f>
        <v>-0.20345014689827581</v>
      </c>
      <c r="CS10" s="64">
        <f>Rochdale1[[#This Row],[No LT limiting disability I]]-Rochdale1[[#This Row],[LT limiting disability I]]</f>
        <v>-0.10563628314419815</v>
      </c>
      <c r="CT10" s="64">
        <f>Rochdale1[[#This Row],[16-34 I]]-Rochdale1[[#This Row],[75+ I]]</f>
        <v>-0.23150775944459095</v>
      </c>
      <c r="CU10" s="173">
        <v>0.43515324838309027</v>
      </c>
      <c r="CV10" s="173">
        <v>0.26352413682760017</v>
      </c>
      <c r="CW10" s="173">
        <v>0.58343001874279976</v>
      </c>
      <c r="CX10" s="150"/>
    </row>
    <row r="11" spans="1:102" x14ac:dyDescent="0.2">
      <c r="A11" s="4" t="s">
        <v>113</v>
      </c>
      <c r="B11" s="4" t="s">
        <v>42</v>
      </c>
      <c r="C11" s="4">
        <f>C10-C3</f>
        <v>3.6000000000000032E-2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-5.400000000000002E-3</v>
      </c>
      <c r="AH11" s="26"/>
      <c r="AI11" s="4">
        <f t="shared" ref="AI11:BK11" si="1">AI10-AI3</f>
        <v>-1.5325857857980546E-3</v>
      </c>
      <c r="AJ11" s="4">
        <f t="shared" si="1"/>
        <v>-1.3563498434833524E-2</v>
      </c>
      <c r="AK11" s="4">
        <f t="shared" si="1"/>
        <v>-0.1142988706549922</v>
      </c>
      <c r="AL11" s="4">
        <f t="shared" si="1"/>
        <v>-7.0058308488749749E-3</v>
      </c>
      <c r="AM11" s="4">
        <f t="shared" si="1"/>
        <v>1.5308478125020203E-2</v>
      </c>
      <c r="AN11" s="4">
        <f t="shared" si="1"/>
        <v>0</v>
      </c>
      <c r="AO11" s="4">
        <f t="shared" si="1"/>
        <v>0.11211850588979191</v>
      </c>
      <c r="AP11" s="4">
        <f t="shared" si="1"/>
        <v>0.10644473609681661</v>
      </c>
      <c r="AQ11" s="4">
        <f t="shared" si="1"/>
        <v>0.13038025024796068</v>
      </c>
      <c r="AR11" s="4">
        <f t="shared" si="1"/>
        <v>-5.2461260454464836E-3</v>
      </c>
      <c r="AS11" s="4">
        <f t="shared" si="1"/>
        <v>-2.348740956111274E-2</v>
      </c>
      <c r="AT11" s="4">
        <f t="shared" si="1"/>
        <v>0</v>
      </c>
      <c r="AU11" s="4">
        <f t="shared" si="1"/>
        <v>0</v>
      </c>
      <c r="AV11" s="4">
        <f t="shared" si="1"/>
        <v>0</v>
      </c>
      <c r="AW11" s="4">
        <f t="shared" si="1"/>
        <v>0</v>
      </c>
      <c r="AX11" s="4">
        <f t="shared" si="1"/>
        <v>0</v>
      </c>
      <c r="AY11" s="4">
        <f t="shared" si="1"/>
        <v>0</v>
      </c>
      <c r="AZ11" s="4">
        <f t="shared" si="1"/>
        <v>-6.0871243104549388E-3</v>
      </c>
      <c r="BA11" s="4">
        <f t="shared" si="1"/>
        <v>0.1337867276127763</v>
      </c>
      <c r="BB11" s="4">
        <f t="shared" si="1"/>
        <v>0</v>
      </c>
      <c r="BC11" s="4">
        <f t="shared" si="1"/>
        <v>0</v>
      </c>
      <c r="BD11" s="4">
        <f t="shared" si="1"/>
        <v>0.11247780212101637</v>
      </c>
      <c r="BE11" s="4">
        <f t="shared" si="1"/>
        <v>0</v>
      </c>
      <c r="BF11" s="4">
        <f t="shared" si="1"/>
        <v>0</v>
      </c>
      <c r="BG11" s="4">
        <f t="shared" si="1"/>
        <v>0</v>
      </c>
      <c r="BH11" s="4">
        <f t="shared" si="1"/>
        <v>0</v>
      </c>
      <c r="BI11" s="4">
        <f t="shared" si="1"/>
        <v>0</v>
      </c>
      <c r="BJ11" s="4">
        <f t="shared" si="1"/>
        <v>0</v>
      </c>
      <c r="BK11" s="4">
        <f t="shared" si="1"/>
        <v>-3.0599999999999961E-2</v>
      </c>
      <c r="BL11" s="26"/>
      <c r="BM11" s="4">
        <f t="shared" ref="BM11:CP11" si="2">BM10-BM3</f>
        <v>-3.0410612439264739E-2</v>
      </c>
      <c r="BN11" s="4">
        <f t="shared" si="2"/>
        <v>-3.2887941286879274E-2</v>
      </c>
      <c r="BO11" s="4">
        <f t="shared" si="2"/>
        <v>-1.8215098316098466E-2</v>
      </c>
      <c r="BP11" s="4">
        <f t="shared" si="2"/>
        <v>2.1410983127472305E-2</v>
      </c>
      <c r="BQ11" s="4">
        <f t="shared" si="2"/>
        <v>-9.8542644525525469E-2</v>
      </c>
      <c r="BR11" s="4">
        <f t="shared" si="2"/>
        <v>-9.6748219608789432E-2</v>
      </c>
      <c r="BS11" s="4">
        <f t="shared" si="2"/>
        <v>0.30593209737130217</v>
      </c>
      <c r="BT11" s="4">
        <f t="shared" si="2"/>
        <v>0.32590145601647064</v>
      </c>
      <c r="BU11" s="4">
        <f t="shared" si="2"/>
        <v>-0.13038123000070734</v>
      </c>
      <c r="BV11" s="4">
        <f t="shared" si="2"/>
        <v>-7.4693084102412377E-3</v>
      </c>
      <c r="BW11" s="4">
        <f t="shared" si="2"/>
        <v>-4.9605350007108084E-2</v>
      </c>
      <c r="BX11" s="4">
        <f t="shared" si="2"/>
        <v>0</v>
      </c>
      <c r="BY11" s="4">
        <f t="shared" si="2"/>
        <v>8.8835759605880082E-2</v>
      </c>
      <c r="BZ11" s="4">
        <f t="shared" si="2"/>
        <v>0</v>
      </c>
      <c r="CA11" s="4">
        <f t="shared" si="2"/>
        <v>0</v>
      </c>
      <c r="CB11" s="4">
        <f t="shared" si="2"/>
        <v>0</v>
      </c>
      <c r="CC11" s="4">
        <f t="shared" si="2"/>
        <v>0</v>
      </c>
      <c r="CD11" s="4">
        <f t="shared" si="2"/>
        <v>-3.3658942660309638E-2</v>
      </c>
      <c r="CE11" s="4">
        <f t="shared" si="2"/>
        <v>-2.3243236237041665E-2</v>
      </c>
      <c r="CF11" s="4">
        <f t="shared" si="2"/>
        <v>-7.6057099265335326E-3</v>
      </c>
      <c r="CG11" s="4">
        <f t="shared" si="2"/>
        <v>0.30936737139132864</v>
      </c>
      <c r="CH11" s="4">
        <f t="shared" si="2"/>
        <v>0.27501088769004395</v>
      </c>
      <c r="CI11" s="4">
        <f t="shared" si="2"/>
        <v>0</v>
      </c>
      <c r="CJ11" s="4">
        <f t="shared" si="2"/>
        <v>0.34792328023675767</v>
      </c>
      <c r="CK11" s="4">
        <f t="shared" si="2"/>
        <v>0</v>
      </c>
      <c r="CL11" s="4">
        <f t="shared" si="2"/>
        <v>0.61081498142551971</v>
      </c>
      <c r="CM11" s="4">
        <f t="shared" si="2"/>
        <v>0</v>
      </c>
      <c r="CN11" s="4">
        <f t="shared" si="2"/>
        <v>0</v>
      </c>
      <c r="CO11" s="1">
        <f t="shared" si="2"/>
        <v>-0.65510000000000002</v>
      </c>
      <c r="CP11" s="30">
        <f t="shared" si="2"/>
        <v>8700</v>
      </c>
      <c r="CQ11" s="4">
        <f>Rochdale1[[#This Row],[Male I]]-Rochdale1[[#This Row],[Female I]]</f>
        <v>2.477328847614535E-3</v>
      </c>
      <c r="CR11" s="4">
        <f>Rochdale1[[#This Row],[NS SEC 1-2: Higher social groups I]]-Rochdale1[[#This Row],[NS SEC 6-8: Lower social groups I]]</f>
        <v>-2.6053232733776105E-2</v>
      </c>
      <c r="CS11" s="4">
        <f>Rochdale1[[#This Row],[No LT limiting disability I]]-Rochdale1[[#This Row],[LT limiting disability I]]</f>
        <v>0.1229119215904661</v>
      </c>
      <c r="CT11" s="4">
        <f>Rochdale1[[#This Row],[16-34 I]]-Rochdale1[[#This Row],[75+ I]]</f>
        <v>7.8533121292690966E-2</v>
      </c>
      <c r="CU11" s="64">
        <f>CU10-CU7</f>
        <v>5.9240280680891988E-2</v>
      </c>
      <c r="CV11" s="64">
        <f>CV10-CV7</f>
        <v>-2.459643053842292E-2</v>
      </c>
      <c r="CW11" s="64">
        <f>CW10-CW7</f>
        <v>3.1270299454457473E-2</v>
      </c>
      <c r="CX11" s="64"/>
    </row>
  </sheetData>
  <mergeCells count="3">
    <mergeCell ref="C1:AD1"/>
    <mergeCell ref="AF1:BG1"/>
    <mergeCell ref="BI1:CJ1"/>
  </mergeCells>
  <conditionalFormatting sqref="D9 D3:D4">
    <cfRule type="containsText" dxfId="1612" priority="25" operator="containsText" text="Significant increase">
      <formula>NOT(ISERROR(SEARCH("Significant increase",D3)))</formula>
    </cfRule>
    <cfRule type="containsText" dxfId="1611" priority="26" operator="containsText" text="Significant decrease">
      <formula>NOT(ISERROR(SEARCH("Significant decrease",D3)))</formula>
    </cfRule>
  </conditionalFormatting>
  <conditionalFormatting sqref="AH9 AH3:AH4">
    <cfRule type="containsText" dxfId="1610" priority="23" operator="containsText" text="Significant increase">
      <formula>NOT(ISERROR(SEARCH("Significant increase",AH3)))</formula>
    </cfRule>
    <cfRule type="containsText" dxfId="1609" priority="24" operator="containsText" text="Significant decrease">
      <formula>NOT(ISERROR(SEARCH("Significant decrease",AH3)))</formula>
    </cfRule>
  </conditionalFormatting>
  <conditionalFormatting sqref="BL9 BL3:BL4">
    <cfRule type="containsText" dxfId="1608" priority="21" operator="containsText" text="Significant increase">
      <formula>NOT(ISERROR(SEARCH("Significant increase",BL3)))</formula>
    </cfRule>
    <cfRule type="containsText" dxfId="1607" priority="22" operator="containsText" text="Significant decrease">
      <formula>NOT(ISERROR(SEARCH("Significant decrease",BL3)))</formula>
    </cfRule>
  </conditionalFormatting>
  <conditionalFormatting sqref="C7">
    <cfRule type="containsText" dxfId="1606" priority="19" operator="containsText" text="Significant increase">
      <formula>NOT(ISERROR(SEARCH("Significant increase",C7)))</formula>
    </cfRule>
    <cfRule type="containsText" dxfId="1605" priority="20" operator="containsText" text="Significant decrease">
      <formula>NOT(ISERROR(SEARCH("Significant decrease",C7)))</formula>
    </cfRule>
  </conditionalFormatting>
  <conditionalFormatting sqref="AG7">
    <cfRule type="containsText" dxfId="1604" priority="17" operator="containsText" text="Significant increase">
      <formula>NOT(ISERROR(SEARCH("Significant increase",AG7)))</formula>
    </cfRule>
    <cfRule type="containsText" dxfId="1603" priority="18" operator="containsText" text="Significant decrease">
      <formula>NOT(ISERROR(SEARCH("Significant decrease",AG7)))</formula>
    </cfRule>
  </conditionalFormatting>
  <conditionalFormatting sqref="CX9:CX10">
    <cfRule type="containsText" dxfId="1602" priority="15" operator="containsText" text="Significant increase">
      <formula>NOT(ISERROR(SEARCH("Significant increase",CX9)))</formula>
    </cfRule>
    <cfRule type="containsText" dxfId="1601" priority="16" operator="containsText" text="Significant decrease">
      <formula>NOT(ISERROR(SEARCH("Significant decrease",CX9)))</formula>
    </cfRule>
  </conditionalFormatting>
  <conditionalFormatting sqref="CX8">
    <cfRule type="containsText" dxfId="1600" priority="13" operator="containsText" text="Significant increase">
      <formula>NOT(ISERROR(SEARCH("Significant increase",CX8)))</formula>
    </cfRule>
    <cfRule type="containsText" dxfId="1599" priority="14" operator="containsText" text="Significant decrease">
      <formula>NOT(ISERROR(SEARCH("Significant decrease",CX8)))</formula>
    </cfRule>
  </conditionalFormatting>
  <conditionalFormatting sqref="CX7">
    <cfRule type="containsText" dxfId="1598" priority="11" operator="containsText" text="Significant increase">
      <formula>NOT(ISERROR(SEARCH("Significant increase",CX7)))</formula>
    </cfRule>
    <cfRule type="containsText" dxfId="1597" priority="12" operator="containsText" text="Significant decrease">
      <formula>NOT(ISERROR(SEARCH("Significant decrease",CX7)))</formula>
    </cfRule>
  </conditionalFormatting>
  <conditionalFormatting sqref="CX6">
    <cfRule type="containsText" dxfId="1596" priority="9" operator="containsText" text="Significant increase">
      <formula>NOT(ISERROR(SEARCH("Significant increase",CX6)))</formula>
    </cfRule>
    <cfRule type="containsText" dxfId="1595" priority="10" operator="containsText" text="Significant decrease">
      <formula>NOT(ISERROR(SEARCH("Significant decrease",CX6)))</formula>
    </cfRule>
  </conditionalFormatting>
  <conditionalFormatting sqref="CX4">
    <cfRule type="containsText" dxfId="1594" priority="7" operator="containsText" text="Significant increase">
      <formula>NOT(ISERROR(SEARCH("Significant increase",CX4)))</formula>
    </cfRule>
    <cfRule type="containsText" dxfId="1593" priority="8" operator="containsText" text="Significant decrease">
      <formula>NOT(ISERROR(SEARCH("Significant decrease",CX4)))</formula>
    </cfRule>
  </conditionalFormatting>
  <conditionalFormatting sqref="D10">
    <cfRule type="containsText" dxfId="1592" priority="5" operator="containsText" text="Significant increase">
      <formula>NOT(ISERROR(SEARCH("Significant increase",D10)))</formula>
    </cfRule>
    <cfRule type="containsText" dxfId="1591" priority="6" operator="containsText" text="Significant decrease">
      <formula>NOT(ISERROR(SEARCH("Significant decrease",D10)))</formula>
    </cfRule>
  </conditionalFormatting>
  <conditionalFormatting sqref="AH10">
    <cfRule type="containsText" dxfId="1590" priority="3" operator="containsText" text="Significant increase">
      <formula>NOT(ISERROR(SEARCH("Significant increase",AH10)))</formula>
    </cfRule>
    <cfRule type="containsText" dxfId="1589" priority="4" operator="containsText" text="Significant decrease">
      <formula>NOT(ISERROR(SEARCH("Significant decrease",AH10)))</formula>
    </cfRule>
  </conditionalFormatting>
  <conditionalFormatting sqref="BL10">
    <cfRule type="containsText" dxfId="1588" priority="1" operator="containsText" text="Significant increase">
      <formula>NOT(ISERROR(SEARCH("Significant increase",BL10)))</formula>
    </cfRule>
    <cfRule type="containsText" dxfId="1587"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CX11"/>
  <sheetViews>
    <sheetView zoomScale="80" zoomScaleNormal="80" workbookViewId="0">
      <pane xSplit="2" ySplit="2" topLeftCell="BL3" activePane="bottomRight" state="frozen"/>
      <selection pane="topRight" activeCell="C1" sqref="C1"/>
      <selection pane="bottomLeft" activeCell="A3" sqref="A3"/>
      <selection pane="bottomRight" activeCell="BR10" sqref="BR10"/>
    </sheetView>
  </sheetViews>
  <sheetFormatPr defaultRowHeight="14.25" outlineLevelCol="1" x14ac:dyDescent="0.2"/>
  <cols>
    <col min="1" max="1" width="11.69921875" customWidth="1"/>
    <col min="2" max="2" width="23.5" customWidth="1"/>
    <col min="3" max="10" width="8.69921875" customWidth="1" outlineLevel="1"/>
    <col min="11" max="11" width="18.296875" customWidth="1" outlineLevel="1"/>
    <col min="12" max="12" width="21" customWidth="1" outlineLevel="1"/>
    <col min="13" max="13" width="12.796875" customWidth="1" outlineLevel="1"/>
    <col min="14" max="14" width="12.19921875" customWidth="1" outlineLevel="1"/>
    <col min="15" max="15" width="12.09765625" customWidth="1" outlineLevel="1"/>
    <col min="16" max="16" width="8.69921875" customWidth="1" outlineLevel="1"/>
    <col min="17" max="17" width="9.296875" customWidth="1" outlineLevel="1"/>
    <col min="18" max="18" width="8.69921875" customWidth="1" outlineLevel="1"/>
    <col min="19" max="19" width="17.69921875" customWidth="1" outlineLevel="1"/>
    <col min="20" max="21" width="29" customWidth="1" outlineLevel="1"/>
    <col min="22" max="22" width="28.5" customWidth="1" outlineLevel="1"/>
    <col min="23" max="23" width="26.296875" customWidth="1" outlineLevel="1"/>
    <col min="24" max="24" width="21.5" customWidth="1" outlineLevel="1"/>
    <col min="25" max="25" width="12.5" customWidth="1" outlineLevel="1"/>
    <col min="26" max="26" width="19" customWidth="1" outlineLevel="1"/>
    <col min="27" max="27" width="35.69921875" customWidth="1" outlineLevel="1"/>
    <col min="28" max="28" width="33.796875" customWidth="1" outlineLevel="1"/>
    <col min="29" max="29" width="21.296875" customWidth="1" outlineLevel="1"/>
    <col min="30" max="30" width="19.19921875" customWidth="1" outlineLevel="1"/>
    <col min="31" max="31" width="28.296875" customWidth="1"/>
    <col min="32" max="32" width="8.69921875" customWidth="1" outlineLevel="1"/>
    <col min="33" max="33" width="9.296875" customWidth="1" outlineLevel="1"/>
    <col min="34" max="39" width="8.69921875" customWidth="1" outlineLevel="1"/>
    <col min="40" max="40" width="20.09765625" customWidth="1" outlineLevel="1"/>
    <col min="41" max="41" width="22.69921875" customWidth="1" outlineLevel="1"/>
    <col min="42" max="42" width="14.59765625" customWidth="1" outlineLevel="1"/>
    <col min="43" max="43" width="14" customWidth="1" outlineLevel="1"/>
    <col min="44" max="44" width="13.796875" customWidth="1" outlineLevel="1"/>
    <col min="45" max="45" width="8.796875" customWidth="1" outlineLevel="1"/>
    <col min="46" max="46" width="11.09765625" customWidth="1" outlineLevel="1"/>
    <col min="47" max="47" width="9.296875" customWidth="1" outlineLevel="1"/>
    <col min="48" max="48" width="19.5" customWidth="1" outlineLevel="1"/>
    <col min="49" max="50" width="30.69921875" customWidth="1" outlineLevel="1"/>
    <col min="51" max="51" width="30.296875" customWidth="1" outlineLevel="1"/>
    <col min="52" max="52" width="28.09765625" customWidth="1" outlineLevel="1"/>
    <col min="53" max="53" width="23.296875" customWidth="1" outlineLevel="1"/>
    <col min="54" max="54" width="14.296875" customWidth="1" outlineLevel="1"/>
    <col min="55" max="55" width="20.69921875" customWidth="1" outlineLevel="1"/>
    <col min="56" max="56" width="37.5" customWidth="1" outlineLevel="1"/>
    <col min="57" max="57" width="35.59765625" customWidth="1" outlineLevel="1"/>
    <col min="58" max="58" width="23.09765625" customWidth="1" outlineLevel="1"/>
    <col min="59" max="59" width="21" customWidth="1" outlineLevel="1"/>
    <col min="60" max="60" width="24.796875" customWidth="1"/>
    <col min="61" max="61" width="8.69921875" customWidth="1" outlineLevel="1"/>
    <col min="62" max="62" width="10.19921875" customWidth="1" outlineLevel="1"/>
    <col min="63" max="68" width="8.69921875" customWidth="1" outlineLevel="1"/>
    <col min="69" max="69" width="20.09765625" customWidth="1" outlineLevel="1"/>
    <col min="70" max="70" width="22.69921875" customWidth="1" outlineLevel="1"/>
    <col min="71" max="71" width="14.59765625" customWidth="1" outlineLevel="1"/>
    <col min="72" max="72" width="14" customWidth="1" outlineLevel="1"/>
    <col min="73" max="73" width="13.796875" customWidth="1" outlineLevel="1"/>
    <col min="74" max="74" width="8.796875" customWidth="1" outlineLevel="1"/>
    <col min="75" max="75" width="11.09765625" customWidth="1" outlineLevel="1"/>
    <col min="76" max="76" width="9.296875" customWidth="1" outlineLevel="1"/>
    <col min="77" max="77" width="19.5" customWidth="1" outlineLevel="1"/>
    <col min="78" max="79" width="30.69921875" customWidth="1" outlineLevel="1"/>
    <col min="80" max="80" width="30.296875" customWidth="1" outlineLevel="1"/>
    <col min="81" max="81" width="28.09765625" customWidth="1" outlineLevel="1"/>
    <col min="82" max="82" width="23.296875" customWidth="1" outlineLevel="1"/>
    <col min="83" max="83" width="14.296875" customWidth="1" outlineLevel="1"/>
    <col min="84" max="84" width="20.69921875" customWidth="1" outlineLevel="1"/>
    <col min="85" max="85" width="37.5" customWidth="1" outlineLevel="1"/>
    <col min="86" max="86" width="35.59765625" customWidth="1" outlineLevel="1"/>
    <col min="87" max="87" width="23.09765625" customWidth="1" outlineLevel="1"/>
    <col min="88" max="88" width="21" customWidth="1" outlineLevel="1"/>
    <col min="94" max="94" width="8.69921875" style="30"/>
  </cols>
  <sheetData>
    <row r="1" spans="1:102" x14ac:dyDescent="0.2">
      <c r="C1" s="229" t="s">
        <v>30</v>
      </c>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F1" s="229" t="s">
        <v>32</v>
      </c>
      <c r="AG1" s="229"/>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I1" s="229" t="s">
        <v>34</v>
      </c>
      <c r="BJ1" s="229"/>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row>
    <row r="2" spans="1:102" x14ac:dyDescent="0.2">
      <c r="A2" s="2" t="s">
        <v>106</v>
      </c>
      <c r="B2" t="s">
        <v>0</v>
      </c>
      <c r="C2" t="s">
        <v>29</v>
      </c>
      <c r="D2" s="29"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165</v>
      </c>
      <c r="CQ2" s="2" t="s">
        <v>102</v>
      </c>
      <c r="CR2" s="2" t="s">
        <v>103</v>
      </c>
      <c r="CS2" s="2" t="s">
        <v>104</v>
      </c>
      <c r="CT2" s="2" t="s">
        <v>105</v>
      </c>
      <c r="CU2" s="2" t="s">
        <v>207</v>
      </c>
      <c r="CV2" s="2" t="s">
        <v>208</v>
      </c>
      <c r="CW2" s="2" t="s">
        <v>209</v>
      </c>
      <c r="CX2" s="2" t="s">
        <v>301</v>
      </c>
    </row>
    <row r="3" spans="1:102" x14ac:dyDescent="0.2">
      <c r="A3" s="4" t="s">
        <v>114</v>
      </c>
      <c r="B3" s="4" t="s">
        <v>35</v>
      </c>
      <c r="C3" s="4">
        <v>0.57520000000000004</v>
      </c>
      <c r="D3" s="30">
        <v>113100</v>
      </c>
      <c r="E3" s="4">
        <v>0.60293404449964949</v>
      </c>
      <c r="F3" s="4">
        <v>0.54976261846298358</v>
      </c>
      <c r="G3" s="4">
        <v>0.68420234451472561</v>
      </c>
      <c r="H3" s="4">
        <v>0.59463103279198692</v>
      </c>
      <c r="I3" s="4">
        <v>0.46995710099181953</v>
      </c>
      <c r="J3" s="4">
        <v>0.36130541379089054</v>
      </c>
      <c r="K3" s="4"/>
      <c r="L3" s="4"/>
      <c r="M3" s="4">
        <v>0.33785618995612832</v>
      </c>
      <c r="N3" s="4">
        <v>0.62698687728291036</v>
      </c>
      <c r="O3" s="4">
        <v>0.57705053623753677</v>
      </c>
      <c r="P3" s="4">
        <v>0.56889353760435835</v>
      </c>
      <c r="Q3" s="4"/>
      <c r="R3" s="4"/>
      <c r="S3" s="4"/>
      <c r="T3" s="4"/>
      <c r="U3" s="4"/>
      <c r="V3" s="4">
        <v>0.65885512010655911</v>
      </c>
      <c r="W3" s="4">
        <v>0.64095942809816198</v>
      </c>
      <c r="X3" s="4">
        <v>0.45602151555674891</v>
      </c>
      <c r="Y3" s="4"/>
      <c r="Z3" s="4"/>
      <c r="AA3" s="4"/>
      <c r="AB3" s="4"/>
      <c r="AC3" s="4"/>
      <c r="AD3" s="4"/>
      <c r="AE3" s="4"/>
      <c r="AF3" s="4"/>
      <c r="AG3" s="4">
        <v>0.1139</v>
      </c>
      <c r="AH3" s="30">
        <v>22400</v>
      </c>
      <c r="AI3" s="4">
        <v>0.10119558010479882</v>
      </c>
      <c r="AJ3" s="4">
        <v>0.12769640889093928</v>
      </c>
      <c r="AK3" s="4"/>
      <c r="AL3" s="4">
        <v>0.10689348042336</v>
      </c>
      <c r="AM3" s="4">
        <v>0.15874809567379486</v>
      </c>
      <c r="AN3" s="4"/>
      <c r="AO3" s="4"/>
      <c r="AP3" s="4"/>
      <c r="AQ3" s="4"/>
      <c r="AR3" s="4">
        <v>0.10986254381990475</v>
      </c>
      <c r="AS3" s="4">
        <v>0.11798232238156353</v>
      </c>
      <c r="AT3" s="4"/>
      <c r="AU3" s="4"/>
      <c r="AV3" s="4"/>
      <c r="AW3" s="4"/>
      <c r="AX3" s="4"/>
      <c r="AY3" s="4"/>
      <c r="AZ3" s="4">
        <v>0.14433347026680754</v>
      </c>
      <c r="BA3" s="4"/>
      <c r="BB3" s="4"/>
      <c r="BC3" s="4"/>
      <c r="BD3" s="4"/>
      <c r="BE3" s="4"/>
      <c r="BF3" s="4"/>
      <c r="BG3" s="4"/>
      <c r="BH3" s="4"/>
      <c r="BI3" s="4"/>
      <c r="BJ3" s="4"/>
      <c r="BK3" s="4">
        <v>0.31080000000000002</v>
      </c>
      <c r="BL3" s="30">
        <v>61100</v>
      </c>
      <c r="BM3" s="4">
        <v>0.29587037539555289</v>
      </c>
      <c r="BN3" s="4">
        <v>0.32254097264607734</v>
      </c>
      <c r="BO3" s="4">
        <v>0.21089446620598909</v>
      </c>
      <c r="BP3" s="4">
        <v>0.29847548678465308</v>
      </c>
      <c r="BQ3" s="4">
        <v>0.37129480333438553</v>
      </c>
      <c r="BR3" s="4">
        <v>0.59865782039959548</v>
      </c>
      <c r="BS3" s="4"/>
      <c r="BT3" s="4"/>
      <c r="BU3" s="4">
        <v>0.49921270425109204</v>
      </c>
      <c r="BV3" s="4">
        <v>0.26315057889718391</v>
      </c>
      <c r="BW3" s="4">
        <v>0.30496714138089825</v>
      </c>
      <c r="BX3" s="4"/>
      <c r="BY3" s="4"/>
      <c r="BZ3" s="4"/>
      <c r="CA3" s="4"/>
      <c r="CB3" s="4"/>
      <c r="CC3" s="4"/>
      <c r="CD3" s="4">
        <v>0.19681140962663338</v>
      </c>
      <c r="CE3" s="4">
        <v>0.25069661811418953</v>
      </c>
      <c r="CF3" s="4">
        <v>0.43481602739682657</v>
      </c>
      <c r="CG3" s="4"/>
      <c r="CH3" s="4"/>
      <c r="CI3" s="4"/>
      <c r="CJ3" s="4"/>
      <c r="CK3" s="4"/>
      <c r="CL3" s="4"/>
      <c r="CM3" s="4"/>
      <c r="CN3" s="4"/>
      <c r="CO3" s="4">
        <f t="shared" ref="CO3:CO9" si="0">SUM(C3,AG3)</f>
        <v>0.68910000000000005</v>
      </c>
      <c r="CP3" s="30">
        <f>Salford1[[#This Row],[Active - Numbers]]+Salford1[[#This Row],[Fairly Active - Numbers]]</f>
        <v>135500</v>
      </c>
      <c r="CQ3" s="4">
        <f>Salford1[[#This Row],[Male I]]-Salford1[[#This Row],[Female I]]</f>
        <v>-2.6670597250524453E-2</v>
      </c>
      <c r="CR3" s="4">
        <f>Salford1[[#This Row],[NS SEC 1-2: Higher social groups I]]-Salford1[[#This Row],[NS SEC 6-8: Lower social groups I]]</f>
        <v>-0.23800461777019319</v>
      </c>
      <c r="CS3" s="4">
        <f>Salford1[[#This Row],[No LT limiting disability I]]-Salford1[[#This Row],[LT limiting disability I]]</f>
        <v>-0.23606212535390814</v>
      </c>
      <c r="CT3" s="4">
        <f>Salford1[[#This Row],[16-34 I]]-Salford1[[#This Row],[75+ I]]</f>
        <v>-0.38776335419360641</v>
      </c>
      <c r="CU3" s="64"/>
      <c r="CV3" s="64"/>
      <c r="CW3" s="64"/>
      <c r="CX3" s="64"/>
    </row>
    <row r="4" spans="1:102" x14ac:dyDescent="0.2">
      <c r="A4" s="4" t="s">
        <v>114</v>
      </c>
      <c r="B4" s="4" t="s">
        <v>36</v>
      </c>
      <c r="C4" s="44">
        <v>0.61729999999999996</v>
      </c>
      <c r="D4" s="30">
        <v>122500</v>
      </c>
      <c r="E4" s="4">
        <v>0.65647958738468193</v>
      </c>
      <c r="F4" s="4">
        <v>0.55349037580507832</v>
      </c>
      <c r="G4" s="4">
        <v>0.76024970464066488</v>
      </c>
      <c r="H4" s="4">
        <v>0.54497741547261269</v>
      </c>
      <c r="I4" s="4">
        <v>0.49832150795131697</v>
      </c>
      <c r="J4" s="4"/>
      <c r="K4" s="4"/>
      <c r="L4" s="4"/>
      <c r="M4" s="4">
        <v>0.3961585625618308</v>
      </c>
      <c r="N4" s="4">
        <v>0.66739804149091664</v>
      </c>
      <c r="O4" s="4">
        <v>0.6158123225993275</v>
      </c>
      <c r="P4" s="4">
        <v>0.69613386362291307</v>
      </c>
      <c r="Q4" s="4"/>
      <c r="R4" s="4"/>
      <c r="S4" s="4"/>
      <c r="T4" s="4"/>
      <c r="U4" s="4"/>
      <c r="V4" s="4">
        <v>0.65624733029712135</v>
      </c>
      <c r="W4" s="4">
        <v>0.58382717426862751</v>
      </c>
      <c r="X4" s="4">
        <v>0.53586456810401895</v>
      </c>
      <c r="Y4" s="4"/>
      <c r="Z4" s="4"/>
      <c r="AA4" s="4"/>
      <c r="AB4" s="4"/>
      <c r="AC4" s="4"/>
      <c r="AD4" s="4"/>
      <c r="AE4" s="4"/>
      <c r="AF4" s="4"/>
      <c r="AG4" s="44">
        <v>0.1196</v>
      </c>
      <c r="AH4" s="30">
        <v>23700</v>
      </c>
      <c r="AI4" s="4">
        <v>0.11450948386676128</v>
      </c>
      <c r="AJ4" s="4">
        <v>0.14955359478920202</v>
      </c>
      <c r="AK4" s="4">
        <v>0.11076816998647061</v>
      </c>
      <c r="AL4" s="4">
        <v>0.16148361507661768</v>
      </c>
      <c r="AM4" s="4">
        <v>0.16704691639886732</v>
      </c>
      <c r="AN4" s="4"/>
      <c r="AO4" s="4"/>
      <c r="AP4" s="4"/>
      <c r="AQ4" s="4">
        <v>0.15027146730605304</v>
      </c>
      <c r="AR4" s="4">
        <v>0.12417115232630105</v>
      </c>
      <c r="AS4" s="4">
        <v>0.13896422692060276</v>
      </c>
      <c r="AT4" s="4"/>
      <c r="AU4" s="4"/>
      <c r="AV4" s="4"/>
      <c r="AW4" s="4"/>
      <c r="AX4" s="4"/>
      <c r="AY4" s="4"/>
      <c r="AZ4" s="4">
        <v>0.14340411149094112</v>
      </c>
      <c r="BA4" s="4">
        <v>0.17460353459820194</v>
      </c>
      <c r="BB4" s="4"/>
      <c r="BC4" s="4"/>
      <c r="BD4" s="4"/>
      <c r="BE4" s="4"/>
      <c r="BF4" s="4"/>
      <c r="BG4" s="4"/>
      <c r="BH4" s="4"/>
      <c r="BI4" s="4"/>
      <c r="BJ4" s="4"/>
      <c r="BK4" s="4">
        <v>0.26314989583163839</v>
      </c>
      <c r="BL4" s="30">
        <v>52200</v>
      </c>
      <c r="BM4" s="4">
        <v>0.22901092874855689</v>
      </c>
      <c r="BN4" s="4">
        <v>0.2969560294057188</v>
      </c>
      <c r="BO4" s="4">
        <v>0.12898212537286408</v>
      </c>
      <c r="BP4" s="4">
        <v>0.2935389694507699</v>
      </c>
      <c r="BQ4" s="4">
        <v>0.33463157564981572</v>
      </c>
      <c r="BR4" s="4">
        <v>0.60416507624723248</v>
      </c>
      <c r="BS4" s="4"/>
      <c r="BT4" s="4"/>
      <c r="BU4" s="4">
        <v>0.45356997013211542</v>
      </c>
      <c r="BV4" s="4">
        <v>0.20843080618278267</v>
      </c>
      <c r="BW4" s="4">
        <v>0.24522345048006935</v>
      </c>
      <c r="BX4" s="4"/>
      <c r="BY4" s="4"/>
      <c r="BZ4" s="4"/>
      <c r="CA4" s="4"/>
      <c r="CB4" s="4"/>
      <c r="CC4" s="4"/>
      <c r="CD4" s="4">
        <v>0.20034855821193684</v>
      </c>
      <c r="CE4" s="4">
        <v>0.24156929113317122</v>
      </c>
      <c r="CF4" s="4">
        <v>0.34532015492759505</v>
      </c>
      <c r="CG4" s="4"/>
      <c r="CH4" s="4"/>
      <c r="CI4" s="4"/>
      <c r="CJ4" s="4"/>
      <c r="CK4" s="4"/>
      <c r="CL4" s="4"/>
      <c r="CM4" s="4"/>
      <c r="CN4" s="4"/>
      <c r="CO4" s="4">
        <f t="shared" si="0"/>
        <v>0.7369</v>
      </c>
      <c r="CP4" s="30">
        <f>Salford1[[#This Row],[Active - Numbers]]+Salford1[[#This Row],[Fairly Active - Numbers]]</f>
        <v>146200</v>
      </c>
      <c r="CQ4" s="4">
        <f>Salford1[[#This Row],[Male I]]-Salford1[[#This Row],[Female I]]</f>
        <v>-6.7945100657161916E-2</v>
      </c>
      <c r="CR4" s="4">
        <f>Salford1[[#This Row],[NS SEC 1-2: Higher social groups I]]-Salford1[[#This Row],[NS SEC 6-8: Lower social groups I]]</f>
        <v>-0.14497159671565821</v>
      </c>
      <c r="CS4" s="4">
        <f>Salford1[[#This Row],[No LT limiting disability I]]-Salford1[[#This Row],[LT limiting disability I]]</f>
        <v>-0.24513916394933274</v>
      </c>
      <c r="CT4" s="4">
        <f>Salford1[[#This Row],[16-34 I]]-Salford1[[#This Row],[75+ I]]</f>
        <v>-0.4751829508743684</v>
      </c>
      <c r="CU4" s="64"/>
      <c r="CV4" s="64"/>
      <c r="CW4" s="64"/>
      <c r="CX4" s="152">
        <v>0.1573</v>
      </c>
    </row>
    <row r="5" spans="1:102" x14ac:dyDescent="0.2">
      <c r="A5" s="4" t="s">
        <v>114</v>
      </c>
      <c r="B5" s="4" t="s">
        <v>37</v>
      </c>
      <c r="C5" s="4">
        <v>0.63290000000000002</v>
      </c>
      <c r="D5" s="30">
        <v>126000</v>
      </c>
      <c r="E5" s="4">
        <v>0.65491682595235345</v>
      </c>
      <c r="F5" s="4">
        <v>0.61462462245771132</v>
      </c>
      <c r="G5" s="4">
        <v>0.78434270640075288</v>
      </c>
      <c r="H5" s="4">
        <v>0.58135462806761529</v>
      </c>
      <c r="I5" s="4">
        <v>0.52306047327837502</v>
      </c>
      <c r="J5" s="4"/>
      <c r="K5" s="4"/>
      <c r="L5" s="4"/>
      <c r="M5" s="4">
        <v>0.38784444552201847</v>
      </c>
      <c r="N5" s="4">
        <v>0.69338006051635159</v>
      </c>
      <c r="O5" s="4">
        <v>0.65517044579153483</v>
      </c>
      <c r="P5" s="4">
        <v>0.64776615569976359</v>
      </c>
      <c r="Q5" s="4"/>
      <c r="R5" s="4"/>
      <c r="S5" s="4"/>
      <c r="T5" s="4"/>
      <c r="U5" s="4"/>
      <c r="V5" s="4">
        <v>0.68404912074539259</v>
      </c>
      <c r="W5" s="4">
        <v>0.58725097655285374</v>
      </c>
      <c r="X5" s="4">
        <v>0.58454218680907277</v>
      </c>
      <c r="Y5" s="4"/>
      <c r="Z5" s="4"/>
      <c r="AA5" s="4"/>
      <c r="AB5" s="4"/>
      <c r="AC5" s="4"/>
      <c r="AD5" s="4"/>
      <c r="AE5" s="4"/>
      <c r="AF5" s="4"/>
      <c r="AG5" s="4">
        <v>0.1045</v>
      </c>
      <c r="AH5" s="30">
        <v>20800</v>
      </c>
      <c r="AI5" s="4">
        <v>9.4438702015913811E-2</v>
      </c>
      <c r="AJ5" s="4">
        <v>0.11084020247196333</v>
      </c>
      <c r="AK5" s="4"/>
      <c r="AL5" s="4">
        <v>0.13165452063757074</v>
      </c>
      <c r="AM5" s="4">
        <v>0.16675288822024142</v>
      </c>
      <c r="AN5" s="4"/>
      <c r="AO5" s="4"/>
      <c r="AP5" s="4"/>
      <c r="AQ5" s="4"/>
      <c r="AR5" s="4">
        <v>9.7679006160635365E-2</v>
      </c>
      <c r="AS5" s="4">
        <v>0.10701991816527745</v>
      </c>
      <c r="AT5" s="4"/>
      <c r="AU5" s="4"/>
      <c r="AV5" s="4"/>
      <c r="AW5" s="4"/>
      <c r="AX5" s="4"/>
      <c r="AY5" s="4"/>
      <c r="AZ5" s="4">
        <v>0.13531263548878308</v>
      </c>
      <c r="BA5" s="4">
        <v>0.12209348265508234</v>
      </c>
      <c r="BB5" s="4"/>
      <c r="BC5" s="4"/>
      <c r="BD5" s="4"/>
      <c r="BE5" s="4"/>
      <c r="BF5" s="4"/>
      <c r="BG5" s="4"/>
      <c r="BH5" s="4"/>
      <c r="BI5" s="4"/>
      <c r="BJ5" s="4"/>
      <c r="BK5" s="4">
        <v>0.2626</v>
      </c>
      <c r="BL5" s="30">
        <v>52300</v>
      </c>
      <c r="BM5" s="4">
        <v>0.25064447203173251</v>
      </c>
      <c r="BN5" s="4">
        <v>0.2745351750703241</v>
      </c>
      <c r="BO5" s="4">
        <v>0.16022798407610211</v>
      </c>
      <c r="BP5" s="4">
        <v>0.28699085129481405</v>
      </c>
      <c r="BQ5" s="4">
        <v>0.3101866385013835</v>
      </c>
      <c r="BR5" s="4">
        <v>0.6314612780281138</v>
      </c>
      <c r="BS5" s="4"/>
      <c r="BT5" s="4"/>
      <c r="BU5" s="4">
        <v>0.49657989556193349</v>
      </c>
      <c r="BV5" s="4">
        <v>0.20894093332301292</v>
      </c>
      <c r="BW5" s="4">
        <v>0.23780963604318664</v>
      </c>
      <c r="BX5" s="4"/>
      <c r="BY5" s="4"/>
      <c r="BZ5" s="4"/>
      <c r="CA5" s="4"/>
      <c r="CB5" s="4"/>
      <c r="CC5" s="4"/>
      <c r="CD5" s="4">
        <v>0.18063824376582466</v>
      </c>
      <c r="CE5" s="4">
        <v>0.29065554079206396</v>
      </c>
      <c r="CF5" s="4">
        <v>0.32562277097538339</v>
      </c>
      <c r="CG5" s="4"/>
      <c r="CH5" s="4"/>
      <c r="CI5" s="4"/>
      <c r="CJ5" s="4"/>
      <c r="CK5" s="4"/>
      <c r="CL5" s="4"/>
      <c r="CM5" s="4"/>
      <c r="CN5" s="4"/>
      <c r="CO5" s="4">
        <f t="shared" si="0"/>
        <v>0.73740000000000006</v>
      </c>
      <c r="CP5" s="30">
        <f>Salford1[[#This Row],[Active - Numbers]]+Salford1[[#This Row],[Fairly Active - Numbers]]</f>
        <v>146800</v>
      </c>
      <c r="CQ5" s="4">
        <f>Salford1[[#This Row],[Male I]]-Salford1[[#This Row],[Female I]]</f>
        <v>-2.3890703038591588E-2</v>
      </c>
      <c r="CR5" s="4">
        <f>Salford1[[#This Row],[NS SEC 1-2: Higher social groups I]]-Salford1[[#This Row],[NS SEC 6-8: Lower social groups I]]</f>
        <v>-0.14498452720955873</v>
      </c>
      <c r="CS5" s="4">
        <f>Salford1[[#This Row],[No LT limiting disability I]]-Salford1[[#This Row],[LT limiting disability I]]</f>
        <v>-0.2876389622389206</v>
      </c>
      <c r="CT5" s="4">
        <f>Salford1[[#This Row],[16-34 I]]-Salford1[[#This Row],[75+ I]]</f>
        <v>-0.47123329395201169</v>
      </c>
      <c r="CU5" s="64"/>
      <c r="CV5" s="64"/>
      <c r="CW5" s="64"/>
      <c r="CX5" s="154">
        <v>0.14230000000000001</v>
      </c>
    </row>
    <row r="6" spans="1:102" x14ac:dyDescent="0.2">
      <c r="A6" s="4" t="s">
        <v>114</v>
      </c>
      <c r="B6" s="4" t="s">
        <v>38</v>
      </c>
      <c r="C6" s="4">
        <v>0.64070798098868254</v>
      </c>
      <c r="D6" s="30">
        <v>128700</v>
      </c>
      <c r="E6" s="4">
        <v>0.64524419036889247</v>
      </c>
      <c r="F6" s="4">
        <v>0.63820313548293672</v>
      </c>
      <c r="G6" s="4">
        <v>0.73338169899751937</v>
      </c>
      <c r="H6" s="4">
        <v>0.68884191710757425</v>
      </c>
      <c r="I6" s="4">
        <v>0.51882516466184581</v>
      </c>
      <c r="J6" s="4"/>
      <c r="K6" s="4"/>
      <c r="L6" s="4"/>
      <c r="M6" s="4">
        <v>0.49071682504555869</v>
      </c>
      <c r="N6" s="4">
        <v>0.68040265786097232</v>
      </c>
      <c r="O6" s="4">
        <v>0.65899487172317039</v>
      </c>
      <c r="P6" s="4">
        <v>0.62148515287205386</v>
      </c>
      <c r="Q6" s="4"/>
      <c r="R6" s="4"/>
      <c r="S6" s="4"/>
      <c r="T6" s="4"/>
      <c r="U6" s="4"/>
      <c r="V6" s="4">
        <v>0.70325673734068739</v>
      </c>
      <c r="W6" s="4">
        <v>0.60540527382886733</v>
      </c>
      <c r="X6" s="4">
        <v>0.60395134849483245</v>
      </c>
      <c r="Y6" s="4"/>
      <c r="Z6" s="4"/>
      <c r="AA6" s="4"/>
      <c r="AB6" s="4"/>
      <c r="AC6" s="4"/>
      <c r="AD6" s="4"/>
      <c r="AE6" s="4"/>
      <c r="AF6" s="4"/>
      <c r="AG6" s="4">
        <v>0.11839675900171867</v>
      </c>
      <c r="AH6" s="30">
        <v>23800</v>
      </c>
      <c r="AI6" s="4">
        <v>0.11551236867714884</v>
      </c>
      <c r="AJ6" s="4">
        <v>0.11825882052471813</v>
      </c>
      <c r="AK6" s="4"/>
      <c r="AL6" s="4">
        <v>0.10990765458500737</v>
      </c>
      <c r="AM6" s="4">
        <v>0.15409075031561398</v>
      </c>
      <c r="AN6" s="4"/>
      <c r="AO6" s="4"/>
      <c r="AP6" s="4"/>
      <c r="AQ6" s="4"/>
      <c r="AR6" s="4">
        <v>0.13117011127376466</v>
      </c>
      <c r="AS6" s="4">
        <v>0.11639268074824775</v>
      </c>
      <c r="AT6" s="4"/>
      <c r="AU6" s="4"/>
      <c r="AV6" s="4"/>
      <c r="AW6" s="4"/>
      <c r="AX6" s="4"/>
      <c r="AY6" s="4"/>
      <c r="AZ6" s="4">
        <v>0.11506431353502884</v>
      </c>
      <c r="BA6" s="4">
        <v>0.13807620117542685</v>
      </c>
      <c r="BB6" s="4">
        <v>0.15051302523868498</v>
      </c>
      <c r="BC6" s="4"/>
      <c r="BD6" s="4"/>
      <c r="BE6" s="4"/>
      <c r="BF6" s="4"/>
      <c r="BG6" s="4"/>
      <c r="BH6" s="4"/>
      <c r="BI6" s="4"/>
      <c r="BJ6" s="4"/>
      <c r="BK6" s="4">
        <v>0.24089526000959935</v>
      </c>
      <c r="BL6" s="30">
        <v>48400</v>
      </c>
      <c r="BM6" s="4">
        <v>0.23924344095395825</v>
      </c>
      <c r="BN6" s="4">
        <v>0.24353804399234569</v>
      </c>
      <c r="BO6" s="4">
        <v>0.16539040010871842</v>
      </c>
      <c r="BP6" s="4">
        <v>0.20125042830741799</v>
      </c>
      <c r="BQ6" s="4">
        <v>0.32708408502254072</v>
      </c>
      <c r="BR6" s="4">
        <v>0.56615733993514894</v>
      </c>
      <c r="BS6" s="4"/>
      <c r="BT6" s="4"/>
      <c r="BU6" s="4">
        <v>0.44963042464275355</v>
      </c>
      <c r="BV6" s="4">
        <v>0.18842723086526303</v>
      </c>
      <c r="BW6" s="4">
        <v>0.22461244752858225</v>
      </c>
      <c r="BX6" s="4"/>
      <c r="BY6" s="4"/>
      <c r="BZ6" s="4"/>
      <c r="CA6" s="4"/>
      <c r="CB6" s="4"/>
      <c r="CC6" s="4"/>
      <c r="CD6" s="4">
        <v>0.18167894912428328</v>
      </c>
      <c r="CE6" s="4">
        <v>0.2565185249957061</v>
      </c>
      <c r="CF6" s="4">
        <v>0.24553562626648293</v>
      </c>
      <c r="CG6" s="4"/>
      <c r="CH6" s="4"/>
      <c r="CI6" s="4"/>
      <c r="CJ6" s="4"/>
      <c r="CK6" s="4"/>
      <c r="CL6" s="4"/>
      <c r="CM6" s="4"/>
      <c r="CN6" s="4"/>
      <c r="CO6" s="4">
        <f t="shared" si="0"/>
        <v>0.75910473999040118</v>
      </c>
      <c r="CP6" s="30">
        <f>Salford1[[#This Row],[Active - Numbers]]+Salford1[[#This Row],[Fairly Active - Numbers]]</f>
        <v>152500</v>
      </c>
      <c r="CQ6" s="4">
        <f>Salford1[[#This Row],[Male I]]-Salford1[[#This Row],[Female I]]</f>
        <v>-4.2946030383874401E-3</v>
      </c>
      <c r="CR6" s="4">
        <f>Salford1[[#This Row],[NS SEC 1-2: Higher social groups I]]-Salford1[[#This Row],[NS SEC 6-8: Lower social groups I]]</f>
        <v>-6.3856677142199642E-2</v>
      </c>
      <c r="CS6" s="4">
        <f>Salford1[[#This Row],[No LT limiting disability I]]-Salford1[[#This Row],[LT limiting disability I]]</f>
        <v>-0.26120319377749052</v>
      </c>
      <c r="CT6" s="4">
        <f>Salford1[[#This Row],[16-34 I]]-Salford1[[#This Row],[75+ I]]</f>
        <v>-0.40076693982643052</v>
      </c>
      <c r="CU6" s="64"/>
      <c r="CV6" s="64"/>
      <c r="CW6" s="64"/>
      <c r="CX6" s="152">
        <v>0.1298</v>
      </c>
    </row>
    <row r="7" spans="1:102" x14ac:dyDescent="0.2">
      <c r="A7" s="4" t="s">
        <v>114</v>
      </c>
      <c r="B7" s="4" t="s">
        <v>39</v>
      </c>
      <c r="C7" s="4">
        <v>0.59692975140693172</v>
      </c>
      <c r="D7" s="30">
        <v>119900</v>
      </c>
      <c r="E7" s="4">
        <v>0.62742633253265145</v>
      </c>
      <c r="F7" s="4">
        <v>0.56381179762829503</v>
      </c>
      <c r="G7" s="4">
        <v>0.69276534231603393</v>
      </c>
      <c r="H7" s="4">
        <v>0.61430550531854122</v>
      </c>
      <c r="I7" s="4">
        <v>0.52338660867322517</v>
      </c>
      <c r="J7" s="4">
        <v>0.29201642110266318</v>
      </c>
      <c r="K7" s="4">
        <v>0.65886101155324583</v>
      </c>
      <c r="L7" s="4">
        <v>0.45525153538714103</v>
      </c>
      <c r="M7" s="4">
        <v>0.49795944023027711</v>
      </c>
      <c r="N7" s="4">
        <v>0.63460600280339718</v>
      </c>
      <c r="O7" s="4">
        <v>0.59227797527340142</v>
      </c>
      <c r="P7" s="4">
        <v>0.72996887376065234</v>
      </c>
      <c r="Q7" s="4"/>
      <c r="R7" s="4"/>
      <c r="S7" s="4"/>
      <c r="T7" s="4"/>
      <c r="U7" s="4"/>
      <c r="V7" s="4">
        <v>0.71002598174366982</v>
      </c>
      <c r="W7" s="4">
        <v>0.56751078884750439</v>
      </c>
      <c r="X7" s="4">
        <v>0.55810002838251904</v>
      </c>
      <c r="Y7" s="4">
        <v>0.64938703260705377</v>
      </c>
      <c r="Z7" s="4"/>
      <c r="AA7" s="4"/>
      <c r="AB7" s="4"/>
      <c r="AC7" s="4"/>
      <c r="AD7" s="4"/>
      <c r="AE7" s="4"/>
      <c r="AF7" s="4"/>
      <c r="AG7" s="45">
        <v>0.14899999999999999</v>
      </c>
      <c r="AH7" s="30">
        <v>29900</v>
      </c>
      <c r="AI7" s="4">
        <v>0.1516157158360105</v>
      </c>
      <c r="AJ7" s="4">
        <v>0.14461000349279909</v>
      </c>
      <c r="AK7" s="4">
        <v>0.15987085363124534</v>
      </c>
      <c r="AL7" s="4">
        <v>0.14320464460769031</v>
      </c>
      <c r="AM7" s="4">
        <v>0.15481907357722732</v>
      </c>
      <c r="AN7" s="4"/>
      <c r="AO7" s="4">
        <v>0.15266899488516564</v>
      </c>
      <c r="AP7" s="4">
        <v>0.14346009052144432</v>
      </c>
      <c r="AQ7" s="4"/>
      <c r="AR7" s="4">
        <v>0.16555569919102525</v>
      </c>
      <c r="AS7" s="4">
        <v>0.15500552812651525</v>
      </c>
      <c r="AT7" s="4"/>
      <c r="AU7" s="4"/>
      <c r="AV7" s="4"/>
      <c r="AW7" s="4"/>
      <c r="AX7" s="4"/>
      <c r="AY7" s="4"/>
      <c r="AZ7" s="4">
        <v>0.12050728197752993</v>
      </c>
      <c r="BA7" s="4"/>
      <c r="BB7" s="4"/>
      <c r="BC7" s="4"/>
      <c r="BD7" s="4"/>
      <c r="BE7" s="4"/>
      <c r="BF7" s="4"/>
      <c r="BG7" s="4"/>
      <c r="BH7" s="4"/>
      <c r="BI7" s="4"/>
      <c r="BJ7" s="4"/>
      <c r="BK7" s="45">
        <v>0.25409999999999999</v>
      </c>
      <c r="BL7" s="30">
        <v>51000</v>
      </c>
      <c r="BM7" s="4">
        <v>0.22095795163133766</v>
      </c>
      <c r="BN7" s="4">
        <v>0.29157819887890435</v>
      </c>
      <c r="BO7" s="4">
        <v>0.14736380405272084</v>
      </c>
      <c r="BP7" s="4">
        <v>0.24248985007376889</v>
      </c>
      <c r="BQ7" s="4">
        <v>0.3217943177495472</v>
      </c>
      <c r="BR7" s="4">
        <v>0.59173685746527271</v>
      </c>
      <c r="BS7" s="4">
        <v>0.18846999356158825</v>
      </c>
      <c r="BT7" s="4">
        <v>0.40128837409141449</v>
      </c>
      <c r="BU7" s="4">
        <v>0.40579403979924378</v>
      </c>
      <c r="BV7" s="4">
        <v>0.19983829800557695</v>
      </c>
      <c r="BW7" s="4">
        <v>0.2527164966000825</v>
      </c>
      <c r="BX7" s="4"/>
      <c r="BY7" s="4"/>
      <c r="BZ7" s="4"/>
      <c r="CA7" s="4"/>
      <c r="CB7" s="4"/>
      <c r="CC7" s="4"/>
      <c r="CD7" s="4">
        <v>0.16946673627880046</v>
      </c>
      <c r="CE7" s="4">
        <v>0.27427637133163296</v>
      </c>
      <c r="CF7" s="4">
        <v>0.24304015556511074</v>
      </c>
      <c r="CG7" s="4"/>
      <c r="CH7" s="4"/>
      <c r="CI7" s="4"/>
      <c r="CJ7" s="4"/>
      <c r="CK7" s="4"/>
      <c r="CL7" s="4"/>
      <c r="CM7" s="4"/>
      <c r="CN7" s="4"/>
      <c r="CO7" s="4">
        <f t="shared" si="0"/>
        <v>0.74592975140693174</v>
      </c>
      <c r="CP7" s="30">
        <f>Salford1[[#This Row],[Active - Numbers]]+Salford1[[#This Row],[Fairly Active - Numbers]]</f>
        <v>149800</v>
      </c>
      <c r="CQ7" s="4">
        <f>Salford1[[#This Row],[Male I]]-Salford1[[#This Row],[Female I]]</f>
        <v>-7.0620247247566686E-2</v>
      </c>
      <c r="CR7" s="4">
        <f>Salford1[[#This Row],[NS SEC 1-2: Higher social groups I]]-Salford1[[#This Row],[NS SEC 6-8: Lower social groups I]]</f>
        <v>-7.3573419286310282E-2</v>
      </c>
      <c r="CS7" s="4">
        <f>Salford1[[#This Row],[No LT limiting disability I]]-Salford1[[#This Row],[LT limiting disability I]]</f>
        <v>-0.20595574179366682</v>
      </c>
      <c r="CT7" s="4">
        <f>Salford1[[#This Row],[16-34 I]]-Salford1[[#This Row],[75+ I]]</f>
        <v>-0.44437305341255184</v>
      </c>
      <c r="CU7" s="48">
        <v>0.36346778482740033</v>
      </c>
      <c r="CV7" s="48">
        <v>0.32912076166387244</v>
      </c>
      <c r="CW7" s="48">
        <v>0.56653556268605754</v>
      </c>
      <c r="CX7" s="152">
        <v>0.11409999999999999</v>
      </c>
    </row>
    <row r="8" spans="1:102" x14ac:dyDescent="0.2">
      <c r="A8" s="4" t="s">
        <v>114</v>
      </c>
      <c r="B8" s="4" t="s">
        <v>40</v>
      </c>
      <c r="C8" s="4">
        <v>0.61140000000000005</v>
      </c>
      <c r="D8" s="30">
        <v>124100</v>
      </c>
      <c r="E8" s="4">
        <v>0.64800000000000002</v>
      </c>
      <c r="F8" s="4">
        <v>0.57499999999999996</v>
      </c>
      <c r="G8" s="4">
        <v>0.70389999999999997</v>
      </c>
      <c r="H8" s="4">
        <v>0.62719999999999998</v>
      </c>
      <c r="I8" s="4">
        <v>0.54449999999999998</v>
      </c>
      <c r="J8" s="4"/>
      <c r="K8" s="4">
        <v>0.67130000000000001</v>
      </c>
      <c r="L8" s="4">
        <v>0.46850000000000003</v>
      </c>
      <c r="M8" s="4">
        <v>0.4657</v>
      </c>
      <c r="N8" s="4">
        <v>0.66090000000000004</v>
      </c>
      <c r="O8" s="4">
        <v>0.5877</v>
      </c>
      <c r="P8" s="4">
        <v>0.68479999999999996</v>
      </c>
      <c r="Q8" s="4"/>
      <c r="R8" s="4"/>
      <c r="S8" s="4"/>
      <c r="T8" s="4"/>
      <c r="U8" s="4"/>
      <c r="V8" s="4">
        <v>0.73280000000000001</v>
      </c>
      <c r="W8" s="4">
        <v>0.56610000000000005</v>
      </c>
      <c r="X8" s="4">
        <v>0.53349999999999997</v>
      </c>
      <c r="Y8" s="4">
        <v>0.70550000000000002</v>
      </c>
      <c r="Z8" s="4">
        <v>0.66320000000000001</v>
      </c>
      <c r="AA8" s="4"/>
      <c r="AB8" s="4">
        <v>0.46279999999999999</v>
      </c>
      <c r="AC8" s="4"/>
      <c r="AD8" s="4"/>
      <c r="AE8" s="4">
        <v>0.76580000000000004</v>
      </c>
      <c r="AF8" s="4"/>
      <c r="AG8" s="4">
        <v>0.14460000000000001</v>
      </c>
      <c r="AH8" s="30">
        <v>29300</v>
      </c>
      <c r="AI8" s="4">
        <v>0.14149999999999999</v>
      </c>
      <c r="AJ8" s="4">
        <v>0.1484</v>
      </c>
      <c r="AK8" s="4">
        <v>0.1484</v>
      </c>
      <c r="AL8" s="4">
        <v>0.14610000000000001</v>
      </c>
      <c r="AM8" s="4">
        <v>0.15959999999999999</v>
      </c>
      <c r="AN8" s="4"/>
      <c r="AO8" s="4">
        <v>0.1474</v>
      </c>
      <c r="AP8" s="4">
        <v>0.14219999999999999</v>
      </c>
      <c r="AQ8" s="4"/>
      <c r="AR8" s="4">
        <v>0.14169999999999999</v>
      </c>
      <c r="AS8" s="4">
        <v>0.15709999999999999</v>
      </c>
      <c r="AT8" s="4"/>
      <c r="AU8" s="4"/>
      <c r="AV8" s="4"/>
      <c r="AW8" s="4"/>
      <c r="AX8" s="4"/>
      <c r="AY8" s="4"/>
      <c r="AZ8" s="4">
        <v>0.1246</v>
      </c>
      <c r="BA8" s="4">
        <v>0.156</v>
      </c>
      <c r="BB8" s="4"/>
      <c r="BC8" s="4"/>
      <c r="BD8" s="4">
        <v>0.14680000000000001</v>
      </c>
      <c r="BE8" s="4"/>
      <c r="BF8" s="4"/>
      <c r="BG8" s="4"/>
      <c r="BH8" s="4"/>
      <c r="BI8" s="4"/>
      <c r="BJ8" s="4"/>
      <c r="BK8" s="4">
        <v>0.24410000000000001</v>
      </c>
      <c r="BL8" s="30">
        <v>49500</v>
      </c>
      <c r="BM8" s="4">
        <v>0.2104</v>
      </c>
      <c r="BN8" s="4">
        <v>0.27660000000000001</v>
      </c>
      <c r="BO8" s="4">
        <v>0.1477</v>
      </c>
      <c r="BP8" s="4">
        <v>0.22670000000000001</v>
      </c>
      <c r="BQ8" s="4">
        <v>0.2959</v>
      </c>
      <c r="BR8" s="4">
        <v>0.62470000000000003</v>
      </c>
      <c r="BS8" s="4">
        <v>0.18129999999999999</v>
      </c>
      <c r="BT8" s="4">
        <v>0.38929999999999998</v>
      </c>
      <c r="BU8" s="4">
        <v>0.37369999999999998</v>
      </c>
      <c r="BV8" s="4">
        <v>0.19739999999999999</v>
      </c>
      <c r="BW8" s="4">
        <v>0.25519999999999998</v>
      </c>
      <c r="BX8" s="4"/>
      <c r="BY8" s="4"/>
      <c r="BZ8" s="4"/>
      <c r="CA8" s="4"/>
      <c r="CB8" s="4"/>
      <c r="CC8" s="4"/>
      <c r="CD8" s="4">
        <v>0.1426</v>
      </c>
      <c r="CE8" s="4">
        <v>0.27789999999999998</v>
      </c>
      <c r="CF8" s="4">
        <v>0.28360000000000002</v>
      </c>
      <c r="CG8" s="4"/>
      <c r="CH8" s="4">
        <v>0.19</v>
      </c>
      <c r="CI8" s="4"/>
      <c r="CJ8" s="4">
        <v>0.42809999999999998</v>
      </c>
      <c r="CK8" s="4"/>
      <c r="CL8" s="4"/>
      <c r="CM8" s="4"/>
      <c r="CN8" s="4"/>
      <c r="CO8" s="4">
        <f t="shared" si="0"/>
        <v>0.75600000000000001</v>
      </c>
      <c r="CP8" s="30">
        <f>Salford1[[#This Row],[Active - Numbers]]+Salford1[[#This Row],[Fairly Active - Numbers]]</f>
        <v>153400</v>
      </c>
      <c r="CQ8" s="4">
        <f>Salford1[[#This Row],[Male I]]-Salford1[[#This Row],[Female I]]</f>
        <v>-6.6200000000000009E-2</v>
      </c>
      <c r="CR8" s="4">
        <f>Salford1[[#This Row],[NS SEC 1-2: Higher social groups I]]-Salford1[[#This Row],[NS SEC 6-8: Lower social groups I]]</f>
        <v>-0.14100000000000001</v>
      </c>
      <c r="CS8" s="4">
        <f>Salford1[[#This Row],[No LT limiting disability I]]-Salford1[[#This Row],[LT limiting disability I]]</f>
        <v>-0.17629999999999998</v>
      </c>
      <c r="CT8" s="4">
        <f>Salford1[[#This Row],[16-34 I]]-Salford1[[#This Row],[75+ I]]</f>
        <v>-0.47700000000000004</v>
      </c>
      <c r="CU8" s="48">
        <v>0.3886</v>
      </c>
      <c r="CV8" s="48">
        <v>0.34820000000000001</v>
      </c>
      <c r="CW8" s="48">
        <v>0.59499999999999997</v>
      </c>
      <c r="CX8" s="152">
        <v>0.1002</v>
      </c>
    </row>
    <row r="9" spans="1:102" x14ac:dyDescent="0.2">
      <c r="A9" s="4" t="s">
        <v>114</v>
      </c>
      <c r="B9" s="4" t="s">
        <v>41</v>
      </c>
      <c r="C9" s="4">
        <v>0.64791549583042607</v>
      </c>
      <c r="D9" s="30">
        <v>131500</v>
      </c>
      <c r="E9" s="4">
        <v>0.66090358674891869</v>
      </c>
      <c r="F9" s="4">
        <v>0.63740171820794511</v>
      </c>
      <c r="G9" s="4">
        <v>0.73265549663515583</v>
      </c>
      <c r="H9" s="4">
        <v>0.67069523965205424</v>
      </c>
      <c r="I9" s="4">
        <v>0.56060158916541025</v>
      </c>
      <c r="J9" s="4"/>
      <c r="K9" s="4">
        <v>0.70556435391944339</v>
      </c>
      <c r="L9" s="4">
        <v>0.50454768056660582</v>
      </c>
      <c r="M9" s="4">
        <v>0.47492478874461802</v>
      </c>
      <c r="N9" s="4">
        <v>0.68968843669684177</v>
      </c>
      <c r="O9" s="4">
        <v>0.64277499747921696</v>
      </c>
      <c r="P9" s="4">
        <v>0.67863983399727235</v>
      </c>
      <c r="Q9" s="4"/>
      <c r="R9" s="4"/>
      <c r="S9" s="4"/>
      <c r="T9" s="4"/>
      <c r="U9" s="4"/>
      <c r="V9" s="4">
        <v>0.69775765949027768</v>
      </c>
      <c r="W9" s="4">
        <v>0.66650134460234423</v>
      </c>
      <c r="X9" s="4">
        <v>0.5570432772280729</v>
      </c>
      <c r="Y9" s="4">
        <v>0.77565963049397069</v>
      </c>
      <c r="Z9" s="4">
        <v>0.67669656874952711</v>
      </c>
      <c r="AA9" s="4"/>
      <c r="AB9" s="4">
        <v>0.54069205251500152</v>
      </c>
      <c r="AC9" s="4"/>
      <c r="AD9" s="4"/>
      <c r="AE9" s="4">
        <v>0.88074859550618489</v>
      </c>
      <c r="AF9" s="4"/>
      <c r="AG9" s="4">
        <v>0.11863677980892844</v>
      </c>
      <c r="AH9" s="30">
        <v>24100</v>
      </c>
      <c r="AI9" s="4">
        <v>0.11843786465962253</v>
      </c>
      <c r="AJ9" s="4">
        <v>0.11947484975147436</v>
      </c>
      <c r="AK9" s="4">
        <v>9.9734777611572373E-2</v>
      </c>
      <c r="AL9" s="4">
        <v>0.1317239388689084</v>
      </c>
      <c r="AM9" s="4">
        <v>0.13795518943464927</v>
      </c>
      <c r="AN9" s="4"/>
      <c r="AO9" s="4">
        <v>0.11372153259250765</v>
      </c>
      <c r="AP9" s="4">
        <v>0.13468788219934016</v>
      </c>
      <c r="AQ9" s="4">
        <v>0.1557453132391653</v>
      </c>
      <c r="AR9" s="4">
        <v>0.11143080124957985</v>
      </c>
      <c r="AS9" s="4">
        <v>0.12516948404611086</v>
      </c>
      <c r="AT9" s="4"/>
      <c r="AU9" s="4"/>
      <c r="AV9" s="4"/>
      <c r="AW9" s="4"/>
      <c r="AX9" s="4"/>
      <c r="AY9" s="4"/>
      <c r="AZ9" s="4">
        <v>0.1376686399415461</v>
      </c>
      <c r="BA9" s="4"/>
      <c r="BB9" s="4"/>
      <c r="BC9" s="4"/>
      <c r="BD9" s="4">
        <v>0.10752692438349001</v>
      </c>
      <c r="BE9" s="4"/>
      <c r="BF9" s="4"/>
      <c r="BG9" s="4"/>
      <c r="BH9" s="4"/>
      <c r="BI9" s="4"/>
      <c r="BJ9" s="4"/>
      <c r="BK9" s="4">
        <v>0.23344772436064684</v>
      </c>
      <c r="BL9" s="30">
        <v>47400</v>
      </c>
      <c r="BM9" s="4">
        <v>0.22065854859145945</v>
      </c>
      <c r="BN9" s="4">
        <v>0.24312343204057996</v>
      </c>
      <c r="BO9" s="4">
        <v>0.16760972575327227</v>
      </c>
      <c r="BP9" s="4">
        <v>0.19758082147903783</v>
      </c>
      <c r="BQ9" s="4">
        <v>0.30144322139994151</v>
      </c>
      <c r="BR9" s="4">
        <v>0.58424117867563696</v>
      </c>
      <c r="BS9" s="4">
        <v>0.18071411348804936</v>
      </c>
      <c r="BT9" s="4">
        <v>0.36076443723405432</v>
      </c>
      <c r="BU9" s="4">
        <v>0.36932989801621668</v>
      </c>
      <c r="BV9" s="4">
        <v>0.19888076205358032</v>
      </c>
      <c r="BW9" s="4">
        <v>0.23205551847467368</v>
      </c>
      <c r="BX9" s="4"/>
      <c r="BY9" s="4"/>
      <c r="BZ9" s="4"/>
      <c r="CA9" s="4"/>
      <c r="CB9" s="4"/>
      <c r="CC9" s="4"/>
      <c r="CD9" s="4">
        <v>0.16457370056817586</v>
      </c>
      <c r="CE9" s="4">
        <v>0.23815932363302728</v>
      </c>
      <c r="CF9" s="4">
        <v>0.3188264308130524</v>
      </c>
      <c r="CG9" s="4"/>
      <c r="CH9" s="4">
        <v>0.2157765068669823</v>
      </c>
      <c r="CI9" s="4"/>
      <c r="CJ9" s="4">
        <v>0.35713770693010344</v>
      </c>
      <c r="CK9" s="4"/>
      <c r="CL9" s="4"/>
      <c r="CM9" s="4"/>
      <c r="CN9" s="4"/>
      <c r="CO9" s="4">
        <f t="shared" si="0"/>
        <v>0.76655227563935446</v>
      </c>
      <c r="CP9" s="30">
        <f>Salford1[[#This Row],[Active - Numbers]]+Salford1[[#This Row],[Fairly Active - Numbers]]</f>
        <v>155600</v>
      </c>
      <c r="CQ9" s="4">
        <f>Salford1[[#This Row],[Male I]]-Salford1[[#This Row],[Female I]]</f>
        <v>-2.246488344912051E-2</v>
      </c>
      <c r="CR9" s="4">
        <f>Salford1[[#This Row],[NS SEC 1-2: Higher social groups I]]-Salford1[[#This Row],[NS SEC 6-8: Lower social groups I]]</f>
        <v>-0.15425273024487654</v>
      </c>
      <c r="CS9" s="4">
        <f>Salford1[[#This Row],[No LT limiting disability I]]-Salford1[[#This Row],[LT limiting disability I]]</f>
        <v>-0.17044913596263636</v>
      </c>
      <c r="CT9" s="4">
        <f>Salford1[[#This Row],[16-34 I]]-Salford1[[#This Row],[75+ I]]</f>
        <v>-0.4166314529223647</v>
      </c>
      <c r="CU9" s="48">
        <v>0.4139643263434063</v>
      </c>
      <c r="CV9" s="48">
        <v>0.39998656731705451</v>
      </c>
      <c r="CW9" s="48">
        <v>0.63973080097525259</v>
      </c>
      <c r="CX9" s="152">
        <v>9.4100000000000003E-2</v>
      </c>
    </row>
    <row r="10" spans="1:102" s="29" customFormat="1" x14ac:dyDescent="0.2">
      <c r="A10" s="156" t="s">
        <v>114</v>
      </c>
      <c r="B10" s="156" t="s">
        <v>155</v>
      </c>
      <c r="C10" s="64">
        <v>0.63939999999999997</v>
      </c>
      <c r="D10" s="30">
        <v>132000</v>
      </c>
      <c r="E10" s="170">
        <v>0.67244212014999138</v>
      </c>
      <c r="F10" s="170">
        <v>0.61399391314480811</v>
      </c>
      <c r="G10" s="170">
        <v>0.75155212469655908</v>
      </c>
      <c r="H10" s="170">
        <v>0.62401156723827611</v>
      </c>
      <c r="I10" s="170">
        <v>0.54175747252894546</v>
      </c>
      <c r="J10" s="46"/>
      <c r="K10" s="170">
        <v>0.69531905125115256</v>
      </c>
      <c r="L10" s="170">
        <v>0.48928837088516447</v>
      </c>
      <c r="M10" s="170">
        <v>0.44271594560513405</v>
      </c>
      <c r="N10" s="170">
        <v>0.67903253701010757</v>
      </c>
      <c r="O10" s="170">
        <v>0.65687322459399622</v>
      </c>
      <c r="P10" s="170">
        <v>0.61527389545524913</v>
      </c>
      <c r="Q10" s="46"/>
      <c r="R10" s="46"/>
      <c r="S10" s="46"/>
      <c r="T10" s="46"/>
      <c r="U10" s="46"/>
      <c r="V10" s="170">
        <v>0.71781428342734865</v>
      </c>
      <c r="W10" s="170">
        <v>0.6441457992573375</v>
      </c>
      <c r="X10" s="170">
        <v>0.56638031235802078</v>
      </c>
      <c r="Y10" s="170">
        <v>0.70740419033083002</v>
      </c>
      <c r="Z10" s="170">
        <v>0.6828441296258686</v>
      </c>
      <c r="AA10" s="46"/>
      <c r="AB10" s="170">
        <v>0.4877499402073614</v>
      </c>
      <c r="AC10" s="46"/>
      <c r="AD10" s="46"/>
      <c r="AE10" s="46"/>
      <c r="AF10" s="46"/>
      <c r="AG10" s="64">
        <v>0.10920000000000001</v>
      </c>
      <c r="AH10" s="30">
        <v>22500</v>
      </c>
      <c r="AI10" s="170">
        <v>8.787329861054459E-2</v>
      </c>
      <c r="AJ10" s="170">
        <v>0.13043211472189017</v>
      </c>
      <c r="AK10" s="170">
        <v>9.1828093919014683E-2</v>
      </c>
      <c r="AL10" s="170">
        <v>0.10135249199100786</v>
      </c>
      <c r="AM10" s="170">
        <v>0.12539143274632547</v>
      </c>
      <c r="AN10" s="46"/>
      <c r="AO10" s="170">
        <v>9.6027434011133131E-2</v>
      </c>
      <c r="AP10" s="170">
        <v>0.13758007040579953</v>
      </c>
      <c r="AQ10" s="46"/>
      <c r="AR10" s="170">
        <v>0.11222651550598496</v>
      </c>
      <c r="AS10" s="170">
        <v>0.10681801616088006</v>
      </c>
      <c r="AT10" s="46"/>
      <c r="AU10" s="46"/>
      <c r="AV10" s="46"/>
      <c r="AW10" s="46"/>
      <c r="AX10" s="46"/>
      <c r="AY10" s="46"/>
      <c r="AZ10" s="170">
        <v>0.12264180615914592</v>
      </c>
      <c r="BA10" s="46"/>
      <c r="BB10" s="170">
        <v>8.9462121729627142E-2</v>
      </c>
      <c r="BC10" s="46"/>
      <c r="BD10" s="170">
        <v>9.1277956444062808E-2</v>
      </c>
      <c r="BE10" s="46"/>
      <c r="BF10" s="46"/>
      <c r="BG10" s="46"/>
      <c r="BH10" s="46"/>
      <c r="BI10" s="46"/>
      <c r="BJ10" s="46"/>
      <c r="BK10" s="64">
        <v>0.2515</v>
      </c>
      <c r="BL10" s="30">
        <v>51900</v>
      </c>
      <c r="BM10" s="170">
        <v>0.2396845812394641</v>
      </c>
      <c r="BN10" s="170">
        <v>0.25557397213330174</v>
      </c>
      <c r="BO10" s="170">
        <v>0.15661978138442603</v>
      </c>
      <c r="BP10" s="170">
        <v>0.27463594077071629</v>
      </c>
      <c r="BQ10" s="170">
        <v>0.33285109472472846</v>
      </c>
      <c r="BR10" s="170">
        <v>0.50945665289520703</v>
      </c>
      <c r="BS10" s="170">
        <v>0.20865351473771571</v>
      </c>
      <c r="BT10" s="170">
        <v>0.37313155870903569</v>
      </c>
      <c r="BU10" s="170">
        <v>0.43946284057913643</v>
      </c>
      <c r="BV10" s="170">
        <v>0.20874094748390934</v>
      </c>
      <c r="BW10" s="170">
        <v>0.23630875924512598</v>
      </c>
      <c r="BX10" s="46"/>
      <c r="BY10" s="46"/>
      <c r="BZ10" s="46"/>
      <c r="CA10" s="46"/>
      <c r="CB10" s="46"/>
      <c r="CC10" s="46"/>
      <c r="CD10" s="170">
        <v>0.15954391041350541</v>
      </c>
      <c r="CE10" s="170">
        <v>0.27693522350714883</v>
      </c>
      <c r="CF10" s="170">
        <v>0.34415756591235214</v>
      </c>
      <c r="CG10" s="46"/>
      <c r="CH10" s="170">
        <v>0.22587791393006923</v>
      </c>
      <c r="CI10" s="46"/>
      <c r="CJ10" s="170">
        <v>0.37434790778825139</v>
      </c>
      <c r="CK10" s="46"/>
      <c r="CL10" s="46"/>
      <c r="CM10" s="46"/>
      <c r="CN10" s="46"/>
      <c r="CO10" s="64"/>
      <c r="CP10" s="130">
        <f>Salford1[[#This Row],[Active - Numbers]]+Salford1[[#This Row],[Fairly Active - Numbers]]</f>
        <v>154500</v>
      </c>
      <c r="CQ10" s="64">
        <f>Salford1[[#This Row],[Male I]]-Salford1[[#This Row],[Female I]]</f>
        <v>-1.5889390893837646E-2</v>
      </c>
      <c r="CR10" s="64">
        <f>Salford1[[#This Row],[NS SEC 1-2: Higher social groups I]]-Salford1[[#This Row],[NS SEC 6-8: Lower social groups I]]</f>
        <v>-0.18461365549884673</v>
      </c>
      <c r="CS10" s="64">
        <f>Salford1[[#This Row],[No LT limiting disability I]]-Salford1[[#This Row],[LT limiting disability I]]</f>
        <v>-0.23072189309522709</v>
      </c>
      <c r="CT10" s="64">
        <f>Salford1[[#This Row],[16-34 I]]-Salford1[[#This Row],[75+ I]]</f>
        <v>-0.35283687151078102</v>
      </c>
      <c r="CU10" s="173">
        <v>0.41403824238593223</v>
      </c>
      <c r="CV10" s="173">
        <v>0.37741877755496767</v>
      </c>
      <c r="CW10" s="173">
        <v>0.60638669501252562</v>
      </c>
      <c r="CX10" s="150"/>
    </row>
    <row r="11" spans="1:102" x14ac:dyDescent="0.2">
      <c r="A11" s="4" t="s">
        <v>114</v>
      </c>
      <c r="B11" s="4" t="s">
        <v>42</v>
      </c>
      <c r="C11" s="4">
        <f>C10-C3</f>
        <v>6.4199999999999924E-2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-4.6999999999999958E-3</v>
      </c>
      <c r="AH11" s="26"/>
      <c r="AI11" s="4">
        <f t="shared" ref="AI11:BK11" si="1">AI10-AI3</f>
        <v>-1.3322281494254226E-2</v>
      </c>
      <c r="AJ11" s="4">
        <f t="shared" si="1"/>
        <v>2.7357058309508964E-3</v>
      </c>
      <c r="AK11" s="4">
        <f t="shared" si="1"/>
        <v>9.1828093919014683E-2</v>
      </c>
      <c r="AL11" s="4">
        <f t="shared" si="1"/>
        <v>-5.5409884323521369E-3</v>
      </c>
      <c r="AM11" s="4">
        <f t="shared" si="1"/>
        <v>-3.3356662927469388E-2</v>
      </c>
      <c r="AN11" s="4">
        <f t="shared" si="1"/>
        <v>0</v>
      </c>
      <c r="AO11" s="4">
        <f t="shared" si="1"/>
        <v>9.6027434011133131E-2</v>
      </c>
      <c r="AP11" s="4">
        <f t="shared" si="1"/>
        <v>0.13758007040579953</v>
      </c>
      <c r="AQ11" s="4">
        <f t="shared" si="1"/>
        <v>0</v>
      </c>
      <c r="AR11" s="4">
        <f t="shared" si="1"/>
        <v>2.3639716860802129E-3</v>
      </c>
      <c r="AS11" s="4">
        <f t="shared" si="1"/>
        <v>-1.116430622068347E-2</v>
      </c>
      <c r="AT11" s="4">
        <f t="shared" si="1"/>
        <v>0</v>
      </c>
      <c r="AU11" s="4">
        <f t="shared" si="1"/>
        <v>0</v>
      </c>
      <c r="AV11" s="4">
        <f t="shared" si="1"/>
        <v>0</v>
      </c>
      <c r="AW11" s="4">
        <f t="shared" si="1"/>
        <v>0</v>
      </c>
      <c r="AX11" s="4">
        <f t="shared" si="1"/>
        <v>0</v>
      </c>
      <c r="AY11" s="4">
        <f t="shared" si="1"/>
        <v>0</v>
      </c>
      <c r="AZ11" s="4">
        <f t="shared" si="1"/>
        <v>-2.1691664107661615E-2</v>
      </c>
      <c r="BA11" s="4">
        <f t="shared" si="1"/>
        <v>0</v>
      </c>
      <c r="BB11" s="4">
        <f t="shared" si="1"/>
        <v>8.9462121729627142E-2</v>
      </c>
      <c r="BC11" s="4">
        <f t="shared" si="1"/>
        <v>0</v>
      </c>
      <c r="BD11" s="4">
        <f t="shared" si="1"/>
        <v>9.1277956444062808E-2</v>
      </c>
      <c r="BE11" s="4">
        <f t="shared" si="1"/>
        <v>0</v>
      </c>
      <c r="BF11" s="4">
        <f t="shared" si="1"/>
        <v>0</v>
      </c>
      <c r="BG11" s="4">
        <f t="shared" si="1"/>
        <v>0</v>
      </c>
      <c r="BH11" s="4">
        <f t="shared" si="1"/>
        <v>0</v>
      </c>
      <c r="BI11" s="4">
        <f t="shared" si="1"/>
        <v>0</v>
      </c>
      <c r="BJ11" s="4">
        <f t="shared" si="1"/>
        <v>0</v>
      </c>
      <c r="BK11" s="4">
        <f t="shared" si="1"/>
        <v>-5.9300000000000019E-2</v>
      </c>
      <c r="BL11" s="26"/>
      <c r="BM11" s="4">
        <f t="shared" ref="BM11:CP11" si="2">BM10-BM3</f>
        <v>-5.6185794156088792E-2</v>
      </c>
      <c r="BN11" s="4">
        <f t="shared" si="2"/>
        <v>-6.6967000512775599E-2</v>
      </c>
      <c r="BO11" s="4">
        <f t="shared" si="2"/>
        <v>-5.4274684821563057E-2</v>
      </c>
      <c r="BP11" s="4">
        <f t="shared" si="2"/>
        <v>-2.3839546013936785E-2</v>
      </c>
      <c r="BQ11" s="4">
        <f t="shared" si="2"/>
        <v>-3.8443708609657068E-2</v>
      </c>
      <c r="BR11" s="4">
        <f t="shared" si="2"/>
        <v>-8.9201167504388446E-2</v>
      </c>
      <c r="BS11" s="4">
        <f t="shared" si="2"/>
        <v>0.20865351473771571</v>
      </c>
      <c r="BT11" s="4">
        <f t="shared" si="2"/>
        <v>0.37313155870903569</v>
      </c>
      <c r="BU11" s="4">
        <f t="shared" si="2"/>
        <v>-5.9749863671955616E-2</v>
      </c>
      <c r="BV11" s="4">
        <f t="shared" si="2"/>
        <v>-5.4409631413274567E-2</v>
      </c>
      <c r="BW11" s="4">
        <f t="shared" si="2"/>
        <v>-6.8658382135772272E-2</v>
      </c>
      <c r="BX11" s="4">
        <f t="shared" si="2"/>
        <v>0</v>
      </c>
      <c r="BY11" s="4">
        <f t="shared" si="2"/>
        <v>0</v>
      </c>
      <c r="BZ11" s="4">
        <f t="shared" si="2"/>
        <v>0</v>
      </c>
      <c r="CA11" s="4">
        <f t="shared" si="2"/>
        <v>0</v>
      </c>
      <c r="CB11" s="4">
        <f t="shared" si="2"/>
        <v>0</v>
      </c>
      <c r="CC11" s="4">
        <f t="shared" si="2"/>
        <v>0</v>
      </c>
      <c r="CD11" s="4">
        <f t="shared" si="2"/>
        <v>-3.7267499213127969E-2</v>
      </c>
      <c r="CE11" s="4">
        <f t="shared" si="2"/>
        <v>2.6238605392959302E-2</v>
      </c>
      <c r="CF11" s="4">
        <f t="shared" si="2"/>
        <v>-9.0658461484474429E-2</v>
      </c>
      <c r="CG11" s="4">
        <f t="shared" si="2"/>
        <v>0</v>
      </c>
      <c r="CH11" s="4">
        <f t="shared" si="2"/>
        <v>0.22587791393006923</v>
      </c>
      <c r="CI11" s="4">
        <f t="shared" si="2"/>
        <v>0</v>
      </c>
      <c r="CJ11" s="4">
        <f t="shared" si="2"/>
        <v>0.37434790778825139</v>
      </c>
      <c r="CK11" s="4">
        <f t="shared" si="2"/>
        <v>0</v>
      </c>
      <c r="CL11" s="4">
        <f t="shared" si="2"/>
        <v>0</v>
      </c>
      <c r="CM11" s="4">
        <f t="shared" si="2"/>
        <v>0</v>
      </c>
      <c r="CN11" s="4">
        <f t="shared" si="2"/>
        <v>0</v>
      </c>
      <c r="CO11" s="4">
        <f t="shared" si="2"/>
        <v>-0.68910000000000005</v>
      </c>
      <c r="CP11" s="30">
        <f t="shared" si="2"/>
        <v>19000</v>
      </c>
      <c r="CQ11" s="4">
        <f>Salford1[[#This Row],[Male I]]-Salford1[[#This Row],[Female I]]</f>
        <v>1.0781206356686807E-2</v>
      </c>
      <c r="CR11" s="4">
        <f>Salford1[[#This Row],[NS SEC 1-2: Higher social groups I]]-Salford1[[#This Row],[NS SEC 6-8: Lower social groups I]]</f>
        <v>5.3390962271346459E-2</v>
      </c>
      <c r="CS11" s="4">
        <f>Salford1[[#This Row],[No LT limiting disability I]]-Salford1[[#This Row],[LT limiting disability I]]</f>
        <v>5.3402322586810491E-3</v>
      </c>
      <c r="CT11" s="4">
        <f>Salford1[[#This Row],[16-34 I]]-Salford1[[#This Row],[75+ I]]</f>
        <v>3.4926482682825388E-2</v>
      </c>
      <c r="CU11" s="64">
        <f>CU10-CU7</f>
        <v>5.05704575585319E-2</v>
      </c>
      <c r="CV11" s="64">
        <f>CV10-CV7</f>
        <v>4.8298015891095225E-2</v>
      </c>
      <c r="CW11" s="64">
        <f>CW10-CW7</f>
        <v>3.9851132326468086E-2</v>
      </c>
      <c r="CX11" s="64"/>
    </row>
  </sheetData>
  <mergeCells count="3">
    <mergeCell ref="C1:AD1"/>
    <mergeCell ref="AF1:BG1"/>
    <mergeCell ref="BI1:CJ1"/>
  </mergeCells>
  <conditionalFormatting sqref="D3">
    <cfRule type="containsText" dxfId="1484" priority="27" operator="containsText" text="Significant increase">
      <formula>NOT(ISERROR(SEARCH("Significant increase",D3)))</formula>
    </cfRule>
    <cfRule type="containsText" dxfId="1483" priority="28" operator="containsText" text="Significant decrease">
      <formula>NOT(ISERROR(SEARCH("Significant decrease",D3)))</formula>
    </cfRule>
  </conditionalFormatting>
  <conditionalFormatting sqref="D9 D4">
    <cfRule type="containsText" dxfId="1482" priority="25" operator="containsText" text="Significant increase">
      <formula>NOT(ISERROR(SEARCH("Significant increase",D4)))</formula>
    </cfRule>
    <cfRule type="containsText" dxfId="1481" priority="26" operator="containsText" text="Significant decrease">
      <formula>NOT(ISERROR(SEARCH("Significant decrease",D4)))</formula>
    </cfRule>
  </conditionalFormatting>
  <conditionalFormatting sqref="AH3">
    <cfRule type="containsText" dxfId="1480" priority="23" operator="containsText" text="Significant increase">
      <formula>NOT(ISERROR(SEARCH("Significant increase",AH3)))</formula>
    </cfRule>
    <cfRule type="containsText" dxfId="1479" priority="24" operator="containsText" text="Significant decrease">
      <formula>NOT(ISERROR(SEARCH("Significant decrease",AH3)))</formula>
    </cfRule>
  </conditionalFormatting>
  <conditionalFormatting sqref="AH9:AH10 AH4">
    <cfRule type="containsText" dxfId="1478" priority="21" operator="containsText" text="Significant increase">
      <formula>NOT(ISERROR(SEARCH("Significant increase",AH4)))</formula>
    </cfRule>
    <cfRule type="containsText" dxfId="1477" priority="22" operator="containsText" text="Significant decrease">
      <formula>NOT(ISERROR(SEARCH("Significant decrease",AH4)))</formula>
    </cfRule>
  </conditionalFormatting>
  <conditionalFormatting sqref="BL9 BL3:BL4">
    <cfRule type="containsText" dxfId="1476" priority="19" operator="containsText" text="Significant increase">
      <formula>NOT(ISERROR(SEARCH("Significant increase",BL3)))</formula>
    </cfRule>
    <cfRule type="containsText" dxfId="1475" priority="20" operator="containsText" text="Significant decrease">
      <formula>NOT(ISERROR(SEARCH("Significant decrease",BL3)))</formula>
    </cfRule>
  </conditionalFormatting>
  <conditionalFormatting sqref="BK7">
    <cfRule type="containsText" dxfId="1474" priority="17" operator="containsText" text="Significant increase">
      <formula>NOT(ISERROR(SEARCH("Significant increase",BK7)))</formula>
    </cfRule>
    <cfRule type="containsText" dxfId="1473" priority="18" operator="containsText" text="Significant decrease">
      <formula>NOT(ISERROR(SEARCH("Significant decrease",BK7)))</formula>
    </cfRule>
  </conditionalFormatting>
  <conditionalFormatting sqref="AG7">
    <cfRule type="containsText" dxfId="1472" priority="15" operator="containsText" text="Significant increase">
      <formula>NOT(ISERROR(SEARCH("Significant increase",AG7)))</formula>
    </cfRule>
    <cfRule type="containsText" dxfId="1471" priority="16" operator="containsText" text="Significant decrease">
      <formula>NOT(ISERROR(SEARCH("Significant decrease",AG7)))</formula>
    </cfRule>
  </conditionalFormatting>
  <conditionalFormatting sqref="CX9:CX10">
    <cfRule type="containsText" dxfId="1470" priority="13" operator="containsText" text="Significant increase">
      <formula>NOT(ISERROR(SEARCH("Significant increase",CX9)))</formula>
    </cfRule>
    <cfRule type="containsText" dxfId="1469" priority="14" operator="containsText" text="Significant decrease">
      <formula>NOT(ISERROR(SEARCH("Significant decrease",CX9)))</formula>
    </cfRule>
  </conditionalFormatting>
  <conditionalFormatting sqref="CX8">
    <cfRule type="containsText" dxfId="1468" priority="11" operator="containsText" text="Significant increase">
      <formula>NOT(ISERROR(SEARCH("Significant increase",CX8)))</formula>
    </cfRule>
    <cfRule type="containsText" dxfId="1467" priority="12" operator="containsText" text="Significant decrease">
      <formula>NOT(ISERROR(SEARCH("Significant decrease",CX8)))</formula>
    </cfRule>
  </conditionalFormatting>
  <conditionalFormatting sqref="CX7">
    <cfRule type="containsText" dxfId="1466" priority="9" operator="containsText" text="Significant increase">
      <formula>NOT(ISERROR(SEARCH("Significant increase",CX7)))</formula>
    </cfRule>
    <cfRule type="containsText" dxfId="1465" priority="10" operator="containsText" text="Significant decrease">
      <formula>NOT(ISERROR(SEARCH("Significant decrease",CX7)))</formula>
    </cfRule>
  </conditionalFormatting>
  <conditionalFormatting sqref="CX6">
    <cfRule type="containsText" dxfId="1464" priority="7" operator="containsText" text="Significant increase">
      <formula>NOT(ISERROR(SEARCH("Significant increase",CX6)))</formula>
    </cfRule>
    <cfRule type="containsText" dxfId="1463" priority="8" operator="containsText" text="Significant decrease">
      <formula>NOT(ISERROR(SEARCH("Significant decrease",CX6)))</formula>
    </cfRule>
  </conditionalFormatting>
  <conditionalFormatting sqref="CX4">
    <cfRule type="containsText" dxfId="1462" priority="5" operator="containsText" text="Significant increase">
      <formula>NOT(ISERROR(SEARCH("Significant increase",CX4)))</formula>
    </cfRule>
    <cfRule type="containsText" dxfId="1461" priority="6" operator="containsText" text="Significant decrease">
      <formula>NOT(ISERROR(SEARCH("Significant decrease",CX4)))</formula>
    </cfRule>
  </conditionalFormatting>
  <conditionalFormatting sqref="D10">
    <cfRule type="containsText" dxfId="1460" priority="3" operator="containsText" text="Significant increase">
      <formula>NOT(ISERROR(SEARCH("Significant increase",D10)))</formula>
    </cfRule>
    <cfRule type="containsText" dxfId="1459" priority="4" operator="containsText" text="Significant decrease">
      <formula>NOT(ISERROR(SEARCH("Significant decrease",D10)))</formula>
    </cfRule>
  </conditionalFormatting>
  <conditionalFormatting sqref="BL10">
    <cfRule type="containsText" dxfId="1458" priority="1" operator="containsText" text="Significant increase">
      <formula>NOT(ISERROR(SEARCH("Significant increase",BL10)))</formula>
    </cfRule>
    <cfRule type="containsText" dxfId="1457"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X11"/>
  <sheetViews>
    <sheetView zoomScaleNormal="100" workbookViewId="0">
      <pane xSplit="2" ySplit="2" topLeftCell="BN3" activePane="bottomRight" state="frozen"/>
      <selection pane="topRight" activeCell="C1" sqref="C1"/>
      <selection pane="bottomLeft" activeCell="A3" sqref="A3"/>
      <selection pane="bottomRight" activeCell="BU22" sqref="BU22"/>
    </sheetView>
  </sheetViews>
  <sheetFormatPr defaultRowHeight="14.25" outlineLevelCol="1" x14ac:dyDescent="0.2"/>
  <cols>
    <col min="1" max="1" width="11.69921875" customWidth="1"/>
    <col min="2" max="2" width="23.5" customWidth="1"/>
    <col min="3" max="10" width="8.69921875" customWidth="1" outlineLevel="1"/>
    <col min="11" max="11" width="18.296875" customWidth="1" outlineLevel="1"/>
    <col min="12" max="12" width="21" customWidth="1" outlineLevel="1"/>
    <col min="13" max="13" width="12.796875" customWidth="1" outlineLevel="1"/>
    <col min="14" max="14" width="12.19921875" customWidth="1" outlineLevel="1"/>
    <col min="15" max="15" width="12.09765625" customWidth="1" outlineLevel="1"/>
    <col min="16" max="16" width="8.69921875" customWidth="1" outlineLevel="1"/>
    <col min="17" max="17" width="9.296875" customWidth="1" outlineLevel="1"/>
    <col min="18" max="18" width="8.69921875" customWidth="1" outlineLevel="1"/>
    <col min="19" max="19" width="17.69921875" customWidth="1" outlineLevel="1"/>
    <col min="20" max="21" width="29" customWidth="1" outlineLevel="1"/>
    <col min="22" max="22" width="28.5" customWidth="1" outlineLevel="1"/>
    <col min="23" max="23" width="26.296875" customWidth="1" outlineLevel="1"/>
    <col min="24" max="24" width="21.5" customWidth="1" outlineLevel="1"/>
    <col min="25" max="25" width="12.5" customWidth="1" outlineLevel="1"/>
    <col min="26" max="26" width="19" customWidth="1" outlineLevel="1"/>
    <col min="27" max="27" width="35.69921875" customWidth="1" outlineLevel="1"/>
    <col min="28" max="28" width="33.796875" customWidth="1" outlineLevel="1"/>
    <col min="29" max="29" width="21.296875" customWidth="1" outlineLevel="1"/>
    <col min="30" max="30" width="19.19921875" customWidth="1" outlineLevel="1"/>
    <col min="31" max="31" width="28.296875" customWidth="1"/>
    <col min="32" max="32" width="8.69921875" customWidth="1" outlineLevel="1"/>
    <col min="33" max="33" width="9.296875" customWidth="1" outlineLevel="1"/>
    <col min="34" max="39" width="8.69921875" customWidth="1" outlineLevel="1"/>
    <col min="40" max="40" width="20.09765625" customWidth="1" outlineLevel="1"/>
    <col min="41" max="41" width="22.69921875" customWidth="1" outlineLevel="1"/>
    <col min="42" max="42" width="14.59765625" customWidth="1" outlineLevel="1"/>
    <col min="43" max="43" width="14" customWidth="1" outlineLevel="1"/>
    <col min="44" max="44" width="13.796875" customWidth="1" outlineLevel="1"/>
    <col min="45" max="45" width="8.796875" customWidth="1" outlineLevel="1"/>
    <col min="46" max="46" width="11.09765625" customWidth="1" outlineLevel="1"/>
    <col min="47" max="47" width="9.296875" customWidth="1" outlineLevel="1"/>
    <col min="48" max="48" width="19.5" customWidth="1" outlineLevel="1"/>
    <col min="49" max="50" width="30.69921875" customWidth="1" outlineLevel="1"/>
    <col min="51" max="51" width="30.296875" customWidth="1" outlineLevel="1"/>
    <col min="52" max="52" width="28.09765625" customWidth="1" outlineLevel="1"/>
    <col min="53" max="53" width="23.296875" customWidth="1" outlineLevel="1"/>
    <col min="54" max="54" width="14.296875" customWidth="1" outlineLevel="1"/>
    <col min="55" max="55" width="20.69921875" customWidth="1" outlineLevel="1"/>
    <col min="56" max="56" width="37.5" customWidth="1" outlineLevel="1"/>
    <col min="57" max="57" width="35.59765625" customWidth="1" outlineLevel="1"/>
    <col min="58" max="58" width="23.09765625" customWidth="1" outlineLevel="1"/>
    <col min="59" max="59" width="21" customWidth="1" outlineLevel="1"/>
    <col min="60" max="60" width="24.796875" customWidth="1"/>
    <col min="61" max="61" width="8.69921875" customWidth="1" outlineLevel="1"/>
    <col min="62" max="62" width="10.19921875" customWidth="1" outlineLevel="1"/>
    <col min="63" max="68" width="8.69921875" customWidth="1" outlineLevel="1"/>
    <col min="69" max="69" width="20.09765625" customWidth="1" outlineLevel="1"/>
    <col min="70" max="70" width="22.69921875" customWidth="1" outlineLevel="1"/>
    <col min="71" max="71" width="14.59765625" customWidth="1" outlineLevel="1"/>
    <col min="72" max="72" width="14" customWidth="1" outlineLevel="1"/>
    <col min="73" max="73" width="13.796875" customWidth="1" outlineLevel="1"/>
    <col min="74" max="74" width="8.796875" customWidth="1" outlineLevel="1"/>
    <col min="75" max="75" width="11.09765625" customWidth="1" outlineLevel="1"/>
    <col min="76" max="76" width="9.296875" customWidth="1" outlineLevel="1"/>
    <col min="77" max="77" width="19.5" customWidth="1" outlineLevel="1"/>
    <col min="78" max="79" width="30.69921875" customWidth="1" outlineLevel="1"/>
    <col min="80" max="80" width="30.296875" customWidth="1" outlineLevel="1"/>
    <col min="81" max="81" width="28.09765625" customWidth="1" outlineLevel="1"/>
    <col min="82" max="82" width="23.296875" customWidth="1" outlineLevel="1"/>
    <col min="83" max="83" width="14.296875" customWidth="1" outlineLevel="1"/>
    <col min="84" max="84" width="20.69921875" customWidth="1" outlineLevel="1"/>
    <col min="85" max="85" width="37.5" customWidth="1" outlineLevel="1"/>
    <col min="86" max="86" width="35.59765625" customWidth="1" outlineLevel="1"/>
    <col min="87" max="87" width="23.09765625" customWidth="1" outlineLevel="1"/>
    <col min="88" max="88" width="21" customWidth="1" outlineLevel="1"/>
    <col min="94" max="94" width="8.69921875" style="30"/>
  </cols>
  <sheetData>
    <row r="1" spans="1:102" x14ac:dyDescent="0.2">
      <c r="C1" s="229" t="s">
        <v>30</v>
      </c>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F1" s="229" t="s">
        <v>32</v>
      </c>
      <c r="AG1" s="229"/>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I1" s="229" t="s">
        <v>34</v>
      </c>
      <c r="BJ1" s="229"/>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row>
    <row r="2" spans="1:102" x14ac:dyDescent="0.2">
      <c r="A2" s="2" t="s">
        <v>106</v>
      </c>
      <c r="B2" t="s">
        <v>0</v>
      </c>
      <c r="C2" t="s">
        <v>29</v>
      </c>
      <c r="D2" s="29"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165</v>
      </c>
      <c r="CQ2" s="2" t="s">
        <v>102</v>
      </c>
      <c r="CR2" s="2" t="s">
        <v>103</v>
      </c>
      <c r="CS2" s="2" t="s">
        <v>104</v>
      </c>
      <c r="CT2" s="2" t="s">
        <v>105</v>
      </c>
      <c r="CU2" s="2" t="s">
        <v>207</v>
      </c>
      <c r="CV2" s="2" t="s">
        <v>208</v>
      </c>
      <c r="CW2" s="2" t="s">
        <v>209</v>
      </c>
      <c r="CX2" s="2" t="s">
        <v>301</v>
      </c>
    </row>
    <row r="3" spans="1:102" x14ac:dyDescent="0.2">
      <c r="A3" s="4" t="s">
        <v>115</v>
      </c>
      <c r="B3" s="4" t="s">
        <v>35</v>
      </c>
      <c r="C3" s="4">
        <v>0.64810000000000001</v>
      </c>
      <c r="D3" s="30">
        <v>151000</v>
      </c>
      <c r="E3" s="4">
        <v>0.68174338735254059</v>
      </c>
      <c r="F3" s="4">
        <v>0.61602872931247432</v>
      </c>
      <c r="G3" s="4">
        <v>0.70642155809638807</v>
      </c>
      <c r="H3" s="4">
        <v>0.69186719306832822</v>
      </c>
      <c r="I3" s="4">
        <v>0.65454554331886106</v>
      </c>
      <c r="J3" s="4">
        <v>0.38887572512399776</v>
      </c>
      <c r="K3" s="4"/>
      <c r="L3" s="4"/>
      <c r="M3" s="4">
        <v>0.42907333074343368</v>
      </c>
      <c r="N3" s="4">
        <v>0.70239881878723576</v>
      </c>
      <c r="O3" s="4">
        <v>0.64433370197274253</v>
      </c>
      <c r="P3" s="4">
        <v>0.73662482857724076</v>
      </c>
      <c r="Q3" s="4"/>
      <c r="R3" s="4"/>
      <c r="S3" s="4"/>
      <c r="T3" s="4"/>
      <c r="U3" s="4"/>
      <c r="V3" s="4">
        <v>0.73598084077660675</v>
      </c>
      <c r="W3" s="4">
        <v>0.59005486182407652</v>
      </c>
      <c r="X3" s="4">
        <v>0.65986095084882213</v>
      </c>
      <c r="Y3" s="4"/>
      <c r="Z3" s="4"/>
      <c r="AA3" s="4"/>
      <c r="AB3" s="4"/>
      <c r="AC3" s="4"/>
      <c r="AD3" s="4"/>
      <c r="AE3" s="4"/>
      <c r="AF3" s="4"/>
      <c r="AG3" s="4">
        <v>0.1206</v>
      </c>
      <c r="AH3" s="30">
        <v>28100</v>
      </c>
      <c r="AI3" s="4">
        <v>9.1587517071998359E-2</v>
      </c>
      <c r="AJ3" s="4">
        <v>0.14845490183685775</v>
      </c>
      <c r="AK3" s="4"/>
      <c r="AL3" s="4">
        <v>0.10663872260890779</v>
      </c>
      <c r="AM3" s="4">
        <v>0.13234327799546411</v>
      </c>
      <c r="AN3" s="4"/>
      <c r="AO3" s="4"/>
      <c r="AP3" s="4"/>
      <c r="AQ3" s="4"/>
      <c r="AR3" s="4">
        <v>0.11051042152748454</v>
      </c>
      <c r="AS3" s="4">
        <v>0.12871410942295164</v>
      </c>
      <c r="AT3" s="4"/>
      <c r="AU3" s="4"/>
      <c r="AV3" s="4"/>
      <c r="AW3" s="4"/>
      <c r="AX3" s="4"/>
      <c r="AY3" s="4"/>
      <c r="AZ3" s="4">
        <v>0.12376807761671092</v>
      </c>
      <c r="BA3" s="4">
        <v>0.1597561863110353</v>
      </c>
      <c r="BB3" s="4"/>
      <c r="BC3" s="4"/>
      <c r="BD3" s="4"/>
      <c r="BE3" s="4"/>
      <c r="BF3" s="4"/>
      <c r="BG3" s="4"/>
      <c r="BH3" s="4"/>
      <c r="BI3" s="4"/>
      <c r="BJ3" s="4"/>
      <c r="BK3" s="4">
        <v>0.23130000000000001</v>
      </c>
      <c r="BL3" s="30">
        <v>53900</v>
      </c>
      <c r="BM3" s="4">
        <v>0.22666909557546169</v>
      </c>
      <c r="BN3" s="4">
        <v>0.23551636885066771</v>
      </c>
      <c r="BO3" s="4">
        <v>0.17708885833840946</v>
      </c>
      <c r="BP3" s="4">
        <v>0.20149408432276433</v>
      </c>
      <c r="BQ3" s="4">
        <v>0.21311117868567531</v>
      </c>
      <c r="BR3" s="4">
        <v>0.46701260901965808</v>
      </c>
      <c r="BS3" s="4"/>
      <c r="BT3" s="4"/>
      <c r="BU3" s="4">
        <v>0.39761981557583487</v>
      </c>
      <c r="BV3" s="4">
        <v>0.18709075968527894</v>
      </c>
      <c r="BW3" s="4">
        <v>0.2269521886043058</v>
      </c>
      <c r="BX3" s="4"/>
      <c r="BY3" s="4"/>
      <c r="BZ3" s="4"/>
      <c r="CA3" s="4"/>
      <c r="CB3" s="4"/>
      <c r="CC3" s="4"/>
      <c r="CD3" s="4">
        <v>0.14025108160668323</v>
      </c>
      <c r="CE3" s="4">
        <v>0.25018895186488738</v>
      </c>
      <c r="CF3" s="4"/>
      <c r="CG3" s="4"/>
      <c r="CH3" s="4"/>
      <c r="CI3" s="4"/>
      <c r="CJ3" s="4"/>
      <c r="CK3" s="4"/>
      <c r="CL3" s="4"/>
      <c r="CM3" s="4"/>
      <c r="CN3" s="4"/>
      <c r="CO3" s="4">
        <f t="shared" ref="CO3:CO9" si="0">SUM(C3,AG3)</f>
        <v>0.76870000000000005</v>
      </c>
      <c r="CP3" s="30">
        <f>Stockport1[[#This Row],[Active - Numbers]]+Stockport1[[#This Row],[Fairly Active - Numbers]]</f>
        <v>179100</v>
      </c>
      <c r="CQ3" s="4">
        <f>Stockport1[[#This Row],[Male I]]-Stockport1[[#This Row],[Female I]]</f>
        <v>-8.8472732752060135E-3</v>
      </c>
      <c r="CR3" s="4">
        <f>Stockport1[[#This Row],[NS SEC 1-2: Higher social groups I]]-Stockport1[[#This Row],[NS SEC 6-8: Lower social groups I]]</f>
        <v>0.14025108160668323</v>
      </c>
      <c r="CS3" s="4">
        <f>Stockport1[[#This Row],[No LT limiting disability I]]-Stockport1[[#This Row],[LT limiting disability I]]</f>
        <v>-0.21052905589055593</v>
      </c>
      <c r="CT3" s="4">
        <f>Stockport1[[#This Row],[16-34 I]]-Stockport1[[#This Row],[75+ I]]</f>
        <v>-0.28992375068124865</v>
      </c>
      <c r="CU3" s="64"/>
      <c r="CV3" s="64"/>
      <c r="CW3" s="64"/>
      <c r="CX3" s="64"/>
    </row>
    <row r="4" spans="1:102" x14ac:dyDescent="0.2">
      <c r="A4" s="4" t="s">
        <v>115</v>
      </c>
      <c r="B4" s="4" t="s">
        <v>36</v>
      </c>
      <c r="C4" s="44">
        <v>0.65380000000000005</v>
      </c>
      <c r="D4" s="30">
        <v>153100</v>
      </c>
      <c r="E4" s="4">
        <v>0.65577036823544477</v>
      </c>
      <c r="F4" s="4">
        <v>0.60797340512948583</v>
      </c>
      <c r="G4" s="4">
        <v>0.68481259949917472</v>
      </c>
      <c r="H4" s="4">
        <v>0.66077060526941467</v>
      </c>
      <c r="I4" s="4">
        <v>0.61620186659069265</v>
      </c>
      <c r="J4" s="4">
        <v>0.41996106196022914</v>
      </c>
      <c r="K4" s="4"/>
      <c r="L4" s="4"/>
      <c r="M4" s="4">
        <v>0.47966850971223995</v>
      </c>
      <c r="N4" s="4">
        <v>0.65962345776308251</v>
      </c>
      <c r="O4" s="4">
        <v>0.63513682796335591</v>
      </c>
      <c r="P4" s="4"/>
      <c r="Q4" s="4"/>
      <c r="R4" s="4"/>
      <c r="S4" s="4"/>
      <c r="T4" s="4"/>
      <c r="U4" s="4"/>
      <c r="V4" s="4">
        <v>0.71945784176337835</v>
      </c>
      <c r="W4" s="4">
        <v>0.59739603446445</v>
      </c>
      <c r="X4" s="4">
        <v>0.58316767693160176</v>
      </c>
      <c r="Y4" s="4"/>
      <c r="Z4" s="4"/>
      <c r="AA4" s="4"/>
      <c r="AB4" s="4"/>
      <c r="AC4" s="4"/>
      <c r="AD4" s="4"/>
      <c r="AE4" s="4"/>
      <c r="AF4" s="4"/>
      <c r="AG4" s="44">
        <v>0.14449999999999999</v>
      </c>
      <c r="AH4" s="30">
        <v>33800</v>
      </c>
      <c r="AI4" s="4">
        <v>0.14908552479616277</v>
      </c>
      <c r="AJ4" s="4">
        <v>0.18408548110490439</v>
      </c>
      <c r="AK4" s="4">
        <v>0.17932438781114207</v>
      </c>
      <c r="AL4" s="4">
        <v>0.1668831573592765</v>
      </c>
      <c r="AM4" s="4">
        <v>0.14848761755720224</v>
      </c>
      <c r="AN4" s="4"/>
      <c r="AO4" s="4"/>
      <c r="AP4" s="4"/>
      <c r="AQ4" s="4"/>
      <c r="AR4" s="4">
        <v>0.17384157712570414</v>
      </c>
      <c r="AS4" s="4">
        <v>0.16867422427666529</v>
      </c>
      <c r="AT4" s="4"/>
      <c r="AU4" s="4"/>
      <c r="AV4" s="4"/>
      <c r="AW4" s="4"/>
      <c r="AX4" s="4"/>
      <c r="AY4" s="4"/>
      <c r="AZ4" s="4">
        <v>0.14084171232780116</v>
      </c>
      <c r="BA4" s="4">
        <v>0.19004505518193299</v>
      </c>
      <c r="BB4" s="4"/>
      <c r="BC4" s="4"/>
      <c r="BD4" s="4"/>
      <c r="BE4" s="4"/>
      <c r="BF4" s="4"/>
      <c r="BG4" s="4"/>
      <c r="BH4" s="4"/>
      <c r="BI4" s="4"/>
      <c r="BJ4" s="4"/>
      <c r="BK4" s="4">
        <v>0.20169999999999999</v>
      </c>
      <c r="BL4" s="30">
        <v>47200</v>
      </c>
      <c r="BM4" s="4">
        <v>0.19514410696839138</v>
      </c>
      <c r="BN4" s="4">
        <v>0.20794111376560939</v>
      </c>
      <c r="BO4" s="4"/>
      <c r="BP4" s="4">
        <v>0.17234623737130864</v>
      </c>
      <c r="BQ4" s="4">
        <v>0.23531051585210452</v>
      </c>
      <c r="BR4" s="4">
        <v>0.39877598139387332</v>
      </c>
      <c r="BS4" s="4"/>
      <c r="BT4" s="4"/>
      <c r="BU4" s="4">
        <v>0.36428595882092857</v>
      </c>
      <c r="BV4" s="4">
        <v>0.16653496511121307</v>
      </c>
      <c r="BW4" s="4">
        <v>0.19618894775997867</v>
      </c>
      <c r="BX4" s="4"/>
      <c r="BY4" s="4"/>
      <c r="BZ4" s="4"/>
      <c r="CA4" s="4"/>
      <c r="CB4" s="4"/>
      <c r="CC4" s="4"/>
      <c r="CD4" s="4">
        <v>0.13970044590881955</v>
      </c>
      <c r="CE4" s="4">
        <v>0.21255891035361724</v>
      </c>
      <c r="CF4" s="4"/>
      <c r="CG4" s="4"/>
      <c r="CH4" s="4"/>
      <c r="CI4" s="4"/>
      <c r="CJ4" s="4"/>
      <c r="CK4" s="4"/>
      <c r="CL4" s="4"/>
      <c r="CM4" s="4"/>
      <c r="CN4" s="4"/>
      <c r="CO4" s="4">
        <f t="shared" si="0"/>
        <v>0.79830000000000001</v>
      </c>
      <c r="CP4" s="30">
        <f>Stockport1[[#This Row],[Active - Numbers]]+Stockport1[[#This Row],[Fairly Active - Numbers]]</f>
        <v>186900</v>
      </c>
      <c r="CQ4" s="4">
        <f>Stockport1[[#This Row],[Male I]]-Stockport1[[#This Row],[Female I]]</f>
        <v>-1.2797006797218013E-2</v>
      </c>
      <c r="CR4" s="4">
        <f>Stockport1[[#This Row],[NS SEC 1-2: Higher social groups I]]-Stockport1[[#This Row],[NS SEC 6-8: Lower social groups I]]</f>
        <v>0.13970044590881955</v>
      </c>
      <c r="CS4" s="4">
        <f>Stockport1[[#This Row],[No LT limiting disability I]]-Stockport1[[#This Row],[LT limiting disability I]]</f>
        <v>-0.19775099370971549</v>
      </c>
      <c r="CT4" s="4">
        <f>Stockport1[[#This Row],[16-34 I]]-Stockport1[[#This Row],[75+ I]]</f>
        <v>-0.39877598139387332</v>
      </c>
      <c r="CU4" s="64"/>
      <c r="CV4" s="64"/>
      <c r="CW4" s="64"/>
      <c r="CX4" s="152">
        <v>0.18210000000000001</v>
      </c>
    </row>
    <row r="5" spans="1:102" x14ac:dyDescent="0.2">
      <c r="A5" s="4" t="s">
        <v>115</v>
      </c>
      <c r="B5" s="4" t="s">
        <v>37</v>
      </c>
      <c r="C5" s="4">
        <v>0.69379999999999997</v>
      </c>
      <c r="D5" s="30">
        <v>162900</v>
      </c>
      <c r="E5" s="4">
        <v>0.71698882091800376</v>
      </c>
      <c r="F5" s="4">
        <v>0.67104615179653049</v>
      </c>
      <c r="G5" s="4">
        <v>0.78379664266510718</v>
      </c>
      <c r="H5" s="4">
        <v>0.73371691745068901</v>
      </c>
      <c r="I5" s="4">
        <v>0.63563519797369461</v>
      </c>
      <c r="J5" s="4">
        <v>0.41171591016689879</v>
      </c>
      <c r="K5" s="4"/>
      <c r="L5" s="4"/>
      <c r="M5" s="4">
        <v>0.52661833265045987</v>
      </c>
      <c r="N5" s="4">
        <v>0.72500482892377649</v>
      </c>
      <c r="O5" s="4">
        <v>0.69485386021604911</v>
      </c>
      <c r="P5" s="4"/>
      <c r="Q5" s="4"/>
      <c r="R5" s="4"/>
      <c r="S5" s="4"/>
      <c r="T5" s="4"/>
      <c r="U5" s="4"/>
      <c r="V5" s="4">
        <v>0.76302790757929673</v>
      </c>
      <c r="W5" s="4">
        <v>0.69517253955172409</v>
      </c>
      <c r="X5" s="4">
        <v>0.62528976647144774</v>
      </c>
      <c r="Y5" s="4"/>
      <c r="Z5" s="4"/>
      <c r="AA5" s="4"/>
      <c r="AB5" s="4"/>
      <c r="AC5" s="4"/>
      <c r="AD5" s="4"/>
      <c r="AE5" s="4"/>
      <c r="AF5" s="4"/>
      <c r="AG5" s="4">
        <v>0.12330000000000001</v>
      </c>
      <c r="AH5" s="30">
        <v>28900</v>
      </c>
      <c r="AI5" s="4">
        <v>0.11145203621344671</v>
      </c>
      <c r="AJ5" s="4">
        <v>0.13484346626917149</v>
      </c>
      <c r="AK5" s="4"/>
      <c r="AL5" s="4">
        <v>0.12004331839672638</v>
      </c>
      <c r="AM5" s="4">
        <v>0.12773108252639748</v>
      </c>
      <c r="AN5" s="4"/>
      <c r="AO5" s="4"/>
      <c r="AP5" s="4"/>
      <c r="AQ5" s="4"/>
      <c r="AR5" s="4">
        <v>0.12116558679389858</v>
      </c>
      <c r="AS5" s="4">
        <v>0.12024442048274903</v>
      </c>
      <c r="AT5" s="4"/>
      <c r="AU5" s="4"/>
      <c r="AV5" s="4"/>
      <c r="AW5" s="4"/>
      <c r="AX5" s="4"/>
      <c r="AY5" s="4"/>
      <c r="AZ5" s="4">
        <v>8.9741304398779406E-2</v>
      </c>
      <c r="BA5" s="4">
        <v>0.13565488006113047</v>
      </c>
      <c r="BB5" s="4"/>
      <c r="BC5" s="4"/>
      <c r="BD5" s="4"/>
      <c r="BE5" s="4"/>
      <c r="BF5" s="4"/>
      <c r="BG5" s="4"/>
      <c r="BH5" s="4"/>
      <c r="BI5" s="4"/>
      <c r="BJ5" s="4"/>
      <c r="BK5" s="4">
        <v>0.18290000000000001</v>
      </c>
      <c r="BL5" s="30">
        <v>43000</v>
      </c>
      <c r="BM5" s="4">
        <v>0.1715591428685504</v>
      </c>
      <c r="BN5" s="4">
        <v>0.19411038193429853</v>
      </c>
      <c r="BO5" s="4"/>
      <c r="BP5" s="4">
        <v>0.14623976415258455</v>
      </c>
      <c r="BQ5" s="4">
        <v>0.23663371949990744</v>
      </c>
      <c r="BR5" s="4">
        <v>0.41729771036339364</v>
      </c>
      <c r="BS5" s="4"/>
      <c r="BT5" s="4"/>
      <c r="BU5" s="4">
        <v>0.33267249781218078</v>
      </c>
      <c r="BV5" s="4">
        <v>0.15382958428232493</v>
      </c>
      <c r="BW5" s="4">
        <v>0.18490171930120122</v>
      </c>
      <c r="BX5" s="4"/>
      <c r="BY5" s="4"/>
      <c r="BZ5" s="4"/>
      <c r="CA5" s="4"/>
      <c r="CB5" s="4"/>
      <c r="CC5" s="4"/>
      <c r="CD5" s="4">
        <v>0.14723078802192405</v>
      </c>
      <c r="CE5" s="4">
        <v>0.16917258038714578</v>
      </c>
      <c r="CF5" s="4">
        <v>0.21443897592093972</v>
      </c>
      <c r="CG5" s="4"/>
      <c r="CH5" s="4"/>
      <c r="CI5" s="4"/>
      <c r="CJ5" s="4"/>
      <c r="CK5" s="4"/>
      <c r="CL5" s="4"/>
      <c r="CM5" s="4"/>
      <c r="CN5" s="4"/>
      <c r="CO5" s="4">
        <f t="shared" si="0"/>
        <v>0.81709999999999994</v>
      </c>
      <c r="CP5" s="30">
        <f>Stockport1[[#This Row],[Active - Numbers]]+Stockport1[[#This Row],[Fairly Active - Numbers]]</f>
        <v>191800</v>
      </c>
      <c r="CQ5" s="4">
        <f>Stockport1[[#This Row],[Male I]]-Stockport1[[#This Row],[Female I]]</f>
        <v>-2.255123906574813E-2</v>
      </c>
      <c r="CR5" s="4">
        <f>Stockport1[[#This Row],[NS SEC 1-2: Higher social groups I]]-Stockport1[[#This Row],[NS SEC 6-8: Lower social groups I]]</f>
        <v>-6.720818789901567E-2</v>
      </c>
      <c r="CS5" s="4">
        <f>Stockport1[[#This Row],[No LT limiting disability I]]-Stockport1[[#This Row],[LT limiting disability I]]</f>
        <v>-0.17884291352985585</v>
      </c>
      <c r="CT5" s="4">
        <f>Stockport1[[#This Row],[16-34 I]]-Stockport1[[#This Row],[75+ I]]</f>
        <v>-0.41729771036339364</v>
      </c>
      <c r="CU5" s="64"/>
      <c r="CV5" s="64"/>
      <c r="CW5" s="64"/>
      <c r="CX5" s="154">
        <v>0.17530000000000001</v>
      </c>
    </row>
    <row r="6" spans="1:102" x14ac:dyDescent="0.2">
      <c r="A6" s="4" t="s">
        <v>115</v>
      </c>
      <c r="B6" s="4" t="s">
        <v>38</v>
      </c>
      <c r="C6" s="4">
        <v>0.65039999999999998</v>
      </c>
      <c r="D6" s="30">
        <v>152700</v>
      </c>
      <c r="E6" s="4">
        <v>0.66493869184369847</v>
      </c>
      <c r="F6" s="4">
        <v>0.63744820215137932</v>
      </c>
      <c r="G6" s="4">
        <v>0.7714803669283381</v>
      </c>
      <c r="H6" s="4">
        <v>0.68348556538903882</v>
      </c>
      <c r="I6" s="4">
        <v>0.59176043807717038</v>
      </c>
      <c r="J6" s="4">
        <v>0.39886034886708299</v>
      </c>
      <c r="K6" s="4"/>
      <c r="L6" s="4"/>
      <c r="M6" s="4">
        <v>0.41910791441472983</v>
      </c>
      <c r="N6" s="4">
        <v>0.70751726576237162</v>
      </c>
      <c r="O6" s="4">
        <v>0.65069271618069846</v>
      </c>
      <c r="P6" s="4"/>
      <c r="Q6" s="4"/>
      <c r="R6" s="4"/>
      <c r="S6" s="4"/>
      <c r="T6" s="4"/>
      <c r="U6" s="4"/>
      <c r="V6" s="4">
        <v>0.71333882596417264</v>
      </c>
      <c r="W6" s="4">
        <v>0.65676995885583933</v>
      </c>
      <c r="X6" s="4">
        <v>0.58698889172830793</v>
      </c>
      <c r="Y6" s="4"/>
      <c r="Z6" s="4"/>
      <c r="AA6" s="4"/>
      <c r="AB6" s="4"/>
      <c r="AC6" s="4"/>
      <c r="AD6" s="4"/>
      <c r="AE6" s="4"/>
      <c r="AF6" s="4"/>
      <c r="AG6" s="4">
        <v>0.1182</v>
      </c>
      <c r="AH6" s="30">
        <v>27700</v>
      </c>
      <c r="AI6" s="4">
        <v>0.10382443381247736</v>
      </c>
      <c r="AJ6" s="4">
        <v>0.13100424857105961</v>
      </c>
      <c r="AK6" s="4"/>
      <c r="AL6" s="4">
        <v>0.10646758522574834</v>
      </c>
      <c r="AM6" s="4">
        <v>0.13766403945985495</v>
      </c>
      <c r="AN6" s="4"/>
      <c r="AO6" s="4"/>
      <c r="AP6" s="4"/>
      <c r="AQ6" s="4"/>
      <c r="AR6" s="4">
        <v>0.10554453015254134</v>
      </c>
      <c r="AS6" s="4">
        <v>0.11568205691804077</v>
      </c>
      <c r="AT6" s="4"/>
      <c r="AU6" s="4"/>
      <c r="AV6" s="4"/>
      <c r="AW6" s="4"/>
      <c r="AX6" s="4"/>
      <c r="AY6" s="4"/>
      <c r="AZ6" s="4">
        <v>9.4449271330992471E-2</v>
      </c>
      <c r="BA6" s="4">
        <v>0.12824073462188257</v>
      </c>
      <c r="BB6" s="4">
        <v>0.17914430206881607</v>
      </c>
      <c r="BC6" s="4"/>
      <c r="BD6" s="4"/>
      <c r="BE6" s="4"/>
      <c r="BF6" s="4"/>
      <c r="BG6" s="4"/>
      <c r="BH6" s="4"/>
      <c r="BI6" s="4"/>
      <c r="BJ6" s="4"/>
      <c r="BK6" s="4">
        <v>0.23139999999999999</v>
      </c>
      <c r="BL6" s="30">
        <v>54300</v>
      </c>
      <c r="BM6" s="4">
        <v>0.23123687434382295</v>
      </c>
      <c r="BN6" s="4">
        <v>0.23154754927756099</v>
      </c>
      <c r="BO6" s="4"/>
      <c r="BP6" s="4">
        <v>0.21004684938521259</v>
      </c>
      <c r="BQ6" s="4">
        <v>0.27057552246297445</v>
      </c>
      <c r="BR6" s="4">
        <v>0.47128762284006986</v>
      </c>
      <c r="BS6" s="4"/>
      <c r="BT6" s="4"/>
      <c r="BU6" s="4">
        <v>0.41397008518957845</v>
      </c>
      <c r="BV6" s="4">
        <v>0.18693820408508688</v>
      </c>
      <c r="BW6" s="4">
        <v>0.2336252269012607</v>
      </c>
      <c r="BX6" s="4"/>
      <c r="BY6" s="4"/>
      <c r="BZ6" s="4"/>
      <c r="CA6" s="4"/>
      <c r="CB6" s="4"/>
      <c r="CC6" s="4"/>
      <c r="CD6" s="4">
        <v>0.19221190270483471</v>
      </c>
      <c r="CE6" s="4">
        <v>0.21498930652227802</v>
      </c>
      <c r="CF6" s="4">
        <v>0.23386680620287584</v>
      </c>
      <c r="CG6" s="4"/>
      <c r="CH6" s="4"/>
      <c r="CI6" s="4"/>
      <c r="CJ6" s="4"/>
      <c r="CK6" s="4"/>
      <c r="CL6" s="4"/>
      <c r="CM6" s="4"/>
      <c r="CN6" s="4"/>
      <c r="CO6" s="4">
        <f t="shared" si="0"/>
        <v>0.76859999999999995</v>
      </c>
      <c r="CP6" s="30">
        <f>Stockport1[[#This Row],[Active - Numbers]]+Stockport1[[#This Row],[Fairly Active - Numbers]]</f>
        <v>180400</v>
      </c>
      <c r="CQ6" s="4">
        <f>Stockport1[[#This Row],[Male I]]-Stockport1[[#This Row],[Female I]]</f>
        <v>-3.1067493373804211E-4</v>
      </c>
      <c r="CR6" s="4">
        <f>Stockport1[[#This Row],[NS SEC 1-2: Higher social groups I]]-Stockport1[[#This Row],[NS SEC 6-8: Lower social groups I]]</f>
        <v>-4.1654903498041129E-2</v>
      </c>
      <c r="CS6" s="4">
        <f>Stockport1[[#This Row],[No LT limiting disability I]]-Stockport1[[#This Row],[LT limiting disability I]]</f>
        <v>-0.22703188110449157</v>
      </c>
      <c r="CT6" s="4">
        <f>Stockport1[[#This Row],[16-34 I]]-Stockport1[[#This Row],[75+ I]]</f>
        <v>-0.47128762284006986</v>
      </c>
      <c r="CU6" s="64"/>
      <c r="CV6" s="64"/>
      <c r="CW6" s="64"/>
      <c r="CX6" s="152">
        <v>0.1188</v>
      </c>
    </row>
    <row r="7" spans="1:102" x14ac:dyDescent="0.2">
      <c r="A7" s="4" t="s">
        <v>115</v>
      </c>
      <c r="B7" s="4" t="s">
        <v>39</v>
      </c>
      <c r="C7" s="4">
        <v>0.64669925161329156</v>
      </c>
      <c r="D7" s="30">
        <v>151800</v>
      </c>
      <c r="E7" s="4">
        <v>0.64516886304267484</v>
      </c>
      <c r="F7" s="4">
        <v>0.65352155181684235</v>
      </c>
      <c r="G7" s="4">
        <v>0.799285968424015</v>
      </c>
      <c r="H7" s="4">
        <v>0.63893377925116934</v>
      </c>
      <c r="I7" s="4">
        <v>0.63326866503719559</v>
      </c>
      <c r="J7" s="4">
        <v>0.36649623586067265</v>
      </c>
      <c r="K7" s="4">
        <v>0.71430682561786085</v>
      </c>
      <c r="L7" s="4">
        <v>0.56637707693498263</v>
      </c>
      <c r="M7" s="4">
        <v>0.39207030238446544</v>
      </c>
      <c r="N7" s="4">
        <v>0.7125026735288027</v>
      </c>
      <c r="O7" s="4">
        <v>0.65014886240988656</v>
      </c>
      <c r="P7" s="4"/>
      <c r="Q7" s="4"/>
      <c r="R7" s="4"/>
      <c r="S7" s="4"/>
      <c r="T7" s="4"/>
      <c r="U7" s="4"/>
      <c r="V7" s="4">
        <v>0.70379478929120287</v>
      </c>
      <c r="W7" s="4">
        <v>0.66475209457668061</v>
      </c>
      <c r="X7" s="4">
        <v>0.5384783079807679</v>
      </c>
      <c r="Y7" s="4">
        <v>0.79944486726913611</v>
      </c>
      <c r="Z7" s="4"/>
      <c r="AA7" s="4"/>
      <c r="AB7" s="4"/>
      <c r="AC7" s="4"/>
      <c r="AD7" s="4"/>
      <c r="AE7" s="4"/>
      <c r="AF7" s="4"/>
      <c r="AG7" s="4">
        <v>0.10753809969440846</v>
      </c>
      <c r="AH7" s="30">
        <v>25200</v>
      </c>
      <c r="AI7" s="4">
        <v>9.3571136516633763E-2</v>
      </c>
      <c r="AJ7" s="4">
        <v>0.11980353467220835</v>
      </c>
      <c r="AK7" s="4"/>
      <c r="AL7" s="4">
        <v>0.12560261352044508</v>
      </c>
      <c r="AM7" s="4">
        <v>0.11567812710688914</v>
      </c>
      <c r="AN7" s="4"/>
      <c r="AO7" s="4">
        <v>0.10095871250109373</v>
      </c>
      <c r="AP7" s="4">
        <v>0.11739837969458312</v>
      </c>
      <c r="AQ7" s="4"/>
      <c r="AR7" s="4">
        <v>9.5561881633970169E-2</v>
      </c>
      <c r="AS7" s="4">
        <v>0.10846065606888457</v>
      </c>
      <c r="AT7" s="4"/>
      <c r="AU7" s="4"/>
      <c r="AV7" s="4"/>
      <c r="AW7" s="4"/>
      <c r="AX7" s="4"/>
      <c r="AY7" s="4"/>
      <c r="AZ7" s="4">
        <v>9.9042580571425454E-2</v>
      </c>
      <c r="BA7" s="4">
        <v>0.11699216915893179</v>
      </c>
      <c r="BB7" s="4"/>
      <c r="BC7" s="4"/>
      <c r="BD7" s="4"/>
      <c r="BE7" s="4"/>
      <c r="BF7" s="4"/>
      <c r="BG7" s="4"/>
      <c r="BH7" s="4"/>
      <c r="BI7" s="4"/>
      <c r="BJ7" s="4"/>
      <c r="BK7" s="4">
        <v>0.24576264869230047</v>
      </c>
      <c r="BL7" s="30">
        <v>57700</v>
      </c>
      <c r="BM7" s="4">
        <v>0.26126000044069209</v>
      </c>
      <c r="BN7" s="4">
        <v>0.22667491351094923</v>
      </c>
      <c r="BO7" s="4"/>
      <c r="BP7" s="4">
        <v>0.23546360722838558</v>
      </c>
      <c r="BQ7" s="4">
        <v>0.25105320785591434</v>
      </c>
      <c r="BR7" s="4">
        <v>0.51096504402461351</v>
      </c>
      <c r="BS7" s="4">
        <v>0.18473446188104617</v>
      </c>
      <c r="BT7" s="4">
        <v>0.3162245433704331</v>
      </c>
      <c r="BU7" s="4">
        <v>0.45743989810511643</v>
      </c>
      <c r="BV7" s="4">
        <v>0.19193544483722824</v>
      </c>
      <c r="BW7" s="4">
        <v>0.24139048152122944</v>
      </c>
      <c r="BX7" s="4"/>
      <c r="BY7" s="4"/>
      <c r="BZ7" s="4"/>
      <c r="CA7" s="4"/>
      <c r="CB7" s="4"/>
      <c r="CC7" s="4"/>
      <c r="CD7" s="4">
        <v>0.19716263013737115</v>
      </c>
      <c r="CE7" s="4">
        <v>0.21825573626438774</v>
      </c>
      <c r="CF7" s="4"/>
      <c r="CG7" s="4"/>
      <c r="CH7" s="4"/>
      <c r="CI7" s="4"/>
      <c r="CJ7" s="4"/>
      <c r="CK7" s="4"/>
      <c r="CL7" s="4"/>
      <c r="CM7" s="4"/>
      <c r="CN7" s="4"/>
      <c r="CO7" s="4">
        <f t="shared" si="0"/>
        <v>0.75423735130769998</v>
      </c>
      <c r="CP7" s="30">
        <f>Stockport1[[#This Row],[Active - Numbers]]+Stockport1[[#This Row],[Fairly Active - Numbers]]</f>
        <v>177000</v>
      </c>
      <c r="CQ7" s="4">
        <f>Stockport1[[#This Row],[Male I]]-Stockport1[[#This Row],[Female I]]</f>
        <v>3.4585086929742853E-2</v>
      </c>
      <c r="CR7" s="4">
        <f>Stockport1[[#This Row],[NS SEC 1-2: Higher social groups I]]-Stockport1[[#This Row],[NS SEC 6-8: Lower social groups I]]</f>
        <v>0.19716263013737115</v>
      </c>
      <c r="CS7" s="4">
        <f>Stockport1[[#This Row],[No LT limiting disability I]]-Stockport1[[#This Row],[LT limiting disability I]]</f>
        <v>-0.26550445326788819</v>
      </c>
      <c r="CT7" s="4">
        <f>Stockport1[[#This Row],[16-34 I]]-Stockport1[[#This Row],[75+ I]]</f>
        <v>-0.51096504402461351</v>
      </c>
      <c r="CU7" s="48">
        <v>0.45451458479862128</v>
      </c>
      <c r="CV7" s="48">
        <v>0.33930475168985091</v>
      </c>
      <c r="CW7" s="48">
        <v>0.62410982382122826</v>
      </c>
      <c r="CX7" s="152">
        <v>0.1152</v>
      </c>
    </row>
    <row r="8" spans="1:102" x14ac:dyDescent="0.2">
      <c r="A8" s="4" t="s">
        <v>115</v>
      </c>
      <c r="B8" s="4" t="s">
        <v>40</v>
      </c>
      <c r="C8" s="4">
        <v>0.66900000000000004</v>
      </c>
      <c r="D8" s="30">
        <v>157200</v>
      </c>
      <c r="E8" s="4">
        <v>0.68520000000000003</v>
      </c>
      <c r="F8" s="4">
        <v>0.66059999999999997</v>
      </c>
      <c r="G8" s="4">
        <v>0.75049999999999994</v>
      </c>
      <c r="H8" s="4">
        <v>0.70320000000000005</v>
      </c>
      <c r="I8" s="4">
        <v>0.6694</v>
      </c>
      <c r="J8" s="4">
        <v>0.37040000000000001</v>
      </c>
      <c r="K8" s="4">
        <v>0.72670000000000001</v>
      </c>
      <c r="L8" s="4">
        <v>0.59370000000000001</v>
      </c>
      <c r="M8" s="4">
        <v>0.54249999999999998</v>
      </c>
      <c r="N8" s="4">
        <v>0.70179999999999998</v>
      </c>
      <c r="O8" s="4">
        <v>0.6653</v>
      </c>
      <c r="P8" s="4">
        <v>0.68589999999999995</v>
      </c>
      <c r="Q8" s="4"/>
      <c r="R8" s="4"/>
      <c r="S8" s="4"/>
      <c r="T8" s="4"/>
      <c r="U8" s="4"/>
      <c r="V8" s="4">
        <v>0.76919999999999999</v>
      </c>
      <c r="W8" s="4">
        <v>0.67679999999999996</v>
      </c>
      <c r="X8" s="4">
        <v>0.46539999999999998</v>
      </c>
      <c r="Y8" s="4">
        <v>0.81479999999999997</v>
      </c>
      <c r="Z8" s="4">
        <v>0.69899999999999995</v>
      </c>
      <c r="AA8" s="4"/>
      <c r="AB8" s="4">
        <v>0.57369999999999999</v>
      </c>
      <c r="AC8" s="4"/>
      <c r="AD8" s="4"/>
      <c r="AE8" s="4"/>
      <c r="AF8" s="4"/>
      <c r="AG8" s="4">
        <v>0.10249999999999999</v>
      </c>
      <c r="AH8" s="30">
        <v>24100</v>
      </c>
      <c r="AI8" s="4">
        <v>8.7099999999999997E-2</v>
      </c>
      <c r="AJ8" s="4">
        <v>0.1166</v>
      </c>
      <c r="AK8" s="4"/>
      <c r="AL8" s="4">
        <v>0.1033</v>
      </c>
      <c r="AM8" s="4">
        <v>0.13139999999999999</v>
      </c>
      <c r="AN8" s="4"/>
      <c r="AO8" s="4">
        <v>8.2799999999999999E-2</v>
      </c>
      <c r="AP8" s="4">
        <v>0.13170000000000001</v>
      </c>
      <c r="AQ8" s="4"/>
      <c r="AR8" s="4">
        <v>0.1032</v>
      </c>
      <c r="AS8" s="4">
        <v>0.10440000000000001</v>
      </c>
      <c r="AT8" s="4"/>
      <c r="AU8" s="4"/>
      <c r="AV8" s="4"/>
      <c r="AW8" s="4"/>
      <c r="AX8" s="4"/>
      <c r="AY8" s="4"/>
      <c r="AZ8" s="4">
        <v>9.2499999999999999E-2</v>
      </c>
      <c r="BA8" s="4"/>
      <c r="BB8" s="4"/>
      <c r="BC8" s="4"/>
      <c r="BD8" s="4">
        <v>0.10059999999999999</v>
      </c>
      <c r="BE8" s="4"/>
      <c r="BF8" s="4">
        <v>0.1363</v>
      </c>
      <c r="BG8" s="4"/>
      <c r="BH8" s="4"/>
      <c r="BI8" s="4"/>
      <c r="BJ8" s="4"/>
      <c r="BK8" s="4">
        <v>0.2286</v>
      </c>
      <c r="BL8" s="30">
        <v>53700</v>
      </c>
      <c r="BM8" s="4">
        <v>0.2276</v>
      </c>
      <c r="BN8" s="4">
        <v>0.2228</v>
      </c>
      <c r="BO8" s="4">
        <v>0.18740000000000001</v>
      </c>
      <c r="BP8" s="4">
        <v>0.19350000000000001</v>
      </c>
      <c r="BQ8" s="4">
        <v>0.1993</v>
      </c>
      <c r="BR8" s="4">
        <v>0.49690000000000001</v>
      </c>
      <c r="BS8" s="4">
        <v>0.1905</v>
      </c>
      <c r="BT8" s="4">
        <v>0.27460000000000001</v>
      </c>
      <c r="BU8" s="4">
        <v>0.36670000000000003</v>
      </c>
      <c r="BV8" s="4">
        <v>0.1951</v>
      </c>
      <c r="BW8" s="4">
        <v>0.2303</v>
      </c>
      <c r="BX8" s="4"/>
      <c r="BY8" s="4"/>
      <c r="BZ8" s="4"/>
      <c r="CA8" s="4"/>
      <c r="CB8" s="4"/>
      <c r="CC8" s="4"/>
      <c r="CD8" s="4">
        <v>0.1384</v>
      </c>
      <c r="CE8" s="4">
        <v>0.20069999999999999</v>
      </c>
      <c r="CF8" s="4">
        <v>0.41020000000000001</v>
      </c>
      <c r="CG8" s="4"/>
      <c r="CH8" s="4">
        <v>0.20039999999999999</v>
      </c>
      <c r="CI8" s="4"/>
      <c r="CJ8" s="4">
        <v>0.28989999999999999</v>
      </c>
      <c r="CK8" s="4"/>
      <c r="CL8" s="4"/>
      <c r="CM8" s="4"/>
      <c r="CN8" s="4"/>
      <c r="CO8" s="4">
        <f t="shared" si="0"/>
        <v>0.77150000000000007</v>
      </c>
      <c r="CP8" s="30">
        <f>Stockport1[[#This Row],[Active - Numbers]]+Stockport1[[#This Row],[Fairly Active - Numbers]]</f>
        <v>181300</v>
      </c>
      <c r="CQ8" s="4">
        <f>Stockport1[[#This Row],[Male I]]-Stockport1[[#This Row],[Female I]]</f>
        <v>4.7999999999999987E-3</v>
      </c>
      <c r="CR8" s="4">
        <f>Stockport1[[#This Row],[NS SEC 1-2: Higher social groups I]]-Stockport1[[#This Row],[NS SEC 6-8: Lower social groups I]]</f>
        <v>-0.27180000000000004</v>
      </c>
      <c r="CS8" s="4">
        <f>Stockport1[[#This Row],[No LT limiting disability I]]-Stockport1[[#This Row],[LT limiting disability I]]</f>
        <v>-0.17160000000000003</v>
      </c>
      <c r="CT8" s="4">
        <f>Stockport1[[#This Row],[16-34 I]]-Stockport1[[#This Row],[75+ I]]</f>
        <v>-0.3095</v>
      </c>
      <c r="CU8" s="48">
        <v>0.47420000000000001</v>
      </c>
      <c r="CV8" s="48">
        <v>0.3468</v>
      </c>
      <c r="CW8" s="48">
        <v>0.64049999999999996</v>
      </c>
      <c r="CX8" s="152">
        <v>0.11269999999999999</v>
      </c>
    </row>
    <row r="9" spans="1:102" x14ac:dyDescent="0.2">
      <c r="A9" s="4" t="s">
        <v>115</v>
      </c>
      <c r="B9" s="4" t="s">
        <v>41</v>
      </c>
      <c r="C9" s="4">
        <v>0.62392101051887783</v>
      </c>
      <c r="D9" s="30">
        <v>146600</v>
      </c>
      <c r="E9" s="4">
        <v>0.66091030122558114</v>
      </c>
      <c r="F9" s="4">
        <v>0.58751348441149132</v>
      </c>
      <c r="G9" s="4">
        <v>0.67091502467953346</v>
      </c>
      <c r="H9" s="4">
        <v>0.67856609748886043</v>
      </c>
      <c r="I9" s="4">
        <v>0.63168159732268114</v>
      </c>
      <c r="J9" s="4">
        <v>0.34290116197739501</v>
      </c>
      <c r="K9" s="4">
        <v>0.6752893625481774</v>
      </c>
      <c r="L9" s="4">
        <v>0.54440215297205474</v>
      </c>
      <c r="M9" s="4">
        <v>0.56162978848461054</v>
      </c>
      <c r="N9" s="4">
        <v>0.63703921314519385</v>
      </c>
      <c r="O9" s="4">
        <v>0.61759715567473616</v>
      </c>
      <c r="P9" s="4">
        <v>0.68803968215590372</v>
      </c>
      <c r="Q9" s="4"/>
      <c r="R9" s="4"/>
      <c r="S9" s="4"/>
      <c r="T9" s="4"/>
      <c r="U9" s="4"/>
      <c r="V9" s="4">
        <v>0.7509632300518464</v>
      </c>
      <c r="W9" s="4">
        <v>0.63004269511190081</v>
      </c>
      <c r="X9" s="4">
        <v>0.44444474455452609</v>
      </c>
      <c r="Y9" s="4"/>
      <c r="Z9" s="4">
        <v>0.66547527139853768</v>
      </c>
      <c r="AA9" s="4"/>
      <c r="AB9" s="4">
        <v>0.55683729509153512</v>
      </c>
      <c r="AC9" s="4"/>
      <c r="AD9" s="4"/>
      <c r="AE9" s="4"/>
      <c r="AF9" s="4"/>
      <c r="AG9" s="4">
        <v>0.13354821870615752</v>
      </c>
      <c r="AH9" s="30">
        <v>31400</v>
      </c>
      <c r="AI9" s="4">
        <v>0.10221596037668376</v>
      </c>
      <c r="AJ9" s="4">
        <v>0.1653678051844702</v>
      </c>
      <c r="AK9" s="4"/>
      <c r="AL9" s="4">
        <v>0.13895523056879483</v>
      </c>
      <c r="AM9" s="4">
        <v>0.16256915957363582</v>
      </c>
      <c r="AN9" s="4"/>
      <c r="AO9" s="4">
        <v>0.1152943787939785</v>
      </c>
      <c r="AP9" s="4">
        <v>0.16324408335047841</v>
      </c>
      <c r="AQ9" s="4">
        <v>0.107084161082268</v>
      </c>
      <c r="AR9" s="4">
        <v>0.14176155591730027</v>
      </c>
      <c r="AS9" s="4">
        <v>0.13345247797214782</v>
      </c>
      <c r="AT9" s="4"/>
      <c r="AU9" s="4"/>
      <c r="AV9" s="4"/>
      <c r="AW9" s="4"/>
      <c r="AX9" s="4"/>
      <c r="AY9" s="4"/>
      <c r="AZ9" s="4">
        <v>0.1259006512186783</v>
      </c>
      <c r="BA9" s="4"/>
      <c r="BB9" s="4"/>
      <c r="BC9" s="4"/>
      <c r="BD9" s="4">
        <v>0.13736666901895947</v>
      </c>
      <c r="BE9" s="4"/>
      <c r="BF9" s="4">
        <v>0.13702608831611654</v>
      </c>
      <c r="BG9" s="4"/>
      <c r="BH9" s="4"/>
      <c r="BI9" s="4"/>
      <c r="BJ9" s="4"/>
      <c r="BK9" s="4">
        <v>0.24253077077496463</v>
      </c>
      <c r="BL9" s="30">
        <v>57000</v>
      </c>
      <c r="BM9" s="4">
        <v>0.23687373839773515</v>
      </c>
      <c r="BN9" s="4">
        <v>0.24711871040403818</v>
      </c>
      <c r="BO9" s="4">
        <v>0.24537708789567528</v>
      </c>
      <c r="BP9" s="4">
        <v>0.18247867194234399</v>
      </c>
      <c r="BQ9" s="4">
        <v>0.20574924310368281</v>
      </c>
      <c r="BR9" s="4">
        <v>0.49229656636225011</v>
      </c>
      <c r="BS9" s="4">
        <v>0.20941625865784219</v>
      </c>
      <c r="BT9" s="4">
        <v>0.29235376367746707</v>
      </c>
      <c r="BU9" s="4">
        <v>0.33128605043312104</v>
      </c>
      <c r="BV9" s="4">
        <v>0.22119923093750621</v>
      </c>
      <c r="BW9" s="4">
        <v>0.24895036635311643</v>
      </c>
      <c r="BX9" s="4"/>
      <c r="BY9" s="4"/>
      <c r="BZ9" s="4"/>
      <c r="CA9" s="4"/>
      <c r="CB9" s="4"/>
      <c r="CC9" s="4"/>
      <c r="CD9" s="4">
        <v>0.12313611872947511</v>
      </c>
      <c r="CE9" s="4">
        <v>0.24140955139792658</v>
      </c>
      <c r="CF9" s="4">
        <v>0.39865545477061604</v>
      </c>
      <c r="CG9" s="4"/>
      <c r="CH9" s="4">
        <v>0.19715805958250143</v>
      </c>
      <c r="CI9" s="4"/>
      <c r="CJ9" s="4">
        <v>0.30613661659234787</v>
      </c>
      <c r="CK9" s="4"/>
      <c r="CL9" s="4"/>
      <c r="CM9" s="4"/>
      <c r="CN9" s="4"/>
      <c r="CO9" s="4">
        <f t="shared" si="0"/>
        <v>0.75746922922503535</v>
      </c>
      <c r="CP9" s="30">
        <f>Stockport1[[#This Row],[Active - Numbers]]+Stockport1[[#This Row],[Fairly Active - Numbers]]</f>
        <v>178000</v>
      </c>
      <c r="CQ9" s="4">
        <f>Stockport1[[#This Row],[Male I]]-Stockport1[[#This Row],[Female I]]</f>
        <v>-1.0244972006303033E-2</v>
      </c>
      <c r="CR9" s="4">
        <f>Stockport1[[#This Row],[NS SEC 1-2: Higher social groups I]]-Stockport1[[#This Row],[NS SEC 6-8: Lower social groups I]]</f>
        <v>-0.27551933604114093</v>
      </c>
      <c r="CS9" s="4">
        <f>Stockport1[[#This Row],[No LT limiting disability I]]-Stockport1[[#This Row],[LT limiting disability I]]</f>
        <v>-0.11008681949561483</v>
      </c>
      <c r="CT9" s="4">
        <f>Stockport1[[#This Row],[16-34 I]]-Stockport1[[#This Row],[75+ I]]</f>
        <v>-0.24691947846657483</v>
      </c>
      <c r="CU9" s="48">
        <v>0.45916239054593289</v>
      </c>
      <c r="CV9" s="48">
        <v>0.34394574049253435</v>
      </c>
      <c r="CW9" s="48">
        <v>0.62593067352597065</v>
      </c>
      <c r="CX9" s="152">
        <v>0.12239999999999999</v>
      </c>
    </row>
    <row r="10" spans="1:102" s="29" customFormat="1" x14ac:dyDescent="0.2">
      <c r="A10" s="156" t="s">
        <v>115</v>
      </c>
      <c r="B10" s="156" t="s">
        <v>155</v>
      </c>
      <c r="C10" s="64">
        <v>0.62960000000000005</v>
      </c>
      <c r="D10" s="30">
        <v>148700</v>
      </c>
      <c r="E10" s="170">
        <v>0.67212827307904344</v>
      </c>
      <c r="F10" s="170">
        <v>0.58546966982263526</v>
      </c>
      <c r="G10" s="170">
        <v>0.72233354636668534</v>
      </c>
      <c r="H10" s="170">
        <v>0.69518974167887693</v>
      </c>
      <c r="I10" s="170">
        <v>0.59036314217855024</v>
      </c>
      <c r="J10" s="170">
        <v>0.36526953730251366</v>
      </c>
      <c r="K10" s="170">
        <v>0.70715242410351631</v>
      </c>
      <c r="L10" s="170">
        <v>0.52107761433451594</v>
      </c>
      <c r="M10" s="170">
        <v>0.46531030683641317</v>
      </c>
      <c r="N10" s="170">
        <v>0.67559500990218035</v>
      </c>
      <c r="O10" s="170">
        <v>0.62862307073605683</v>
      </c>
      <c r="P10" s="170">
        <v>0.75910152901318861</v>
      </c>
      <c r="Q10" s="46"/>
      <c r="R10" s="46"/>
      <c r="S10" s="46"/>
      <c r="T10" s="46"/>
      <c r="U10" s="46"/>
      <c r="V10" s="170">
        <v>0.73507169656777605</v>
      </c>
      <c r="W10" s="170">
        <v>0.64892978372421761</v>
      </c>
      <c r="X10" s="170">
        <v>0.44889216036462215</v>
      </c>
      <c r="Y10" s="170">
        <v>0.82041074854365126</v>
      </c>
      <c r="Z10" s="170">
        <v>0.69339803591432736</v>
      </c>
      <c r="AA10" s="46"/>
      <c r="AB10" s="170">
        <v>0.51460103930716539</v>
      </c>
      <c r="AC10" s="46"/>
      <c r="AD10" s="46"/>
      <c r="AE10" s="46"/>
      <c r="AF10" s="46"/>
      <c r="AG10" s="64">
        <v>0.1118</v>
      </c>
      <c r="AH10" s="30">
        <v>26400</v>
      </c>
      <c r="AI10" s="170">
        <v>8.842011106959434E-2</v>
      </c>
      <c r="AJ10" s="170">
        <v>0.13613942949134031</v>
      </c>
      <c r="AK10" s="46"/>
      <c r="AL10" s="170">
        <v>0.12316542810935002</v>
      </c>
      <c r="AM10" s="170">
        <v>0.10518691200276936</v>
      </c>
      <c r="AN10" s="46"/>
      <c r="AO10" s="170">
        <v>0.11130272602463843</v>
      </c>
      <c r="AP10" s="170">
        <v>0.11335154101383903</v>
      </c>
      <c r="AQ10" s="46"/>
      <c r="AR10" s="170">
        <v>0.11520876751093702</v>
      </c>
      <c r="AS10" s="170">
        <v>0.1136235502542246</v>
      </c>
      <c r="AT10" s="46"/>
      <c r="AU10" s="46"/>
      <c r="AV10" s="46"/>
      <c r="AW10" s="46"/>
      <c r="AX10" s="46"/>
      <c r="AY10" s="46"/>
      <c r="AZ10" s="170">
        <v>0.10785253466590718</v>
      </c>
      <c r="BA10" s="46"/>
      <c r="BB10" s="46"/>
      <c r="BC10" s="46"/>
      <c r="BD10" s="170">
        <v>0.11700579167928567</v>
      </c>
      <c r="BE10" s="46"/>
      <c r="BF10" s="170">
        <v>0.10497615145542502</v>
      </c>
      <c r="BG10" s="46"/>
      <c r="BH10" s="46"/>
      <c r="BI10" s="46"/>
      <c r="BJ10" s="46"/>
      <c r="BK10" s="64">
        <v>0.2586</v>
      </c>
      <c r="BL10" s="30">
        <v>61100</v>
      </c>
      <c r="BM10" s="170">
        <v>0.23945161585136293</v>
      </c>
      <c r="BN10" s="170">
        <v>0.27839090068602401</v>
      </c>
      <c r="BO10" s="170">
        <v>0.1814179708232771</v>
      </c>
      <c r="BP10" s="170">
        <v>0.18164483021177436</v>
      </c>
      <c r="BQ10" s="170">
        <v>0.30444994581868001</v>
      </c>
      <c r="BR10" s="170">
        <v>0.50301844749114277</v>
      </c>
      <c r="BS10" s="170">
        <v>0.18154484987184602</v>
      </c>
      <c r="BT10" s="170">
        <v>0.36557084465164491</v>
      </c>
      <c r="BU10" s="170">
        <v>0.41741284800793516</v>
      </c>
      <c r="BV10" s="170">
        <v>0.20919622258688253</v>
      </c>
      <c r="BW10" s="170">
        <v>0.25775337900971768</v>
      </c>
      <c r="BX10" s="46"/>
      <c r="BY10" s="46"/>
      <c r="BZ10" s="46"/>
      <c r="CA10" s="46"/>
      <c r="CB10" s="46"/>
      <c r="CC10" s="46"/>
      <c r="CD10" s="170">
        <v>0.1570757687663174</v>
      </c>
      <c r="CE10" s="170">
        <v>0.24643815249123044</v>
      </c>
      <c r="CF10" s="170">
        <v>0.39121694828067161</v>
      </c>
      <c r="CG10" s="46"/>
      <c r="CH10" s="170">
        <v>0.18959617240638757</v>
      </c>
      <c r="CI10" s="46"/>
      <c r="CJ10" s="170">
        <v>0.38042280923741034</v>
      </c>
      <c r="CK10" s="46"/>
      <c r="CL10" s="46"/>
      <c r="CM10" s="46"/>
      <c r="CN10" s="46"/>
      <c r="CO10" s="64"/>
      <c r="CP10" s="130">
        <f>Stockport1[[#This Row],[Active - Numbers]]+Stockport1[[#This Row],[Fairly Active - Numbers]]</f>
        <v>175100</v>
      </c>
      <c r="CQ10" s="64">
        <f>Stockport1[[#This Row],[Male I]]-Stockport1[[#This Row],[Female I]]</f>
        <v>-3.8939284834661081E-2</v>
      </c>
      <c r="CR10" s="64">
        <f>Stockport1[[#This Row],[NS SEC 1-2: Higher social groups I]]-Stockport1[[#This Row],[NS SEC 6-8: Lower social groups I]]</f>
        <v>-0.2341411795143542</v>
      </c>
      <c r="CS10" s="64">
        <f>Stockport1[[#This Row],[No LT limiting disability I]]-Stockport1[[#This Row],[LT limiting disability I]]</f>
        <v>-0.20821662542105263</v>
      </c>
      <c r="CT10" s="64">
        <f>Stockport1[[#This Row],[16-34 I]]-Stockport1[[#This Row],[75+ I]]</f>
        <v>-0.32160047666786568</v>
      </c>
      <c r="CU10" s="173">
        <v>0.47191865350375367</v>
      </c>
      <c r="CV10" s="173">
        <v>0.32830562510780176</v>
      </c>
      <c r="CW10" s="173">
        <v>0.62151724892623228</v>
      </c>
      <c r="CX10" s="150"/>
    </row>
    <row r="11" spans="1:102" x14ac:dyDescent="0.2">
      <c r="A11" s="4" t="s">
        <v>115</v>
      </c>
      <c r="B11" s="4" t="s">
        <v>42</v>
      </c>
      <c r="C11" s="4">
        <f>C10-C3</f>
        <v>-1.8499999999999961E-2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-8.8000000000000023E-3</v>
      </c>
      <c r="AH11" s="26"/>
      <c r="AI11" s="4">
        <f t="shared" ref="AI11:BK11" si="1">AI10-AI3</f>
        <v>-3.167406002404019E-3</v>
      </c>
      <c r="AJ11" s="4">
        <f t="shared" si="1"/>
        <v>-1.2315472345517442E-2</v>
      </c>
      <c r="AK11" s="4">
        <f t="shared" si="1"/>
        <v>0</v>
      </c>
      <c r="AL11" s="4">
        <f t="shared" si="1"/>
        <v>1.6526705500442232E-2</v>
      </c>
      <c r="AM11" s="4">
        <f t="shared" si="1"/>
        <v>-2.7156365992694748E-2</v>
      </c>
      <c r="AN11" s="4">
        <f t="shared" si="1"/>
        <v>0</v>
      </c>
      <c r="AO11" s="4">
        <f t="shared" si="1"/>
        <v>0.11130272602463843</v>
      </c>
      <c r="AP11" s="4">
        <f t="shared" si="1"/>
        <v>0.11335154101383903</v>
      </c>
      <c r="AQ11" s="4">
        <f t="shared" si="1"/>
        <v>0</v>
      </c>
      <c r="AR11" s="4">
        <f t="shared" si="1"/>
        <v>4.6983459834524788E-3</v>
      </c>
      <c r="AS11" s="4">
        <f t="shared" si="1"/>
        <v>-1.5090559168727036E-2</v>
      </c>
      <c r="AT11" s="4">
        <f t="shared" si="1"/>
        <v>0</v>
      </c>
      <c r="AU11" s="4">
        <f t="shared" si="1"/>
        <v>0</v>
      </c>
      <c r="AV11" s="4">
        <f t="shared" si="1"/>
        <v>0</v>
      </c>
      <c r="AW11" s="4">
        <f t="shared" si="1"/>
        <v>0</v>
      </c>
      <c r="AX11" s="4">
        <f t="shared" si="1"/>
        <v>0</v>
      </c>
      <c r="AY11" s="4">
        <f t="shared" si="1"/>
        <v>0</v>
      </c>
      <c r="AZ11" s="4">
        <f t="shared" si="1"/>
        <v>-1.5915542950803746E-2</v>
      </c>
      <c r="BA11" s="4">
        <f t="shared" si="1"/>
        <v>-0.1597561863110353</v>
      </c>
      <c r="BB11" s="4">
        <f t="shared" si="1"/>
        <v>0</v>
      </c>
      <c r="BC11" s="4">
        <f t="shared" si="1"/>
        <v>0</v>
      </c>
      <c r="BD11" s="4">
        <f t="shared" si="1"/>
        <v>0.11700579167928567</v>
      </c>
      <c r="BE11" s="4">
        <f t="shared" si="1"/>
        <v>0</v>
      </c>
      <c r="BF11" s="4">
        <f t="shared" si="1"/>
        <v>0.10497615145542502</v>
      </c>
      <c r="BG11" s="4">
        <f t="shared" si="1"/>
        <v>0</v>
      </c>
      <c r="BH11" s="4">
        <f t="shared" si="1"/>
        <v>0</v>
      </c>
      <c r="BI11" s="4">
        <f t="shared" si="1"/>
        <v>0</v>
      </c>
      <c r="BJ11" s="4">
        <f t="shared" si="1"/>
        <v>0</v>
      </c>
      <c r="BK11" s="4">
        <f t="shared" si="1"/>
        <v>2.7299999999999991E-2</v>
      </c>
      <c r="BL11" s="26"/>
      <c r="BM11" s="4">
        <f t="shared" ref="BM11:CP11" si="2">BM10-BM3</f>
        <v>1.2782520275901238E-2</v>
      </c>
      <c r="BN11" s="4">
        <f t="shared" si="2"/>
        <v>4.2874531835356305E-2</v>
      </c>
      <c r="BO11" s="4">
        <f t="shared" si="2"/>
        <v>4.3291124848676421E-3</v>
      </c>
      <c r="BP11" s="4">
        <f t="shared" si="2"/>
        <v>-1.9849254110989978E-2</v>
      </c>
      <c r="BQ11" s="4">
        <f t="shared" si="2"/>
        <v>9.1338767133004706E-2</v>
      </c>
      <c r="BR11" s="4">
        <f t="shared" si="2"/>
        <v>3.6005838471484697E-2</v>
      </c>
      <c r="BS11" s="4">
        <f t="shared" si="2"/>
        <v>0.18154484987184602</v>
      </c>
      <c r="BT11" s="4">
        <f t="shared" si="2"/>
        <v>0.36557084465164491</v>
      </c>
      <c r="BU11" s="4">
        <f t="shared" si="2"/>
        <v>1.9793032432100288E-2</v>
      </c>
      <c r="BV11" s="4">
        <f t="shared" si="2"/>
        <v>2.210546290160359E-2</v>
      </c>
      <c r="BW11" s="4">
        <f t="shared" si="2"/>
        <v>3.0801190405411877E-2</v>
      </c>
      <c r="BX11" s="4">
        <f t="shared" si="2"/>
        <v>0</v>
      </c>
      <c r="BY11" s="4">
        <f t="shared" si="2"/>
        <v>0</v>
      </c>
      <c r="BZ11" s="4">
        <f t="shared" si="2"/>
        <v>0</v>
      </c>
      <c r="CA11" s="4">
        <f t="shared" si="2"/>
        <v>0</v>
      </c>
      <c r="CB11" s="4">
        <f t="shared" si="2"/>
        <v>0</v>
      </c>
      <c r="CC11" s="4">
        <f t="shared" si="2"/>
        <v>0</v>
      </c>
      <c r="CD11" s="4">
        <f t="shared" si="2"/>
        <v>1.6824687159634172E-2</v>
      </c>
      <c r="CE11" s="4">
        <f t="shared" si="2"/>
        <v>-3.7507993736569378E-3</v>
      </c>
      <c r="CF11" s="4">
        <f t="shared" si="2"/>
        <v>0.39121694828067161</v>
      </c>
      <c r="CG11" s="4">
        <f t="shared" si="2"/>
        <v>0</v>
      </c>
      <c r="CH11" s="4">
        <f t="shared" si="2"/>
        <v>0.18959617240638757</v>
      </c>
      <c r="CI11" s="4">
        <f t="shared" si="2"/>
        <v>0</v>
      </c>
      <c r="CJ11" s="4">
        <f t="shared" si="2"/>
        <v>0.38042280923741034</v>
      </c>
      <c r="CK11" s="4">
        <f t="shared" si="2"/>
        <v>0</v>
      </c>
      <c r="CL11" s="4">
        <f t="shared" si="2"/>
        <v>0</v>
      </c>
      <c r="CM11" s="4">
        <f t="shared" si="2"/>
        <v>0</v>
      </c>
      <c r="CN11" s="4">
        <f t="shared" si="2"/>
        <v>0</v>
      </c>
      <c r="CO11" s="4">
        <f t="shared" si="2"/>
        <v>-0.76870000000000005</v>
      </c>
      <c r="CP11" s="30">
        <f t="shared" si="2"/>
        <v>-4000</v>
      </c>
      <c r="CQ11" s="4">
        <f>Stockport1[[#This Row],[Male I]]-Stockport1[[#This Row],[Female I]]</f>
        <v>-3.0092011559455067E-2</v>
      </c>
      <c r="CR11" s="4">
        <f>CR10-CR6</f>
        <v>-0.19248627601631307</v>
      </c>
      <c r="CS11" s="4">
        <f>Stockport1[[#This Row],[No LT limiting disability I]]-Stockport1[[#This Row],[LT limiting disability I]]</f>
        <v>2.3124304695033016E-3</v>
      </c>
      <c r="CT11" s="4">
        <f>Stockport1[[#This Row],[16-34 I]]-Stockport1[[#This Row],[75+ I]]</f>
        <v>-3.1676725986617055E-2</v>
      </c>
      <c r="CU11" s="64">
        <f>CU10-CU7</f>
        <v>1.7404068705132392E-2</v>
      </c>
      <c r="CV11" s="64">
        <f>CV10-CV7</f>
        <v>-1.0999126582049157E-2</v>
      </c>
      <c r="CW11" s="64">
        <f>CW10-CW7</f>
        <v>-2.5925748949959804E-3</v>
      </c>
      <c r="CX11" s="64"/>
    </row>
  </sheetData>
  <mergeCells count="3">
    <mergeCell ref="C1:AD1"/>
    <mergeCell ref="AF1:BG1"/>
    <mergeCell ref="BI1:CJ1"/>
  </mergeCells>
  <conditionalFormatting sqref="D9 D4">
    <cfRule type="containsText" dxfId="1354" priority="21" operator="containsText" text="Significant increase">
      <formula>NOT(ISERROR(SEARCH("Significant increase",D4)))</formula>
    </cfRule>
    <cfRule type="containsText" dxfId="1353" priority="22" operator="containsText" text="Significant decrease">
      <formula>NOT(ISERROR(SEARCH("Significant decrease",D4)))</formula>
    </cfRule>
  </conditionalFormatting>
  <conditionalFormatting sqref="AH9 AH4">
    <cfRule type="containsText" dxfId="1352" priority="19" operator="containsText" text="Significant increase">
      <formula>NOT(ISERROR(SEARCH("Significant increase",AH4)))</formula>
    </cfRule>
    <cfRule type="containsText" dxfId="1351" priority="20" operator="containsText" text="Significant decrease">
      <formula>NOT(ISERROR(SEARCH("Significant decrease",AH4)))</formula>
    </cfRule>
  </conditionalFormatting>
  <conditionalFormatting sqref="BL9 BL4">
    <cfRule type="containsText" dxfId="1350" priority="17" operator="containsText" text="Significant increase">
      <formula>NOT(ISERROR(SEARCH("Significant increase",BL4)))</formula>
    </cfRule>
    <cfRule type="containsText" dxfId="1349" priority="18" operator="containsText" text="Significant decrease">
      <formula>NOT(ISERROR(SEARCH("Significant decrease",BL4)))</formula>
    </cfRule>
  </conditionalFormatting>
  <conditionalFormatting sqref="CX9:CX10">
    <cfRule type="containsText" dxfId="1348" priority="15" operator="containsText" text="Significant increase">
      <formula>NOT(ISERROR(SEARCH("Significant increase",CX9)))</formula>
    </cfRule>
    <cfRule type="containsText" dxfId="1347" priority="16" operator="containsText" text="Significant decrease">
      <formula>NOT(ISERROR(SEARCH("Significant decrease",CX9)))</formula>
    </cfRule>
  </conditionalFormatting>
  <conditionalFormatting sqref="CX8">
    <cfRule type="containsText" dxfId="1346" priority="13" operator="containsText" text="Significant increase">
      <formula>NOT(ISERROR(SEARCH("Significant increase",CX8)))</formula>
    </cfRule>
    <cfRule type="containsText" dxfId="1345" priority="14" operator="containsText" text="Significant decrease">
      <formula>NOT(ISERROR(SEARCH("Significant decrease",CX8)))</formula>
    </cfRule>
  </conditionalFormatting>
  <conditionalFormatting sqref="CX7">
    <cfRule type="containsText" dxfId="1344" priority="11" operator="containsText" text="Significant increase">
      <formula>NOT(ISERROR(SEARCH("Significant increase",CX7)))</formula>
    </cfRule>
    <cfRule type="containsText" dxfId="1343" priority="12" operator="containsText" text="Significant decrease">
      <formula>NOT(ISERROR(SEARCH("Significant decrease",CX7)))</formula>
    </cfRule>
  </conditionalFormatting>
  <conditionalFormatting sqref="CX6">
    <cfRule type="containsText" dxfId="1342" priority="9" operator="containsText" text="Significant increase">
      <formula>NOT(ISERROR(SEARCH("Significant increase",CX6)))</formula>
    </cfRule>
    <cfRule type="containsText" dxfId="1341" priority="10" operator="containsText" text="Significant decrease">
      <formula>NOT(ISERROR(SEARCH("Significant decrease",CX6)))</formula>
    </cfRule>
  </conditionalFormatting>
  <conditionalFormatting sqref="CX4">
    <cfRule type="containsText" dxfId="1340" priority="7" operator="containsText" text="Significant increase">
      <formula>NOT(ISERROR(SEARCH("Significant increase",CX4)))</formula>
    </cfRule>
    <cfRule type="containsText" dxfId="1339" priority="8" operator="containsText" text="Significant decrease">
      <formula>NOT(ISERROR(SEARCH("Significant decrease",CX4)))</formula>
    </cfRule>
  </conditionalFormatting>
  <conditionalFormatting sqref="D10">
    <cfRule type="containsText" dxfId="1338" priority="5" operator="containsText" text="Significant increase">
      <formula>NOT(ISERROR(SEARCH("Significant increase",D10)))</formula>
    </cfRule>
    <cfRule type="containsText" dxfId="1337" priority="6" operator="containsText" text="Significant decrease">
      <formula>NOT(ISERROR(SEARCH("Significant decrease",D10)))</formula>
    </cfRule>
  </conditionalFormatting>
  <conditionalFormatting sqref="AH10">
    <cfRule type="containsText" dxfId="1336" priority="3" operator="containsText" text="Significant increase">
      <formula>NOT(ISERROR(SEARCH("Significant increase",AH10)))</formula>
    </cfRule>
    <cfRule type="containsText" dxfId="1335" priority="4" operator="containsText" text="Significant decrease">
      <formula>NOT(ISERROR(SEARCH("Significant decrease",AH10)))</formula>
    </cfRule>
  </conditionalFormatting>
  <conditionalFormatting sqref="BL10">
    <cfRule type="containsText" dxfId="1334" priority="1" operator="containsText" text="Significant increase">
      <formula>NOT(ISERROR(SEARCH("Significant increase",BL10)))</formula>
    </cfRule>
    <cfRule type="containsText" dxfId="1333"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CX11"/>
  <sheetViews>
    <sheetView zoomScale="92" zoomScaleNormal="92" workbookViewId="0">
      <pane xSplit="2" ySplit="2" topLeftCell="BM3" activePane="bottomRight" state="frozen"/>
      <selection pane="topRight" activeCell="C1" sqref="C1"/>
      <selection pane="bottomLeft" activeCell="A3" sqref="A3"/>
      <selection pane="bottomRight" activeCell="CD26" sqref="CD26"/>
    </sheetView>
  </sheetViews>
  <sheetFormatPr defaultRowHeight="14.25" outlineLevelCol="1" x14ac:dyDescent="0.2"/>
  <cols>
    <col min="1" max="1" width="11.69921875" customWidth="1"/>
    <col min="2" max="2" width="23.5" customWidth="1"/>
    <col min="3" max="3" width="8.69921875" customWidth="1"/>
    <col min="4" max="10" width="8.69921875" customWidth="1" outlineLevel="1"/>
    <col min="11" max="11" width="18.296875" customWidth="1" outlineLevel="1"/>
    <col min="12" max="12" width="21" customWidth="1" outlineLevel="1"/>
    <col min="13" max="13" width="12.796875" customWidth="1" outlineLevel="1"/>
    <col min="14" max="14" width="12.19921875" customWidth="1" outlineLevel="1"/>
    <col min="15" max="15" width="12.09765625" customWidth="1" outlineLevel="1"/>
    <col min="16" max="16" width="8.69921875" customWidth="1" outlineLevel="1"/>
    <col min="17" max="17" width="9.296875" customWidth="1" outlineLevel="1"/>
    <col min="18" max="18" width="8.69921875" customWidth="1" outlineLevel="1"/>
    <col min="19" max="19" width="17.69921875" customWidth="1" outlineLevel="1"/>
    <col min="20" max="21" width="29" customWidth="1" outlineLevel="1"/>
    <col min="22" max="22" width="28.5" customWidth="1" outlineLevel="1"/>
    <col min="23" max="23" width="26.296875" customWidth="1" outlineLevel="1"/>
    <col min="24" max="24" width="21.5" customWidth="1" outlineLevel="1"/>
    <col min="25" max="25" width="12.5" customWidth="1" outlineLevel="1"/>
    <col min="26" max="26" width="19" customWidth="1" outlineLevel="1"/>
    <col min="27" max="27" width="35.69921875" customWidth="1" outlineLevel="1"/>
    <col min="28" max="28" width="33.796875" customWidth="1" outlineLevel="1"/>
    <col min="29" max="29" width="21.296875" customWidth="1" outlineLevel="1"/>
    <col min="30" max="30" width="19.19921875" customWidth="1" outlineLevel="1"/>
    <col min="31" max="31" width="28.296875" customWidth="1" outlineLevel="1"/>
    <col min="32" max="32" width="8.69921875" customWidth="1"/>
    <col min="33" max="33" width="9.296875" customWidth="1" outlineLevel="1"/>
    <col min="34" max="39" width="8.69921875" customWidth="1" outlineLevel="1"/>
    <col min="40" max="40" width="20.09765625" customWidth="1" outlineLevel="1"/>
    <col min="41" max="41" width="22.69921875" customWidth="1" outlineLevel="1"/>
    <col min="42" max="42" width="14.59765625" customWidth="1" outlineLevel="1"/>
    <col min="43" max="43" width="14" customWidth="1" outlineLevel="1"/>
    <col min="44" max="44" width="13.796875" customWidth="1" outlineLevel="1"/>
    <col min="45" max="45" width="8.796875" customWidth="1" outlineLevel="1"/>
    <col min="46" max="46" width="11.09765625" customWidth="1" outlineLevel="1"/>
    <col min="47" max="47" width="9.296875" customWidth="1" outlineLevel="1"/>
    <col min="48" max="48" width="19.5" customWidth="1" outlineLevel="1"/>
    <col min="49" max="50" width="30.69921875" customWidth="1" outlineLevel="1"/>
    <col min="51" max="51" width="30.296875" customWidth="1" outlineLevel="1"/>
    <col min="52" max="52" width="28.09765625" customWidth="1" outlineLevel="1"/>
    <col min="53" max="53" width="23.296875" customWidth="1" outlineLevel="1"/>
    <col min="54" max="54" width="14.296875" customWidth="1" outlineLevel="1"/>
    <col min="55" max="55" width="20.69921875" customWidth="1" outlineLevel="1"/>
    <col min="56" max="56" width="37.5" customWidth="1" outlineLevel="1"/>
    <col min="57" max="57" width="35.59765625" customWidth="1" outlineLevel="1"/>
    <col min="58" max="58" width="23.09765625" customWidth="1" outlineLevel="1"/>
    <col min="59" max="59" width="21" customWidth="1" outlineLevel="1"/>
    <col min="60" max="60" width="24.796875" customWidth="1" outlineLevel="1"/>
    <col min="61" max="61" width="8.69921875" customWidth="1"/>
    <col min="62" max="62" width="10.19921875" customWidth="1" outlineLevel="1"/>
    <col min="63" max="68" width="8.69921875" customWidth="1" outlineLevel="1"/>
    <col min="69" max="69" width="20.09765625" customWidth="1" outlineLevel="1"/>
    <col min="70" max="70" width="22.69921875" customWidth="1" outlineLevel="1"/>
    <col min="71" max="71" width="14.59765625" customWidth="1" outlineLevel="1"/>
    <col min="72" max="72" width="14" customWidth="1" outlineLevel="1"/>
    <col min="73" max="73" width="13.796875" customWidth="1" outlineLevel="1"/>
    <col min="74" max="74" width="8.796875" customWidth="1" outlineLevel="1"/>
    <col min="75" max="75" width="11.09765625" customWidth="1" outlineLevel="1"/>
    <col min="76" max="76" width="9.296875" customWidth="1" outlineLevel="1"/>
    <col min="77" max="77" width="19.5" customWidth="1" outlineLevel="1"/>
    <col min="78" max="79" width="30.69921875" customWidth="1" outlineLevel="1"/>
    <col min="80" max="80" width="30.296875" customWidth="1" outlineLevel="1"/>
    <col min="81" max="81" width="28.09765625" customWidth="1" outlineLevel="1"/>
    <col min="82" max="82" width="23.296875" customWidth="1" outlineLevel="1"/>
    <col min="83" max="83" width="14.296875" customWidth="1" outlineLevel="1"/>
    <col min="84" max="84" width="20.69921875" customWidth="1" outlineLevel="1"/>
    <col min="85" max="85" width="37.5" customWidth="1" outlineLevel="1"/>
    <col min="86" max="86" width="35.59765625" customWidth="1" outlineLevel="1"/>
    <col min="87" max="87" width="23.09765625" customWidth="1" outlineLevel="1"/>
    <col min="88" max="88" width="21" customWidth="1" outlineLevel="1"/>
    <col min="89" max="89" width="8.69921875" customWidth="1" outlineLevel="1"/>
    <col min="94" max="94" width="8.69921875" style="30"/>
  </cols>
  <sheetData>
    <row r="1" spans="1:102" x14ac:dyDescent="0.2">
      <c r="C1" s="229" t="s">
        <v>30</v>
      </c>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F1" s="229" t="s">
        <v>32</v>
      </c>
      <c r="AG1" s="229"/>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I1" s="229" t="s">
        <v>34</v>
      </c>
      <c r="BJ1" s="229"/>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row>
    <row r="2" spans="1:102" x14ac:dyDescent="0.2">
      <c r="A2" s="2" t="s">
        <v>106</v>
      </c>
      <c r="B2" t="s">
        <v>0</v>
      </c>
      <c r="C2" t="s">
        <v>29</v>
      </c>
      <c r="D2" s="29"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165</v>
      </c>
      <c r="CQ2" s="2" t="s">
        <v>102</v>
      </c>
      <c r="CR2" s="2" t="s">
        <v>103</v>
      </c>
      <c r="CS2" s="2" t="s">
        <v>104</v>
      </c>
      <c r="CT2" s="2" t="s">
        <v>105</v>
      </c>
      <c r="CU2" s="2" t="s">
        <v>207</v>
      </c>
      <c r="CV2" s="2" t="s">
        <v>208</v>
      </c>
      <c r="CW2" s="2" t="s">
        <v>209</v>
      </c>
      <c r="CX2" s="2" t="s">
        <v>301</v>
      </c>
    </row>
    <row r="3" spans="1:102" x14ac:dyDescent="0.2">
      <c r="A3" s="4" t="s">
        <v>116</v>
      </c>
      <c r="B3" s="4" t="s">
        <v>35</v>
      </c>
      <c r="C3" s="4">
        <v>0.57789999999999997</v>
      </c>
      <c r="D3" s="30">
        <v>102700</v>
      </c>
      <c r="E3" s="4">
        <v>0.57541877441146072</v>
      </c>
      <c r="F3" s="4">
        <v>0.58459213332303495</v>
      </c>
      <c r="G3" s="4">
        <v>0.67886417507882602</v>
      </c>
      <c r="H3" s="4">
        <v>0.65070887605411254</v>
      </c>
      <c r="I3" s="4">
        <v>0.47283054430555921</v>
      </c>
      <c r="J3" s="4"/>
      <c r="K3" s="4"/>
      <c r="L3" s="4"/>
      <c r="M3" s="4">
        <v>0.3110230506275673</v>
      </c>
      <c r="N3" s="4">
        <v>0.64761008879730442</v>
      </c>
      <c r="O3" s="4">
        <v>0.58442317913621022</v>
      </c>
      <c r="P3" s="4"/>
      <c r="Q3" s="4"/>
      <c r="R3" s="4"/>
      <c r="S3" s="4"/>
      <c r="T3" s="4"/>
      <c r="U3" s="4"/>
      <c r="V3" s="4">
        <v>0.68890450028371997</v>
      </c>
      <c r="W3" s="4">
        <v>0.59865284146476028</v>
      </c>
      <c r="X3" s="4">
        <v>0.49717845036065456</v>
      </c>
      <c r="Y3" s="4"/>
      <c r="Z3" s="4"/>
      <c r="AA3" s="4"/>
      <c r="AB3" s="4"/>
      <c r="AC3" s="4"/>
      <c r="AD3" s="4"/>
      <c r="AE3" s="4"/>
      <c r="AF3" s="4"/>
      <c r="AG3" s="4">
        <v>0.11749999999999999</v>
      </c>
      <c r="AH3" s="30">
        <v>20900</v>
      </c>
      <c r="AI3" s="4">
        <v>0.12896521190697782</v>
      </c>
      <c r="AJ3" s="4">
        <v>0.10747722600090291</v>
      </c>
      <c r="AK3" s="4"/>
      <c r="AL3" s="4">
        <v>0.10007771375163645</v>
      </c>
      <c r="AM3" s="4">
        <v>0.11672630896869265</v>
      </c>
      <c r="AN3" s="4"/>
      <c r="AO3" s="4"/>
      <c r="AP3" s="4"/>
      <c r="AQ3" s="4">
        <v>0.16738172593325074</v>
      </c>
      <c r="AR3" s="4">
        <v>0.1094071126141779</v>
      </c>
      <c r="AS3" s="4">
        <v>0.13024774096927572</v>
      </c>
      <c r="AT3" s="4"/>
      <c r="AU3" s="4"/>
      <c r="AV3" s="4"/>
      <c r="AW3" s="4"/>
      <c r="AX3" s="4"/>
      <c r="AY3" s="4"/>
      <c r="AZ3" s="4">
        <v>9.437300205948769E-2</v>
      </c>
      <c r="BA3" s="4">
        <v>0.12600382175209116</v>
      </c>
      <c r="BB3" s="4"/>
      <c r="BC3" s="4"/>
      <c r="BD3" s="4"/>
      <c r="BE3" s="4"/>
      <c r="BF3" s="4"/>
      <c r="BG3" s="4"/>
      <c r="BH3" s="4"/>
      <c r="BI3" s="4"/>
      <c r="BJ3" s="4"/>
      <c r="BK3" s="4">
        <v>0.30459999999999998</v>
      </c>
      <c r="BL3" s="30">
        <v>54200</v>
      </c>
      <c r="BM3" s="4">
        <v>0.29561601368156243</v>
      </c>
      <c r="BN3" s="4">
        <v>0.30793064067606213</v>
      </c>
      <c r="BO3" s="4">
        <v>0.20816970258652343</v>
      </c>
      <c r="BP3" s="4">
        <v>0.24921341019425089</v>
      </c>
      <c r="BQ3" s="4">
        <v>0.41044314672574794</v>
      </c>
      <c r="BR3" s="4">
        <v>0.52611602270328151</v>
      </c>
      <c r="BS3" s="4"/>
      <c r="BT3" s="4"/>
      <c r="BU3" s="4">
        <v>0.52159522343918174</v>
      </c>
      <c r="BV3" s="4">
        <v>0.24298279858851757</v>
      </c>
      <c r="BW3" s="4">
        <v>0.28532907989451406</v>
      </c>
      <c r="BX3" s="4"/>
      <c r="BY3" s="4"/>
      <c r="BZ3" s="4"/>
      <c r="CA3" s="4"/>
      <c r="CB3" s="4"/>
      <c r="CC3" s="4"/>
      <c r="CD3" s="4">
        <v>0.216722497656793</v>
      </c>
      <c r="CE3" s="4">
        <v>0.27534333678314837</v>
      </c>
      <c r="CF3" s="4">
        <v>0.35960567197879206</v>
      </c>
      <c r="CG3" s="4"/>
      <c r="CH3" s="4"/>
      <c r="CI3" s="4"/>
      <c r="CJ3" s="4"/>
      <c r="CK3" s="4"/>
      <c r="CL3" s="4"/>
      <c r="CM3" s="4"/>
      <c r="CN3" s="4"/>
      <c r="CO3" s="4">
        <f t="shared" ref="CO3:CO9" si="0">SUM(C3,AG3)</f>
        <v>0.69540000000000002</v>
      </c>
      <c r="CP3" s="30">
        <f>Tameside1[[#This Row],[Active - Numbers]]+Tameside1[[#This Row],[Fairly Active - Numbers]]</f>
        <v>123600</v>
      </c>
      <c r="CQ3" s="4">
        <f>Tameside1[[#This Row],[Male I]]-Tameside1[[#This Row],[Female I]]</f>
        <v>-1.23146269944997E-2</v>
      </c>
      <c r="CR3" s="4">
        <f>Tameside1[[#This Row],[NS SEC 1-2: Higher social groups I]]-Tameside1[[#This Row],[NS SEC 6-8: Lower social groups I]]</f>
        <v>-0.14288317432199907</v>
      </c>
      <c r="CS3" s="4">
        <f>Tameside1[[#This Row],[No LT limiting disability I]]-Tameside1[[#This Row],[LT limiting disability I]]</f>
        <v>-0.27861242485066418</v>
      </c>
      <c r="CT3" s="4">
        <f>Tameside1[[#This Row],[16-34 I]]-Tameside1[[#This Row],[75+ I]]</f>
        <v>-0.31794632011675805</v>
      </c>
      <c r="CU3" s="64"/>
      <c r="CV3" s="64"/>
      <c r="CW3" s="64"/>
      <c r="CX3" s="64"/>
    </row>
    <row r="4" spans="1:102" x14ac:dyDescent="0.2">
      <c r="A4" s="4" t="s">
        <v>116</v>
      </c>
      <c r="B4" s="4" t="s">
        <v>36</v>
      </c>
      <c r="C4" s="44">
        <v>0.59079999999999999</v>
      </c>
      <c r="D4" s="30">
        <v>105700</v>
      </c>
      <c r="E4" s="4">
        <v>0.61696234171598363</v>
      </c>
      <c r="F4" s="4">
        <v>0.5508383184499136</v>
      </c>
      <c r="G4" s="4">
        <v>0.67749538708644319</v>
      </c>
      <c r="H4" s="4">
        <v>0.61628408683871339</v>
      </c>
      <c r="I4" s="4">
        <v>0.48779395707117668</v>
      </c>
      <c r="J4" s="4"/>
      <c r="K4" s="4"/>
      <c r="L4" s="4"/>
      <c r="M4" s="4">
        <v>0.40771881021439194</v>
      </c>
      <c r="N4" s="4">
        <v>0.63640522790487597</v>
      </c>
      <c r="O4" s="4">
        <v>0.59017375564628072</v>
      </c>
      <c r="P4" s="4"/>
      <c r="Q4" s="4"/>
      <c r="R4" s="4"/>
      <c r="S4" s="4"/>
      <c r="T4" s="4"/>
      <c r="U4" s="4"/>
      <c r="V4" s="4">
        <v>0.62640854180881655</v>
      </c>
      <c r="W4" s="4">
        <v>0.59293340495985336</v>
      </c>
      <c r="X4" s="4">
        <v>0.52611865287906368</v>
      </c>
      <c r="Y4" s="4"/>
      <c r="Z4" s="4"/>
      <c r="AA4" s="4"/>
      <c r="AB4" s="4"/>
      <c r="AC4" s="4"/>
      <c r="AD4" s="4"/>
      <c r="AE4" s="4"/>
      <c r="AF4" s="4"/>
      <c r="AG4" s="44">
        <v>0.1105</v>
      </c>
      <c r="AH4" s="30">
        <v>19800</v>
      </c>
      <c r="AI4" s="4">
        <v>0.10930785018250401</v>
      </c>
      <c r="AJ4" s="4">
        <v>0.13139686479563942</v>
      </c>
      <c r="AK4" s="4">
        <v>0.11777398710016257</v>
      </c>
      <c r="AL4" s="4">
        <v>0.10895792527169858</v>
      </c>
      <c r="AM4" s="4">
        <v>0.12013407945390084</v>
      </c>
      <c r="AN4" s="4"/>
      <c r="AO4" s="4"/>
      <c r="AP4" s="4"/>
      <c r="AQ4" s="4">
        <v>0.11853428375440776</v>
      </c>
      <c r="AR4" s="4">
        <v>0.12500831522292863</v>
      </c>
      <c r="AS4" s="4">
        <v>0.12228657395616098</v>
      </c>
      <c r="AT4" s="4"/>
      <c r="AU4" s="4"/>
      <c r="AV4" s="4"/>
      <c r="AW4" s="4"/>
      <c r="AX4" s="4"/>
      <c r="AY4" s="4"/>
      <c r="AZ4" s="4">
        <v>0.14111317870904627</v>
      </c>
      <c r="BA4" s="4">
        <v>0.1175226910580318</v>
      </c>
      <c r="BB4" s="4"/>
      <c r="BC4" s="4"/>
      <c r="BD4" s="4"/>
      <c r="BE4" s="4"/>
      <c r="BF4" s="4"/>
      <c r="BG4" s="4"/>
      <c r="BH4" s="4"/>
      <c r="BI4" s="4"/>
      <c r="BJ4" s="4"/>
      <c r="BK4" s="4">
        <v>0.29870000000000002</v>
      </c>
      <c r="BL4" s="30">
        <v>53400</v>
      </c>
      <c r="BM4" s="4">
        <v>0.27372980810151193</v>
      </c>
      <c r="BN4" s="4">
        <v>0.31776481675444745</v>
      </c>
      <c r="BO4" s="4">
        <v>0.20473062581339455</v>
      </c>
      <c r="BP4" s="4">
        <v>0.27475798788958783</v>
      </c>
      <c r="BQ4" s="4">
        <v>0.39207196347492301</v>
      </c>
      <c r="BR4" s="4">
        <v>0.48320880519268394</v>
      </c>
      <c r="BS4" s="4"/>
      <c r="BT4" s="4"/>
      <c r="BU4" s="4">
        <v>0.47374690603120023</v>
      </c>
      <c r="BV4" s="4">
        <v>0.23858645687219429</v>
      </c>
      <c r="BW4" s="4">
        <v>0.28753967039755873</v>
      </c>
      <c r="BX4" s="4"/>
      <c r="BY4" s="4"/>
      <c r="BZ4" s="4"/>
      <c r="CA4" s="4"/>
      <c r="CB4" s="4"/>
      <c r="CC4" s="4"/>
      <c r="CD4" s="4">
        <v>0.23247827948213723</v>
      </c>
      <c r="CE4" s="4">
        <v>0.28954390398211499</v>
      </c>
      <c r="CF4" s="4">
        <v>0.34907137634465529</v>
      </c>
      <c r="CG4" s="4"/>
      <c r="CH4" s="4"/>
      <c r="CI4" s="4"/>
      <c r="CJ4" s="4"/>
      <c r="CK4" s="4"/>
      <c r="CL4" s="4"/>
      <c r="CM4" s="4"/>
      <c r="CN4" s="4"/>
      <c r="CO4" s="4">
        <f t="shared" si="0"/>
        <v>0.70130000000000003</v>
      </c>
      <c r="CP4" s="30">
        <f>Tameside1[[#This Row],[Active - Numbers]]+Tameside1[[#This Row],[Fairly Active - Numbers]]</f>
        <v>125500</v>
      </c>
      <c r="CQ4" s="4">
        <f>Tameside1[[#This Row],[Male I]]-Tameside1[[#This Row],[Female I]]</f>
        <v>-4.4035008652935526E-2</v>
      </c>
      <c r="CR4" s="4">
        <f>Tameside1[[#This Row],[NS SEC 1-2: Higher social groups I]]-Tameside1[[#This Row],[NS SEC 6-8: Lower social groups I]]</f>
        <v>-0.11659309686251806</v>
      </c>
      <c r="CS4" s="4">
        <f>Tameside1[[#This Row],[No LT limiting disability I]]-Tameside1[[#This Row],[LT limiting disability I]]</f>
        <v>-0.23516044915900594</v>
      </c>
      <c r="CT4" s="4">
        <f>Tameside1[[#This Row],[16-34 I]]-Tameside1[[#This Row],[75+ I]]</f>
        <v>-0.27847817937928943</v>
      </c>
      <c r="CU4" s="64"/>
      <c r="CV4" s="64"/>
      <c r="CW4" s="64"/>
      <c r="CX4" s="152">
        <v>0.1022</v>
      </c>
    </row>
    <row r="5" spans="1:102" x14ac:dyDescent="0.2">
      <c r="A5" s="4" t="s">
        <v>116</v>
      </c>
      <c r="B5" s="4" t="s">
        <v>37</v>
      </c>
      <c r="C5" s="4">
        <v>0.58950000000000002</v>
      </c>
      <c r="D5" s="30">
        <v>105500</v>
      </c>
      <c r="E5" s="4">
        <v>0.63425783823703152</v>
      </c>
      <c r="F5" s="4">
        <v>0.5401733634428828</v>
      </c>
      <c r="G5" s="4">
        <v>0.64709893934422258</v>
      </c>
      <c r="H5" s="4">
        <v>0.64018786787936022</v>
      </c>
      <c r="I5" s="4">
        <v>0.54530786093539108</v>
      </c>
      <c r="J5" s="4"/>
      <c r="K5" s="4"/>
      <c r="L5" s="4"/>
      <c r="M5" s="4">
        <v>0.47255018556531442</v>
      </c>
      <c r="N5" s="4">
        <v>0.63576077835938039</v>
      </c>
      <c r="O5" s="4">
        <v>0.59895953241509314</v>
      </c>
      <c r="P5" s="4"/>
      <c r="Q5" s="4"/>
      <c r="R5" s="4"/>
      <c r="S5" s="4"/>
      <c r="T5" s="4"/>
      <c r="U5" s="4"/>
      <c r="V5" s="4">
        <v>0.62217828889333349</v>
      </c>
      <c r="W5" s="4">
        <v>0.66803030461691293</v>
      </c>
      <c r="X5" s="4">
        <v>0.53484223713172618</v>
      </c>
      <c r="Y5" s="4"/>
      <c r="Z5" s="4"/>
      <c r="AA5" s="4"/>
      <c r="AB5" s="4"/>
      <c r="AC5" s="4"/>
      <c r="AD5" s="4"/>
      <c r="AE5" s="4"/>
      <c r="AF5" s="4"/>
      <c r="AG5" s="4">
        <v>0.10299999999999999</v>
      </c>
      <c r="AH5" s="30">
        <v>18400</v>
      </c>
      <c r="AI5" s="4">
        <v>9.2454338853071985E-2</v>
      </c>
      <c r="AJ5" s="4">
        <v>0.11519387943198824</v>
      </c>
      <c r="AK5" s="4"/>
      <c r="AL5" s="4">
        <v>0.10863626573867061</v>
      </c>
      <c r="AM5" s="4">
        <v>9.9839026893520033E-2</v>
      </c>
      <c r="AN5" s="4"/>
      <c r="AO5" s="4"/>
      <c r="AP5" s="4"/>
      <c r="AQ5" s="4">
        <v>7.5471263935608365E-2</v>
      </c>
      <c r="AR5" s="4">
        <v>0.11049183891709426</v>
      </c>
      <c r="AS5" s="4">
        <v>0.10121949742116623</v>
      </c>
      <c r="AT5" s="4"/>
      <c r="AU5" s="4"/>
      <c r="AV5" s="4"/>
      <c r="AW5" s="4"/>
      <c r="AX5" s="4"/>
      <c r="AY5" s="4"/>
      <c r="AZ5" s="4">
        <v>0.12678497368406227</v>
      </c>
      <c r="BA5" s="4">
        <v>0.10596617986593369</v>
      </c>
      <c r="BB5" s="4"/>
      <c r="BC5" s="4"/>
      <c r="BD5" s="4"/>
      <c r="BE5" s="4"/>
      <c r="BF5" s="4"/>
      <c r="BG5" s="4"/>
      <c r="BH5" s="4"/>
      <c r="BI5" s="4"/>
      <c r="BJ5" s="4"/>
      <c r="BK5" s="4">
        <v>0.3075</v>
      </c>
      <c r="BL5" s="30">
        <v>55000</v>
      </c>
      <c r="BM5" s="4">
        <v>0.27328782290989612</v>
      </c>
      <c r="BN5" s="4">
        <v>0.3446327571251277</v>
      </c>
      <c r="BO5" s="4">
        <v>0.25705551711856883</v>
      </c>
      <c r="BP5" s="4">
        <v>0.25117586638196909</v>
      </c>
      <c r="BQ5" s="4">
        <v>0.35485311217108978</v>
      </c>
      <c r="BR5" s="4">
        <v>0.5964492258844466</v>
      </c>
      <c r="BS5" s="4"/>
      <c r="BT5" s="4"/>
      <c r="BU5" s="4">
        <v>0.45197855049907754</v>
      </c>
      <c r="BV5" s="4">
        <v>0.25374738272352482</v>
      </c>
      <c r="BW5" s="4">
        <v>0.29982097016374004</v>
      </c>
      <c r="BX5" s="4"/>
      <c r="BY5" s="4"/>
      <c r="BZ5" s="4"/>
      <c r="CA5" s="4"/>
      <c r="CB5" s="4"/>
      <c r="CC5" s="4"/>
      <c r="CD5" s="4">
        <v>0.25103673742260452</v>
      </c>
      <c r="CE5" s="4">
        <v>0.2260035155171537</v>
      </c>
      <c r="CF5" s="4">
        <v>0.36416726200277305</v>
      </c>
      <c r="CG5" s="4"/>
      <c r="CH5" s="4"/>
      <c r="CI5" s="4"/>
      <c r="CJ5" s="4"/>
      <c r="CK5" s="4"/>
      <c r="CL5" s="4"/>
      <c r="CM5" s="4"/>
      <c r="CN5" s="4"/>
      <c r="CO5" s="4">
        <f t="shared" si="0"/>
        <v>0.6925</v>
      </c>
      <c r="CP5" s="30">
        <f>Tameside1[[#This Row],[Active - Numbers]]+Tameside1[[#This Row],[Fairly Active - Numbers]]</f>
        <v>123900</v>
      </c>
      <c r="CQ5" s="4">
        <f>Tameside1[[#This Row],[Male I]]-Tameside1[[#This Row],[Female I]]</f>
        <v>-7.1344934215231581E-2</v>
      </c>
      <c r="CR5" s="4">
        <f>Tameside1[[#This Row],[NS SEC 1-2: Higher social groups I]]-Tameside1[[#This Row],[NS SEC 6-8: Lower social groups I]]</f>
        <v>-0.11313052458016853</v>
      </c>
      <c r="CS5" s="4">
        <f>Tameside1[[#This Row],[No LT limiting disability I]]-Tameside1[[#This Row],[LT limiting disability I]]</f>
        <v>-0.19823116777555272</v>
      </c>
      <c r="CT5" s="4">
        <f>Tameside1[[#This Row],[16-34 I]]-Tameside1[[#This Row],[75+ I]]</f>
        <v>-0.33939370876587777</v>
      </c>
      <c r="CU5" s="64"/>
      <c r="CV5" s="64"/>
      <c r="CW5" s="64"/>
      <c r="CX5" s="154">
        <v>0.10929999999999999</v>
      </c>
    </row>
    <row r="6" spans="1:102" x14ac:dyDescent="0.2">
      <c r="A6" s="4" t="s">
        <v>116</v>
      </c>
      <c r="B6" s="4" t="s">
        <v>38</v>
      </c>
      <c r="C6" s="4">
        <v>0.57110000000000005</v>
      </c>
      <c r="D6" s="30">
        <v>102400</v>
      </c>
      <c r="E6" s="4">
        <v>0.62897219779791025</v>
      </c>
      <c r="F6" s="4">
        <v>0.51745577319360847</v>
      </c>
      <c r="G6" s="4">
        <v>0.56880962745422525</v>
      </c>
      <c r="H6" s="4">
        <v>0.65017712091841706</v>
      </c>
      <c r="I6" s="4">
        <v>0.55194382327057023</v>
      </c>
      <c r="J6" s="4"/>
      <c r="K6" s="4"/>
      <c r="L6" s="4"/>
      <c r="M6" s="4">
        <v>0.41962033574705404</v>
      </c>
      <c r="N6" s="4">
        <v>0.61784363270432208</v>
      </c>
      <c r="O6" s="4">
        <v>0.58740723863148236</v>
      </c>
      <c r="P6" s="4"/>
      <c r="Q6" s="4"/>
      <c r="R6" s="4"/>
      <c r="S6" s="4"/>
      <c r="T6" s="4"/>
      <c r="U6" s="4"/>
      <c r="V6" s="4">
        <v>0.64836513548963282</v>
      </c>
      <c r="W6" s="4">
        <v>0.63453689475905017</v>
      </c>
      <c r="X6" s="4">
        <v>0.4982684111243646</v>
      </c>
      <c r="Y6" s="4"/>
      <c r="Z6" s="4"/>
      <c r="AA6" s="4"/>
      <c r="AB6" s="4"/>
      <c r="AC6" s="4"/>
      <c r="AD6" s="4"/>
      <c r="AE6" s="4"/>
      <c r="AF6" s="4"/>
      <c r="AG6" s="4">
        <v>0.1154</v>
      </c>
      <c r="AH6" s="30">
        <v>20700</v>
      </c>
      <c r="AI6" s="4">
        <v>0.10246921436186193</v>
      </c>
      <c r="AJ6" s="4">
        <v>0.12787418800339231</v>
      </c>
      <c r="AK6" s="4"/>
      <c r="AL6" s="4">
        <v>0.12152083678092956</v>
      </c>
      <c r="AM6" s="4">
        <v>0.15033435066770007</v>
      </c>
      <c r="AN6" s="4"/>
      <c r="AO6" s="4"/>
      <c r="AP6" s="4"/>
      <c r="AQ6" s="4"/>
      <c r="AR6" s="4">
        <v>0.12417203943957875</v>
      </c>
      <c r="AS6" s="4">
        <v>0.12194475305597811</v>
      </c>
      <c r="AT6" s="4"/>
      <c r="AU6" s="4"/>
      <c r="AV6" s="4"/>
      <c r="AW6" s="4"/>
      <c r="AX6" s="4"/>
      <c r="AY6" s="4"/>
      <c r="AZ6" s="4">
        <v>0.10640559990337409</v>
      </c>
      <c r="BA6" s="4">
        <v>0.14340090216242848</v>
      </c>
      <c r="BB6" s="4">
        <v>0.13486164497974351</v>
      </c>
      <c r="BC6" s="4"/>
      <c r="BD6" s="4"/>
      <c r="BE6" s="4"/>
      <c r="BF6" s="4"/>
      <c r="BG6" s="4"/>
      <c r="BH6" s="4"/>
      <c r="BI6" s="4"/>
      <c r="BJ6" s="4"/>
      <c r="BK6" s="4">
        <v>0.3135</v>
      </c>
      <c r="BL6" s="30">
        <v>56200</v>
      </c>
      <c r="BM6" s="4">
        <v>0.26855858784022757</v>
      </c>
      <c r="BN6" s="4">
        <v>0.35467003880299836</v>
      </c>
      <c r="BO6" s="4">
        <v>0.34080121541284214</v>
      </c>
      <c r="BP6" s="4">
        <v>0.22830204230065371</v>
      </c>
      <c r="BQ6" s="4">
        <v>0.29772182606173042</v>
      </c>
      <c r="BR6" s="4">
        <v>0.68909145190557775</v>
      </c>
      <c r="BS6" s="4"/>
      <c r="BT6" s="4"/>
      <c r="BU6" s="4">
        <v>0.48064654045450356</v>
      </c>
      <c r="BV6" s="4">
        <v>0.25798432785609782</v>
      </c>
      <c r="BW6" s="4">
        <v>0.29064800831253818</v>
      </c>
      <c r="BX6" s="4"/>
      <c r="BY6" s="4"/>
      <c r="BZ6" s="4"/>
      <c r="CA6" s="4"/>
      <c r="CB6" s="4"/>
      <c r="CC6" s="4"/>
      <c r="CD6" s="4">
        <v>0.24522926460699324</v>
      </c>
      <c r="CE6" s="4">
        <v>0.22206220307852254</v>
      </c>
      <c r="CF6" s="4">
        <v>0.366869943895892</v>
      </c>
      <c r="CG6" s="4"/>
      <c r="CH6" s="4"/>
      <c r="CI6" s="4"/>
      <c r="CJ6" s="4"/>
      <c r="CK6" s="4"/>
      <c r="CL6" s="4"/>
      <c r="CM6" s="4"/>
      <c r="CN6" s="4"/>
      <c r="CO6" s="4">
        <f t="shared" si="0"/>
        <v>0.68650000000000011</v>
      </c>
      <c r="CP6" s="30">
        <f>Tameside1[[#This Row],[Active - Numbers]]+Tameside1[[#This Row],[Fairly Active - Numbers]]</f>
        <v>123100</v>
      </c>
      <c r="CQ6" s="4">
        <f>Tameside1[[#This Row],[Male I]]-Tameside1[[#This Row],[Female I]]</f>
        <v>-8.6111450962770786E-2</v>
      </c>
      <c r="CR6" s="4">
        <f>Tameside1[[#This Row],[NS SEC 1-2: Higher social groups I]]-Tameside1[[#This Row],[NS SEC 6-8: Lower social groups I]]</f>
        <v>-0.12164067928889877</v>
      </c>
      <c r="CS6" s="4">
        <f>Tameside1[[#This Row],[No LT limiting disability I]]-Tameside1[[#This Row],[LT limiting disability I]]</f>
        <v>-0.22266221259840574</v>
      </c>
      <c r="CT6" s="4">
        <f>Tameside1[[#This Row],[16-34 I]]-Tameside1[[#This Row],[75+ I]]</f>
        <v>-0.34829023649273561</v>
      </c>
      <c r="CU6" s="64"/>
      <c r="CV6" s="64"/>
      <c r="CW6" s="64"/>
      <c r="CX6" s="152">
        <v>0.14960000000000001</v>
      </c>
    </row>
    <row r="7" spans="1:102" x14ac:dyDescent="0.2">
      <c r="A7" s="4" t="s">
        <v>116</v>
      </c>
      <c r="B7" s="4" t="s">
        <v>39</v>
      </c>
      <c r="C7" s="4">
        <v>0.59520581722215837</v>
      </c>
      <c r="D7" s="30">
        <v>106800</v>
      </c>
      <c r="E7" s="4">
        <v>0.65711417223425661</v>
      </c>
      <c r="F7" s="4">
        <v>0.53682471132897391</v>
      </c>
      <c r="G7" s="4">
        <v>0.63970081383105093</v>
      </c>
      <c r="H7" s="4">
        <v>0.66553149151196533</v>
      </c>
      <c r="I7" s="4">
        <v>0.55720764347612584</v>
      </c>
      <c r="J7" s="4"/>
      <c r="K7" s="4">
        <v>0.65401363533212442</v>
      </c>
      <c r="L7" s="4">
        <v>0.48665818269183192</v>
      </c>
      <c r="M7" s="4">
        <v>0.45983632204049846</v>
      </c>
      <c r="N7" s="4">
        <v>0.62979145202873499</v>
      </c>
      <c r="O7" s="4">
        <v>0.61446272226136289</v>
      </c>
      <c r="P7" s="4"/>
      <c r="Q7" s="4"/>
      <c r="R7" s="4"/>
      <c r="S7" s="4"/>
      <c r="T7" s="4"/>
      <c r="U7" s="4"/>
      <c r="V7" s="4">
        <v>0.66646497369755731</v>
      </c>
      <c r="W7" s="4">
        <v>0.60278313423452423</v>
      </c>
      <c r="X7" s="4">
        <v>0.57291779028805057</v>
      </c>
      <c r="Y7" s="4">
        <v>0.6942438545204983</v>
      </c>
      <c r="Z7" s="4"/>
      <c r="AA7" s="4"/>
      <c r="AB7" s="4"/>
      <c r="AC7" s="4"/>
      <c r="AD7" s="4"/>
      <c r="AE7" s="4"/>
      <c r="AF7" s="4"/>
      <c r="AG7" s="4">
        <v>0.12512659347293487</v>
      </c>
      <c r="AH7" s="30">
        <v>22400</v>
      </c>
      <c r="AI7" s="4">
        <v>9.5259675486789236E-2</v>
      </c>
      <c r="AJ7" s="4">
        <v>0.15329183387241593</v>
      </c>
      <c r="AK7" s="4"/>
      <c r="AL7" s="4">
        <v>0.13573397766451437</v>
      </c>
      <c r="AM7" s="4">
        <v>0.15051012311644063</v>
      </c>
      <c r="AN7" s="4"/>
      <c r="AO7" s="4">
        <v>0.11866086046002651</v>
      </c>
      <c r="AP7" s="4">
        <v>0.13640414404847373</v>
      </c>
      <c r="AQ7" s="4"/>
      <c r="AR7" s="4">
        <v>0.13301667817588347</v>
      </c>
      <c r="AS7" s="4">
        <v>0.13586632642901469</v>
      </c>
      <c r="AT7" s="4"/>
      <c r="AU7" s="4"/>
      <c r="AV7" s="4"/>
      <c r="AW7" s="4"/>
      <c r="AX7" s="4"/>
      <c r="AY7" s="4"/>
      <c r="AZ7" s="4">
        <v>0.1147494942061064</v>
      </c>
      <c r="BA7" s="4">
        <v>0.15678014411251331</v>
      </c>
      <c r="BB7" s="4"/>
      <c r="BC7" s="4"/>
      <c r="BD7" s="4"/>
      <c r="BE7" s="4"/>
      <c r="BF7" s="4"/>
      <c r="BG7" s="4"/>
      <c r="BH7" s="4"/>
      <c r="BI7" s="4"/>
      <c r="BJ7" s="4"/>
      <c r="BK7" s="4">
        <v>0.27966758930490776</v>
      </c>
      <c r="BL7" s="30">
        <v>50200</v>
      </c>
      <c r="BM7" s="4">
        <v>0.24762615227895396</v>
      </c>
      <c r="BN7" s="4">
        <v>0.30988345479861018</v>
      </c>
      <c r="BO7" s="4">
        <v>0.262854468296502</v>
      </c>
      <c r="BP7" s="4">
        <v>0.19873453082352058</v>
      </c>
      <c r="BQ7" s="4">
        <v>0.29228223340743448</v>
      </c>
      <c r="BR7" s="4">
        <v>0.68242039925768205</v>
      </c>
      <c r="BS7" s="4">
        <v>0.22732550420784933</v>
      </c>
      <c r="BT7" s="4">
        <v>0.37693767325969496</v>
      </c>
      <c r="BU7" s="4">
        <v>0.42125364541237459</v>
      </c>
      <c r="BV7" s="4">
        <v>0.23719186979538123</v>
      </c>
      <c r="BW7" s="4">
        <v>0.24967095130962305</v>
      </c>
      <c r="BX7" s="4"/>
      <c r="BY7" s="4"/>
      <c r="BZ7" s="4"/>
      <c r="CA7" s="4"/>
      <c r="CB7" s="4"/>
      <c r="CC7" s="4"/>
      <c r="CD7" s="4">
        <v>0.21878553209633617</v>
      </c>
      <c r="CE7" s="4">
        <v>0.2404367216529634</v>
      </c>
      <c r="CF7" s="4">
        <v>0.30018335683334313</v>
      </c>
      <c r="CG7" s="4"/>
      <c r="CH7" s="4"/>
      <c r="CI7" s="4"/>
      <c r="CJ7" s="4"/>
      <c r="CK7" s="4"/>
      <c r="CL7" s="4"/>
      <c r="CM7" s="4"/>
      <c r="CN7" s="4"/>
      <c r="CO7" s="4">
        <f t="shared" si="0"/>
        <v>0.72033241069509324</v>
      </c>
      <c r="CP7" s="30">
        <f>Tameside1[[#This Row],[Active - Numbers]]+Tameside1[[#This Row],[Fairly Active - Numbers]]</f>
        <v>129200</v>
      </c>
      <c r="CQ7" s="4">
        <f>Tameside1[[#This Row],[Male I]]-Tameside1[[#This Row],[Female I]]</f>
        <v>-6.2257302519656221E-2</v>
      </c>
      <c r="CR7" s="4">
        <f>Tameside1[[#This Row],[NS SEC 1-2: Higher social groups I]]-Tameside1[[#This Row],[NS SEC 6-8: Lower social groups I]]</f>
        <v>-8.1397824737006963E-2</v>
      </c>
      <c r="CS7" s="4">
        <f>Tameside1[[#This Row],[No LT limiting disability I]]-Tameside1[[#This Row],[LT limiting disability I]]</f>
        <v>-0.18406177561699336</v>
      </c>
      <c r="CT7" s="4">
        <f>Tameside1[[#This Row],[16-34 I]]-Tameside1[[#This Row],[75+ I]]</f>
        <v>-0.41956593096118006</v>
      </c>
      <c r="CU7" s="48">
        <v>0.37809962053260504</v>
      </c>
      <c r="CV7" s="48">
        <v>0.31789354596244906</v>
      </c>
      <c r="CW7" s="48">
        <v>0.57087545613289026</v>
      </c>
      <c r="CX7" s="152">
        <v>0.14360000000000001</v>
      </c>
    </row>
    <row r="8" spans="1:102" x14ac:dyDescent="0.2">
      <c r="A8" s="4" t="s">
        <v>116</v>
      </c>
      <c r="B8" s="4" t="s">
        <v>40</v>
      </c>
      <c r="C8" s="4">
        <v>0.61170000000000002</v>
      </c>
      <c r="D8" s="30">
        <v>110100</v>
      </c>
      <c r="E8" s="4">
        <v>0.65269999999999995</v>
      </c>
      <c r="F8" s="4">
        <v>0.56969999999999998</v>
      </c>
      <c r="G8" s="4">
        <v>0.67910000000000004</v>
      </c>
      <c r="H8" s="4">
        <v>0.66600000000000004</v>
      </c>
      <c r="I8" s="4">
        <v>0.55369999999999997</v>
      </c>
      <c r="J8" s="4"/>
      <c r="K8" s="4">
        <v>0.67279999999999995</v>
      </c>
      <c r="L8" s="4">
        <v>0.50139999999999996</v>
      </c>
      <c r="M8" s="4">
        <v>0.51129999999999998</v>
      </c>
      <c r="N8" s="4">
        <v>0.64129999999999998</v>
      </c>
      <c r="O8" s="4">
        <v>0.62739999999999996</v>
      </c>
      <c r="P8" s="4"/>
      <c r="Q8" s="4"/>
      <c r="R8" s="4"/>
      <c r="S8" s="4"/>
      <c r="T8" s="4"/>
      <c r="U8" s="4"/>
      <c r="V8" s="4">
        <v>0.68369999999999997</v>
      </c>
      <c r="W8" s="4">
        <v>0.6018</v>
      </c>
      <c r="X8" s="4">
        <v>0.62470000000000003</v>
      </c>
      <c r="Y8" s="4"/>
      <c r="Z8" s="4">
        <v>0.64610000000000001</v>
      </c>
      <c r="AA8" s="4"/>
      <c r="AB8" s="4">
        <v>0.49619999999999997</v>
      </c>
      <c r="AC8" s="4"/>
      <c r="AD8" s="4"/>
      <c r="AE8" s="4"/>
      <c r="AF8" s="4"/>
      <c r="AG8" s="4">
        <v>0.1249</v>
      </c>
      <c r="AH8" s="30">
        <v>22500</v>
      </c>
      <c r="AI8" s="4">
        <v>0.1094</v>
      </c>
      <c r="AJ8" s="4">
        <v>0.14169999999999999</v>
      </c>
      <c r="AK8" s="4"/>
      <c r="AL8" s="4">
        <v>0.12920000000000001</v>
      </c>
      <c r="AM8" s="4">
        <v>0.1308</v>
      </c>
      <c r="AN8" s="4"/>
      <c r="AO8" s="4">
        <v>0.1215</v>
      </c>
      <c r="AP8" s="4">
        <v>0.12870000000000001</v>
      </c>
      <c r="AQ8" s="4"/>
      <c r="AR8" s="4">
        <v>0.12720000000000001</v>
      </c>
      <c r="AS8" s="4">
        <v>0.13</v>
      </c>
      <c r="AT8" s="4"/>
      <c r="AU8" s="4"/>
      <c r="AV8" s="4"/>
      <c r="AW8" s="4"/>
      <c r="AX8" s="4"/>
      <c r="AY8" s="4"/>
      <c r="AZ8" s="4">
        <v>0.113</v>
      </c>
      <c r="BA8" s="4"/>
      <c r="BB8" s="4"/>
      <c r="BC8" s="4"/>
      <c r="BD8" s="4">
        <v>0.1212</v>
      </c>
      <c r="BE8" s="4"/>
      <c r="BF8" s="4"/>
      <c r="BG8" s="4"/>
      <c r="BH8" s="4"/>
      <c r="BI8" s="4"/>
      <c r="BJ8" s="4"/>
      <c r="BK8" s="4">
        <v>0.26340000000000002</v>
      </c>
      <c r="BL8" s="30">
        <v>47400</v>
      </c>
      <c r="BM8" s="4">
        <v>0.2379</v>
      </c>
      <c r="BN8" s="4">
        <v>0.28860000000000002</v>
      </c>
      <c r="BO8" s="4">
        <v>0.2064</v>
      </c>
      <c r="BP8" s="4">
        <v>0.20480000000000001</v>
      </c>
      <c r="BQ8" s="4">
        <v>0.3155</v>
      </c>
      <c r="BR8" s="4">
        <v>0.54200000000000004</v>
      </c>
      <c r="BS8" s="4">
        <v>0.20569999999999999</v>
      </c>
      <c r="BT8" s="4">
        <v>0.37</v>
      </c>
      <c r="BU8" s="4">
        <v>0.3931</v>
      </c>
      <c r="BV8" s="4">
        <v>0.23150000000000001</v>
      </c>
      <c r="BW8" s="4">
        <v>0.24260000000000001</v>
      </c>
      <c r="BX8" s="4"/>
      <c r="BY8" s="4"/>
      <c r="BZ8" s="4"/>
      <c r="CA8" s="4"/>
      <c r="CB8" s="4"/>
      <c r="CC8" s="4"/>
      <c r="CD8" s="4">
        <v>0.2034</v>
      </c>
      <c r="CE8" s="4">
        <v>0.28210000000000002</v>
      </c>
      <c r="CF8" s="4">
        <v>0.26240000000000002</v>
      </c>
      <c r="CG8" s="4"/>
      <c r="CH8" s="4">
        <v>0.23269999999999999</v>
      </c>
      <c r="CI8" s="4"/>
      <c r="CJ8" s="4">
        <v>0.38600000000000001</v>
      </c>
      <c r="CK8" s="4"/>
      <c r="CL8" s="4"/>
      <c r="CM8" s="4"/>
      <c r="CN8" s="4"/>
      <c r="CO8" s="4">
        <f t="shared" si="0"/>
        <v>0.73660000000000003</v>
      </c>
      <c r="CP8" s="30">
        <f>Tameside1[[#This Row],[Active - Numbers]]+Tameside1[[#This Row],[Fairly Active - Numbers]]</f>
        <v>132600</v>
      </c>
      <c r="CQ8" s="4">
        <f>Tameside1[[#This Row],[Male I]]-Tameside1[[#This Row],[Female I]]</f>
        <v>-5.0700000000000023E-2</v>
      </c>
      <c r="CR8" s="4">
        <f>Tameside1[[#This Row],[NS SEC 1-2: Higher social groups I]]-Tameside1[[#This Row],[NS SEC 6-8: Lower social groups I]]</f>
        <v>-5.9000000000000025E-2</v>
      </c>
      <c r="CS8" s="4">
        <f>Tameside1[[#This Row],[No LT limiting disability I]]-Tameside1[[#This Row],[LT limiting disability I]]</f>
        <v>-0.16159999999999999</v>
      </c>
      <c r="CT8" s="4">
        <f>Tameside1[[#This Row],[16-34 I]]-Tameside1[[#This Row],[75+ I]]</f>
        <v>-0.33560000000000001</v>
      </c>
      <c r="CU8" s="48">
        <v>0.41049999999999998</v>
      </c>
      <c r="CV8" s="48">
        <v>0.33160000000000001</v>
      </c>
      <c r="CW8" s="48">
        <v>0.59009999999999996</v>
      </c>
      <c r="CX8" s="152">
        <v>0.1012</v>
      </c>
    </row>
    <row r="9" spans="1:102" x14ac:dyDescent="0.2">
      <c r="A9" s="4" t="s">
        <v>116</v>
      </c>
      <c r="B9" s="4" t="s">
        <v>41</v>
      </c>
      <c r="C9" s="4">
        <v>0.60130594649264346</v>
      </c>
      <c r="D9" s="30">
        <v>108200</v>
      </c>
      <c r="E9" s="4">
        <v>0.62559414018927795</v>
      </c>
      <c r="F9" s="4">
        <v>0.58001962049210998</v>
      </c>
      <c r="G9" s="4">
        <v>0.68016604719142137</v>
      </c>
      <c r="H9" s="4">
        <v>0.63651425447636278</v>
      </c>
      <c r="I9" s="4">
        <v>0.53865954025085161</v>
      </c>
      <c r="J9" s="4">
        <v>0.40780378119858957</v>
      </c>
      <c r="K9" s="4">
        <v>0.65732521750060813</v>
      </c>
      <c r="L9" s="4">
        <v>0.51123011270043472</v>
      </c>
      <c r="M9" s="4">
        <v>0.44220081892362306</v>
      </c>
      <c r="N9" s="4">
        <v>0.6471880397319858</v>
      </c>
      <c r="O9" s="4">
        <v>0.62625919098881067</v>
      </c>
      <c r="P9" s="4"/>
      <c r="Q9" s="4"/>
      <c r="R9" s="4"/>
      <c r="S9" s="4"/>
      <c r="T9" s="4"/>
      <c r="U9" s="4"/>
      <c r="V9" s="4">
        <v>0.68100249493243969</v>
      </c>
      <c r="W9" s="4">
        <v>0.60041126111614673</v>
      </c>
      <c r="X9" s="4">
        <v>0.58612432770569134</v>
      </c>
      <c r="Y9" s="4"/>
      <c r="Z9" s="4">
        <v>0.64216449324884939</v>
      </c>
      <c r="AA9" s="4"/>
      <c r="AB9" s="4">
        <v>0.5026484055651681</v>
      </c>
      <c r="AC9" s="4"/>
      <c r="AD9" s="4"/>
      <c r="AE9" s="4"/>
      <c r="AF9" s="4"/>
      <c r="AG9" s="4">
        <v>0.12574083471325442</v>
      </c>
      <c r="AH9" s="30">
        <v>22600</v>
      </c>
      <c r="AI9" s="4">
        <v>0.11497083081546262</v>
      </c>
      <c r="AJ9" s="4">
        <v>0.13602143197730224</v>
      </c>
      <c r="AK9" s="4"/>
      <c r="AL9" s="4">
        <v>0.11847764497808953</v>
      </c>
      <c r="AM9" s="4">
        <v>0.15674815793460511</v>
      </c>
      <c r="AN9" s="4"/>
      <c r="AO9" s="4">
        <v>0.10644312673885464</v>
      </c>
      <c r="AP9" s="4">
        <v>0.15238060114676855</v>
      </c>
      <c r="AQ9" s="4">
        <v>0.10734171776421225</v>
      </c>
      <c r="AR9" s="4">
        <v>0.12469325342267497</v>
      </c>
      <c r="AS9" s="4">
        <v>0.11927136070848957</v>
      </c>
      <c r="AT9" s="4"/>
      <c r="AU9" s="4"/>
      <c r="AV9" s="4"/>
      <c r="AW9" s="4"/>
      <c r="AX9" s="4"/>
      <c r="AY9" s="4"/>
      <c r="AZ9" s="4">
        <v>0.11585524645818815</v>
      </c>
      <c r="BA9" s="4">
        <v>0.11796228184466669</v>
      </c>
      <c r="BB9" s="4"/>
      <c r="BC9" s="4"/>
      <c r="BD9" s="4">
        <v>0.12050986668453771</v>
      </c>
      <c r="BE9" s="4"/>
      <c r="BF9" s="4">
        <v>0.14661179950598816</v>
      </c>
      <c r="BG9" s="4"/>
      <c r="BH9" s="4"/>
      <c r="BI9" s="4"/>
      <c r="BJ9" s="4"/>
      <c r="BK9" s="4">
        <v>0.27295321879410184</v>
      </c>
      <c r="BL9" s="30">
        <v>49100</v>
      </c>
      <c r="BM9" s="4">
        <v>0.25943502899525922</v>
      </c>
      <c r="BN9" s="4">
        <v>0.28395894753059003</v>
      </c>
      <c r="BO9" s="4">
        <v>0.22659917117096351</v>
      </c>
      <c r="BP9" s="4">
        <v>0.24500810054554678</v>
      </c>
      <c r="BQ9" s="4">
        <v>0.30459230181454222</v>
      </c>
      <c r="BR9" s="4">
        <v>0.45628407567702078</v>
      </c>
      <c r="BS9" s="4">
        <v>0.23623165576053773</v>
      </c>
      <c r="BT9" s="4">
        <v>0.33638928615279684</v>
      </c>
      <c r="BU9" s="4">
        <v>0.45045746331216419</v>
      </c>
      <c r="BV9" s="4">
        <v>0.2281187068453395</v>
      </c>
      <c r="BW9" s="4">
        <v>0.2544694483026988</v>
      </c>
      <c r="BX9" s="4"/>
      <c r="BY9" s="4"/>
      <c r="BZ9" s="4"/>
      <c r="CA9" s="4"/>
      <c r="CB9" s="4"/>
      <c r="CC9" s="4"/>
      <c r="CD9" s="4">
        <v>0.20314225860937196</v>
      </c>
      <c r="CE9" s="4">
        <v>0.28162645703918637</v>
      </c>
      <c r="CF9" s="4">
        <v>0.29234471687892932</v>
      </c>
      <c r="CG9" s="4"/>
      <c r="CH9" s="4">
        <v>0.23732564006661377</v>
      </c>
      <c r="CI9" s="4"/>
      <c r="CJ9" s="4">
        <v>0.35073979492884377</v>
      </c>
      <c r="CK9" s="4"/>
      <c r="CL9" s="4"/>
      <c r="CM9" s="4"/>
      <c r="CN9" s="4"/>
      <c r="CO9" s="4">
        <f t="shared" si="0"/>
        <v>0.72704678120589783</v>
      </c>
      <c r="CP9" s="30">
        <f>Tameside1[[#This Row],[Active - Numbers]]+Tameside1[[#This Row],[Fairly Active - Numbers]]</f>
        <v>130800</v>
      </c>
      <c r="CQ9" s="4">
        <f>Tameside1[[#This Row],[Male I]]-Tameside1[[#This Row],[Female I]]</f>
        <v>-2.4523918535330813E-2</v>
      </c>
      <c r="CR9" s="4">
        <f>Tameside1[[#This Row],[NS SEC 1-2: Higher social groups I]]-Tameside1[[#This Row],[NS SEC 6-8: Lower social groups I]]</f>
        <v>-8.9202458269557361E-2</v>
      </c>
      <c r="CS9" s="4">
        <f>Tameside1[[#This Row],[No LT limiting disability I]]-Tameside1[[#This Row],[LT limiting disability I]]</f>
        <v>-0.22233875646682469</v>
      </c>
      <c r="CT9" s="4">
        <f>Tameside1[[#This Row],[16-34 I]]-Tameside1[[#This Row],[75+ I]]</f>
        <v>-0.22968490450605727</v>
      </c>
      <c r="CU9" s="48">
        <v>0.41417399505331864</v>
      </c>
      <c r="CV9" s="48">
        <v>0.32781215167374789</v>
      </c>
      <c r="CW9" s="48">
        <v>0.60477491649849258</v>
      </c>
      <c r="CX9" s="152">
        <v>8.1299999999999997E-2</v>
      </c>
    </row>
    <row r="10" spans="1:102" s="29" customFormat="1" x14ac:dyDescent="0.2">
      <c r="A10" s="156" t="s">
        <v>116</v>
      </c>
      <c r="B10" s="156" t="s">
        <v>155</v>
      </c>
      <c r="C10" s="64">
        <v>0.57750000000000001</v>
      </c>
      <c r="D10" s="30">
        <v>104400</v>
      </c>
      <c r="E10" s="170">
        <v>0.60053479053175174</v>
      </c>
      <c r="F10" s="170">
        <v>0.56270141293073395</v>
      </c>
      <c r="G10" s="170">
        <v>0.67819428754273903</v>
      </c>
      <c r="H10" s="170">
        <v>0.59486852864834439</v>
      </c>
      <c r="I10" s="170">
        <v>0.52294941024326291</v>
      </c>
      <c r="J10" s="46"/>
      <c r="K10" s="170">
        <v>0.63212402856375272</v>
      </c>
      <c r="L10" s="170">
        <v>0.48318692410058101</v>
      </c>
      <c r="M10" s="170">
        <v>0.40541390657384929</v>
      </c>
      <c r="N10" s="170">
        <v>0.63719137518815105</v>
      </c>
      <c r="O10" s="170">
        <v>0.59285633860289166</v>
      </c>
      <c r="P10" s="46"/>
      <c r="Q10" s="46"/>
      <c r="R10" s="46"/>
      <c r="S10" s="46"/>
      <c r="T10" s="46"/>
      <c r="U10" s="46"/>
      <c r="V10" s="170">
        <v>0.68643616370499605</v>
      </c>
      <c r="W10" s="170">
        <v>0.54922916911024633</v>
      </c>
      <c r="X10" s="170">
        <v>0.50473478636493907</v>
      </c>
      <c r="Y10" s="170">
        <v>0.67855318421404742</v>
      </c>
      <c r="Z10" s="170">
        <v>0.62314514063377335</v>
      </c>
      <c r="AA10" s="46"/>
      <c r="AB10" s="170">
        <v>0.4621854836840128</v>
      </c>
      <c r="AC10" s="46"/>
      <c r="AD10" s="46"/>
      <c r="AE10" s="46"/>
      <c r="AF10" s="46"/>
      <c r="AG10" s="64">
        <v>0.1268</v>
      </c>
      <c r="AH10" s="30">
        <v>22900</v>
      </c>
      <c r="AI10" s="170">
        <v>0.10308808674015232</v>
      </c>
      <c r="AJ10" s="170">
        <v>0.14730584968992649</v>
      </c>
      <c r="AK10" s="46"/>
      <c r="AL10" s="170">
        <v>0.11217784484071341</v>
      </c>
      <c r="AM10" s="170">
        <v>0.15623607850129143</v>
      </c>
      <c r="AN10" s="46"/>
      <c r="AO10" s="170">
        <v>0.11012247971350037</v>
      </c>
      <c r="AP10" s="170">
        <v>0.1530565996879977</v>
      </c>
      <c r="AQ10" s="170">
        <v>0.15028249328063345</v>
      </c>
      <c r="AR10" s="170">
        <v>0.10929312256631812</v>
      </c>
      <c r="AS10" s="170">
        <v>0.13200812038714016</v>
      </c>
      <c r="AT10" s="46"/>
      <c r="AU10" s="46"/>
      <c r="AV10" s="46"/>
      <c r="AW10" s="46"/>
      <c r="AX10" s="46"/>
      <c r="AY10" s="46"/>
      <c r="AZ10" s="170">
        <v>0.10524067205067272</v>
      </c>
      <c r="BA10" s="170">
        <v>0.1865311926225334</v>
      </c>
      <c r="BB10" s="46"/>
      <c r="BC10" s="46"/>
      <c r="BD10" s="170">
        <v>0.13879251393724937</v>
      </c>
      <c r="BE10" s="46"/>
      <c r="BF10" s="170">
        <v>0.13525598501129907</v>
      </c>
      <c r="BG10" s="46"/>
      <c r="BH10" s="46"/>
      <c r="BI10" s="46"/>
      <c r="BJ10" s="46"/>
      <c r="BK10" s="64">
        <v>0.29570000000000002</v>
      </c>
      <c r="BL10" s="30">
        <v>53400</v>
      </c>
      <c r="BM10" s="170">
        <v>0.29637712272809502</v>
      </c>
      <c r="BN10" s="170">
        <v>0.28999273737933901</v>
      </c>
      <c r="BO10" s="170">
        <v>0.2142249032064332</v>
      </c>
      <c r="BP10" s="170">
        <v>0.29295362651094209</v>
      </c>
      <c r="BQ10" s="170">
        <v>0.32081451125544613</v>
      </c>
      <c r="BR10" s="170">
        <v>0.53003407583027307</v>
      </c>
      <c r="BS10" s="170">
        <v>0.25775349172274692</v>
      </c>
      <c r="BT10" s="170">
        <v>0.3637564762114216</v>
      </c>
      <c r="BU10" s="170">
        <v>0.44430360014551551</v>
      </c>
      <c r="BV10" s="170">
        <v>0.25351550224553016</v>
      </c>
      <c r="BW10" s="170">
        <v>0.27513554100996862</v>
      </c>
      <c r="BX10" s="46"/>
      <c r="BY10" s="46"/>
      <c r="BZ10" s="46"/>
      <c r="CA10" s="46"/>
      <c r="CB10" s="46"/>
      <c r="CC10" s="46"/>
      <c r="CD10" s="170">
        <v>0.20832316424433192</v>
      </c>
      <c r="CE10" s="170">
        <v>0.26423963826722047</v>
      </c>
      <c r="CF10" s="170">
        <v>0.3837287548460212</v>
      </c>
      <c r="CG10" s="46"/>
      <c r="CH10" s="170">
        <v>0.23806234542897775</v>
      </c>
      <c r="CI10" s="46"/>
      <c r="CJ10" s="170">
        <v>0.40255853130468722</v>
      </c>
      <c r="CK10" s="46"/>
      <c r="CL10" s="46"/>
      <c r="CM10" s="46"/>
      <c r="CN10" s="46"/>
      <c r="CO10" s="64"/>
      <c r="CP10" s="130">
        <f>Tameside1[[#This Row],[Active - Numbers]]+Tameside1[[#This Row],[Fairly Active - Numbers]]</f>
        <v>127300</v>
      </c>
      <c r="CQ10" s="64">
        <f>Tameside1[[#This Row],[Male I]]-Tameside1[[#This Row],[Female I]]</f>
        <v>6.3843853487560165E-3</v>
      </c>
      <c r="CR10" s="64">
        <f>Tameside1[[#This Row],[NS SEC 1-2: Higher social groups I]]-Tameside1[[#This Row],[NS SEC 6-8: Lower social groups I]]</f>
        <v>-0.17540559060168928</v>
      </c>
      <c r="CS10" s="64">
        <f>Tameside1[[#This Row],[No LT limiting disability I]]-Tameside1[[#This Row],[LT limiting disability I]]</f>
        <v>-0.19078809789998535</v>
      </c>
      <c r="CT10" s="64">
        <f>Tameside1[[#This Row],[16-34 I]]-Tameside1[[#This Row],[75+ I]]</f>
        <v>-0.3158091726238399</v>
      </c>
      <c r="CU10" s="173">
        <v>0.4016297777811445</v>
      </c>
      <c r="CV10" s="173">
        <v>0.2833250512753045</v>
      </c>
      <c r="CW10" s="173">
        <v>0.5648366087774791</v>
      </c>
      <c r="CX10" s="150"/>
    </row>
    <row r="11" spans="1:102" x14ac:dyDescent="0.2">
      <c r="A11" s="4" t="s">
        <v>116</v>
      </c>
      <c r="B11" s="4" t="s">
        <v>42</v>
      </c>
      <c r="C11" s="4">
        <f>C10-C3</f>
        <v>-3.9999999999995595E-4</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9.3000000000000027E-3</v>
      </c>
      <c r="AH11" s="26"/>
      <c r="AI11" s="4">
        <f t="shared" ref="AI11:BK11" si="1">AI10-AI3</f>
        <v>-2.5877125166825499E-2</v>
      </c>
      <c r="AJ11" s="4">
        <f t="shared" si="1"/>
        <v>3.9828623689023582E-2</v>
      </c>
      <c r="AK11" s="4">
        <f t="shared" si="1"/>
        <v>0</v>
      </c>
      <c r="AL11" s="4">
        <f t="shared" si="1"/>
        <v>1.2100131089076968E-2</v>
      </c>
      <c r="AM11" s="4">
        <f t="shared" si="1"/>
        <v>3.9509769532598771E-2</v>
      </c>
      <c r="AN11" s="4">
        <f t="shared" si="1"/>
        <v>0</v>
      </c>
      <c r="AO11" s="4">
        <f t="shared" si="1"/>
        <v>0.11012247971350037</v>
      </c>
      <c r="AP11" s="4">
        <f t="shared" si="1"/>
        <v>0.1530565996879977</v>
      </c>
      <c r="AQ11" s="4">
        <f t="shared" si="1"/>
        <v>-1.7099232652617286E-2</v>
      </c>
      <c r="AR11" s="4">
        <f t="shared" si="1"/>
        <v>-1.1399004785977995E-4</v>
      </c>
      <c r="AS11" s="4">
        <f t="shared" si="1"/>
        <v>1.7603794178644439E-3</v>
      </c>
      <c r="AT11" s="4">
        <f t="shared" si="1"/>
        <v>0</v>
      </c>
      <c r="AU11" s="4">
        <f t="shared" si="1"/>
        <v>0</v>
      </c>
      <c r="AV11" s="4">
        <f t="shared" si="1"/>
        <v>0</v>
      </c>
      <c r="AW11" s="4">
        <f t="shared" si="1"/>
        <v>0</v>
      </c>
      <c r="AX11" s="4">
        <f t="shared" si="1"/>
        <v>0</v>
      </c>
      <c r="AY11" s="4">
        <f t="shared" si="1"/>
        <v>0</v>
      </c>
      <c r="AZ11" s="4">
        <f t="shared" si="1"/>
        <v>1.0867669991185033E-2</v>
      </c>
      <c r="BA11" s="4">
        <f t="shared" si="1"/>
        <v>6.0527370870442243E-2</v>
      </c>
      <c r="BB11" s="4">
        <f t="shared" si="1"/>
        <v>0</v>
      </c>
      <c r="BC11" s="4">
        <f t="shared" si="1"/>
        <v>0</v>
      </c>
      <c r="BD11" s="4">
        <f t="shared" si="1"/>
        <v>0.13879251393724937</v>
      </c>
      <c r="BE11" s="4">
        <f t="shared" si="1"/>
        <v>0</v>
      </c>
      <c r="BF11" s="4">
        <f t="shared" si="1"/>
        <v>0.13525598501129907</v>
      </c>
      <c r="BG11" s="4">
        <f t="shared" si="1"/>
        <v>0</v>
      </c>
      <c r="BH11" s="4">
        <f t="shared" si="1"/>
        <v>0</v>
      </c>
      <c r="BI11" s="4">
        <f t="shared" si="1"/>
        <v>0</v>
      </c>
      <c r="BJ11" s="4">
        <f t="shared" si="1"/>
        <v>0</v>
      </c>
      <c r="BK11" s="4">
        <f t="shared" si="1"/>
        <v>-8.8999999999999635E-3</v>
      </c>
      <c r="BL11" s="26"/>
      <c r="BM11" s="4">
        <f t="shared" ref="BM11:CP11" si="2">BM10-BM3</f>
        <v>7.6110904653259315E-4</v>
      </c>
      <c r="BN11" s="4">
        <f t="shared" si="2"/>
        <v>-1.7937903296723123E-2</v>
      </c>
      <c r="BO11" s="4">
        <f t="shared" si="2"/>
        <v>6.055200619909773E-3</v>
      </c>
      <c r="BP11" s="4">
        <f t="shared" si="2"/>
        <v>4.3740216316691199E-2</v>
      </c>
      <c r="BQ11" s="4">
        <f t="shared" si="2"/>
        <v>-8.962863547030181E-2</v>
      </c>
      <c r="BR11" s="4">
        <f t="shared" si="2"/>
        <v>3.9180531269915608E-3</v>
      </c>
      <c r="BS11" s="4">
        <f t="shared" si="2"/>
        <v>0.25775349172274692</v>
      </c>
      <c r="BT11" s="4">
        <f t="shared" si="2"/>
        <v>0.3637564762114216</v>
      </c>
      <c r="BU11" s="4">
        <f t="shared" si="2"/>
        <v>-7.7291623293666234E-2</v>
      </c>
      <c r="BV11" s="4">
        <f t="shared" si="2"/>
        <v>1.0532703657012588E-2</v>
      </c>
      <c r="BW11" s="4">
        <f t="shared" si="2"/>
        <v>-1.0193538884545439E-2</v>
      </c>
      <c r="BX11" s="4">
        <f t="shared" si="2"/>
        <v>0</v>
      </c>
      <c r="BY11" s="4">
        <f t="shared" si="2"/>
        <v>0</v>
      </c>
      <c r="BZ11" s="4">
        <f t="shared" si="2"/>
        <v>0</v>
      </c>
      <c r="CA11" s="4">
        <f t="shared" si="2"/>
        <v>0</v>
      </c>
      <c r="CB11" s="4">
        <f t="shared" si="2"/>
        <v>0</v>
      </c>
      <c r="CC11" s="4">
        <f t="shared" si="2"/>
        <v>0</v>
      </c>
      <c r="CD11" s="4">
        <f t="shared" si="2"/>
        <v>-8.3993334124610741E-3</v>
      </c>
      <c r="CE11" s="4">
        <f t="shared" si="2"/>
        <v>-1.1103698515927907E-2</v>
      </c>
      <c r="CF11" s="4">
        <f t="shared" si="2"/>
        <v>2.412308286722914E-2</v>
      </c>
      <c r="CG11" s="4">
        <f t="shared" si="2"/>
        <v>0</v>
      </c>
      <c r="CH11" s="4">
        <f t="shared" si="2"/>
        <v>0.23806234542897775</v>
      </c>
      <c r="CI11" s="4">
        <f t="shared" si="2"/>
        <v>0</v>
      </c>
      <c r="CJ11" s="4">
        <f t="shared" si="2"/>
        <v>0.40255853130468722</v>
      </c>
      <c r="CK11" s="4">
        <f t="shared" si="2"/>
        <v>0</v>
      </c>
      <c r="CL11" s="4">
        <f t="shared" si="2"/>
        <v>0</v>
      </c>
      <c r="CM11" s="4">
        <f t="shared" si="2"/>
        <v>0</v>
      </c>
      <c r="CN11" s="4">
        <f t="shared" si="2"/>
        <v>0</v>
      </c>
      <c r="CO11" s="4">
        <f t="shared" si="2"/>
        <v>-0.69540000000000002</v>
      </c>
      <c r="CP11" s="30">
        <f t="shared" si="2"/>
        <v>3700</v>
      </c>
      <c r="CQ11" s="4">
        <f>Tameside1[[#This Row],[Male I]]-Tameside1[[#This Row],[Female I]]</f>
        <v>1.8699012343255716E-2</v>
      </c>
      <c r="CR11" s="4">
        <f>Tameside1[[#This Row],[NS SEC 1-2: Higher social groups I]]-Tameside1[[#This Row],[NS SEC 6-8: Lower social groups I]]</f>
        <v>-3.2522416279690214E-2</v>
      </c>
      <c r="CS11" s="4">
        <f>Tameside1[[#This Row],[No LT limiting disability I]]-Tameside1[[#This Row],[LT limiting disability I]]</f>
        <v>8.7824326950678822E-2</v>
      </c>
      <c r="CT11" s="4">
        <f>Tameside1[[#This Row],[16-34 I]]-Tameside1[[#This Row],[75+ I]]</f>
        <v>2.1371474929182122E-3</v>
      </c>
      <c r="CU11" s="64">
        <f>CU10-CU7</f>
        <v>2.3530157248539463E-2</v>
      </c>
      <c r="CV11" s="64">
        <f>CV10-CV7</f>
        <v>-3.4568494687144569E-2</v>
      </c>
      <c r="CW11" s="64">
        <f>CW10-CW7</f>
        <v>-6.0388473554111588E-3</v>
      </c>
      <c r="CX11" s="64"/>
    </row>
  </sheetData>
  <mergeCells count="3">
    <mergeCell ref="C1:AD1"/>
    <mergeCell ref="AF1:BG1"/>
    <mergeCell ref="BI1:CJ1"/>
  </mergeCells>
  <conditionalFormatting sqref="D9 D4">
    <cfRule type="containsText" dxfId="1230" priority="21" operator="containsText" text="Significant increase">
      <formula>NOT(ISERROR(SEARCH("Significant increase",D4)))</formula>
    </cfRule>
    <cfRule type="containsText" dxfId="1229" priority="22" operator="containsText" text="Significant decrease">
      <formula>NOT(ISERROR(SEARCH("Significant decrease",D4)))</formula>
    </cfRule>
  </conditionalFormatting>
  <conditionalFormatting sqref="AH9 AH4">
    <cfRule type="containsText" dxfId="1228" priority="19" operator="containsText" text="Significant increase">
      <formula>NOT(ISERROR(SEARCH("Significant increase",AH4)))</formula>
    </cfRule>
    <cfRule type="containsText" dxfId="1227" priority="20" operator="containsText" text="Significant decrease">
      <formula>NOT(ISERROR(SEARCH("Significant decrease",AH4)))</formula>
    </cfRule>
  </conditionalFormatting>
  <conditionalFormatting sqref="BL9 BL4">
    <cfRule type="containsText" dxfId="1226" priority="17" operator="containsText" text="Significant increase">
      <formula>NOT(ISERROR(SEARCH("Significant increase",BL4)))</formula>
    </cfRule>
    <cfRule type="containsText" dxfId="1225" priority="18" operator="containsText" text="Significant decrease">
      <formula>NOT(ISERROR(SEARCH("Significant decrease",BL4)))</formula>
    </cfRule>
  </conditionalFormatting>
  <conditionalFormatting sqref="CX9:CX10">
    <cfRule type="containsText" dxfId="1224" priority="15" operator="containsText" text="Significant increase">
      <formula>NOT(ISERROR(SEARCH("Significant increase",CX9)))</formula>
    </cfRule>
    <cfRule type="containsText" dxfId="1223" priority="16" operator="containsText" text="Significant decrease">
      <formula>NOT(ISERROR(SEARCH("Significant decrease",CX9)))</formula>
    </cfRule>
  </conditionalFormatting>
  <conditionalFormatting sqref="CX8">
    <cfRule type="containsText" dxfId="1222" priority="13" operator="containsText" text="Significant increase">
      <formula>NOT(ISERROR(SEARCH("Significant increase",CX8)))</formula>
    </cfRule>
    <cfRule type="containsText" dxfId="1221" priority="14" operator="containsText" text="Significant decrease">
      <formula>NOT(ISERROR(SEARCH("Significant decrease",CX8)))</formula>
    </cfRule>
  </conditionalFormatting>
  <conditionalFormatting sqref="CX7">
    <cfRule type="containsText" dxfId="1220" priority="11" operator="containsText" text="Significant increase">
      <formula>NOT(ISERROR(SEARCH("Significant increase",CX7)))</formula>
    </cfRule>
    <cfRule type="containsText" dxfId="1219" priority="12" operator="containsText" text="Significant decrease">
      <formula>NOT(ISERROR(SEARCH("Significant decrease",CX7)))</formula>
    </cfRule>
  </conditionalFormatting>
  <conditionalFormatting sqref="CX6">
    <cfRule type="containsText" dxfId="1218" priority="9" operator="containsText" text="Significant increase">
      <formula>NOT(ISERROR(SEARCH("Significant increase",CX6)))</formula>
    </cfRule>
    <cfRule type="containsText" dxfId="1217" priority="10" operator="containsText" text="Significant decrease">
      <formula>NOT(ISERROR(SEARCH("Significant decrease",CX6)))</formula>
    </cfRule>
  </conditionalFormatting>
  <conditionalFormatting sqref="CX4">
    <cfRule type="containsText" dxfId="1216" priority="7" operator="containsText" text="Significant increase">
      <formula>NOT(ISERROR(SEARCH("Significant increase",CX4)))</formula>
    </cfRule>
    <cfRule type="containsText" dxfId="1215" priority="8" operator="containsText" text="Significant decrease">
      <formula>NOT(ISERROR(SEARCH("Significant decrease",CX4)))</formula>
    </cfRule>
  </conditionalFormatting>
  <conditionalFormatting sqref="D10">
    <cfRule type="containsText" dxfId="1214" priority="5" operator="containsText" text="Significant increase">
      <formula>NOT(ISERROR(SEARCH("Significant increase",D10)))</formula>
    </cfRule>
    <cfRule type="containsText" dxfId="1213" priority="6" operator="containsText" text="Significant decrease">
      <formula>NOT(ISERROR(SEARCH("Significant decrease",D10)))</formula>
    </cfRule>
  </conditionalFormatting>
  <conditionalFormatting sqref="AH10">
    <cfRule type="containsText" dxfId="1212" priority="3" operator="containsText" text="Significant increase">
      <formula>NOT(ISERROR(SEARCH("Significant increase",AH10)))</formula>
    </cfRule>
    <cfRule type="containsText" dxfId="1211" priority="4" operator="containsText" text="Significant decrease">
      <formula>NOT(ISERROR(SEARCH("Significant decrease",AH10)))</formula>
    </cfRule>
  </conditionalFormatting>
  <conditionalFormatting sqref="BL10">
    <cfRule type="containsText" dxfId="1210" priority="1" operator="containsText" text="Significant increase">
      <formula>NOT(ISERROR(SEARCH("Significant increase",BL10)))</formula>
    </cfRule>
    <cfRule type="containsText" dxfId="1209"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CX11"/>
  <sheetViews>
    <sheetView zoomScale="102" zoomScaleNormal="102" workbookViewId="0">
      <pane xSplit="2" ySplit="2" topLeftCell="BL3" activePane="bottomRight" state="frozen"/>
      <selection pane="topRight" activeCell="C1" sqref="C1"/>
      <selection pane="bottomLeft" activeCell="A3" sqref="A3"/>
      <selection pane="bottomRight" activeCell="L32" sqref="L32"/>
    </sheetView>
  </sheetViews>
  <sheetFormatPr defaultColWidth="8.69921875" defaultRowHeight="14.25" x14ac:dyDescent="0.2"/>
  <cols>
    <col min="1" max="1" width="11.69921875" style="4" customWidth="1"/>
    <col min="2" max="2" width="23.5" style="4" customWidth="1"/>
    <col min="3" max="10" width="8.69921875" style="4" customWidth="1"/>
    <col min="11" max="11" width="18.296875" style="4" customWidth="1"/>
    <col min="12" max="12" width="21" style="4" customWidth="1"/>
    <col min="13" max="13" width="12.796875" style="4" customWidth="1"/>
    <col min="14" max="14" width="12.19921875" style="4" customWidth="1"/>
    <col min="15" max="15" width="12.09765625" style="4" customWidth="1"/>
    <col min="16" max="16" width="8.69921875" style="4" customWidth="1"/>
    <col min="17" max="17" width="9.296875" style="4" customWidth="1"/>
    <col min="18" max="18" width="8.69921875" style="4" customWidth="1"/>
    <col min="19" max="19" width="17.69921875" style="4" customWidth="1"/>
    <col min="20" max="21" width="29" style="4" customWidth="1"/>
    <col min="22" max="22" width="28.5" style="4" customWidth="1"/>
    <col min="23" max="23" width="26.296875" style="4" customWidth="1"/>
    <col min="24" max="24" width="21.5" style="4" customWidth="1"/>
    <col min="25" max="25" width="12.5" style="4" customWidth="1"/>
    <col min="26" max="26" width="19" style="4" customWidth="1"/>
    <col min="27" max="27" width="35.69921875" style="4" customWidth="1"/>
    <col min="28" max="28" width="33.796875" style="4" customWidth="1"/>
    <col min="29" max="29" width="21.296875" style="4" customWidth="1"/>
    <col min="30" max="30" width="19.19921875" style="4" customWidth="1"/>
    <col min="31" max="31" width="28.296875" style="4" customWidth="1"/>
    <col min="32" max="32" width="8.69921875" style="4" customWidth="1"/>
    <col min="33" max="33" width="9.296875" style="4" customWidth="1"/>
    <col min="34" max="39" width="8.69921875" style="4" customWidth="1"/>
    <col min="40" max="40" width="20.09765625" style="4" customWidth="1"/>
    <col min="41" max="41" width="22.69921875" style="4" customWidth="1"/>
    <col min="42" max="42" width="14.59765625" style="4" customWidth="1"/>
    <col min="43" max="43" width="14" style="4" customWidth="1"/>
    <col min="44" max="44" width="13.796875" style="4" customWidth="1"/>
    <col min="45" max="45" width="8.796875" style="4" customWidth="1"/>
    <col min="46" max="46" width="11.09765625" style="4" customWidth="1"/>
    <col min="47" max="47" width="9.296875" style="4" customWidth="1"/>
    <col min="48" max="48" width="19.5" style="4" customWidth="1"/>
    <col min="49" max="50" width="30.69921875" style="4" customWidth="1"/>
    <col min="51" max="51" width="30.296875" style="4" customWidth="1"/>
    <col min="52" max="52" width="28.09765625" style="4" customWidth="1"/>
    <col min="53" max="53" width="23.296875" style="4" customWidth="1"/>
    <col min="54" max="54" width="14.296875" style="4" customWidth="1"/>
    <col min="55" max="55" width="20.69921875" style="4" customWidth="1"/>
    <col min="56" max="56" width="37.5" style="4" customWidth="1"/>
    <col min="57" max="57" width="35.59765625" style="4" customWidth="1"/>
    <col min="58" max="58" width="23.09765625" style="4" customWidth="1"/>
    <col min="59" max="59" width="21" style="4" customWidth="1"/>
    <col min="60" max="60" width="24.796875" style="4" customWidth="1"/>
    <col min="61" max="61" width="8.69921875" style="4" customWidth="1"/>
    <col min="62" max="62" width="10.19921875" style="4" customWidth="1"/>
    <col min="63" max="68" width="8.69921875" style="4" customWidth="1"/>
    <col min="69" max="69" width="20.09765625" style="4" customWidth="1"/>
    <col min="70" max="70" width="22.69921875" style="4" customWidth="1"/>
    <col min="71" max="71" width="14.59765625" style="4" customWidth="1"/>
    <col min="72" max="72" width="14" style="4" customWidth="1"/>
    <col min="73" max="73" width="13.796875" style="4" customWidth="1"/>
    <col min="74" max="74" width="8.796875" style="4" customWidth="1"/>
    <col min="75" max="75" width="11.09765625" style="4" customWidth="1"/>
    <col min="76" max="76" width="9.296875" style="4" customWidth="1"/>
    <col min="77" max="77" width="19.5" style="4" customWidth="1"/>
    <col min="78" max="79" width="30.69921875" style="4" customWidth="1"/>
    <col min="80" max="80" width="30.296875" style="4" customWidth="1"/>
    <col min="81" max="81" width="28.09765625" style="4" customWidth="1"/>
    <col min="82" max="82" width="23.296875" style="4" customWidth="1"/>
    <col min="83" max="83" width="14.296875" style="4" customWidth="1"/>
    <col min="84" max="84" width="20.69921875" style="4" customWidth="1"/>
    <col min="85" max="85" width="37.5" style="4" customWidth="1"/>
    <col min="86" max="86" width="35.59765625" style="4" customWidth="1"/>
    <col min="87" max="87" width="23.09765625" style="4" customWidth="1"/>
    <col min="88" max="88" width="21" style="4" customWidth="1"/>
    <col min="89" max="93" width="8.69921875" style="4"/>
    <col min="94" max="94" width="8.69921875" style="30"/>
    <col min="95" max="16384" width="8.69921875" style="4"/>
  </cols>
  <sheetData>
    <row r="1" spans="1:102" x14ac:dyDescent="0.2">
      <c r="C1" s="230" t="s">
        <v>30</v>
      </c>
      <c r="D1" s="230"/>
      <c r="E1" s="230"/>
      <c r="F1" s="230"/>
      <c r="G1" s="230"/>
      <c r="H1" s="230"/>
      <c r="I1" s="230"/>
      <c r="J1" s="230"/>
      <c r="K1" s="230"/>
      <c r="L1" s="230"/>
      <c r="M1" s="230"/>
      <c r="N1" s="230"/>
      <c r="O1" s="230"/>
      <c r="P1" s="230"/>
      <c r="Q1" s="230"/>
      <c r="R1" s="230"/>
      <c r="S1" s="230"/>
      <c r="T1" s="230"/>
      <c r="U1" s="230"/>
      <c r="V1" s="230"/>
      <c r="W1" s="230"/>
      <c r="X1" s="230"/>
      <c r="Y1" s="230"/>
      <c r="Z1" s="230"/>
      <c r="AA1" s="230"/>
      <c r="AB1" s="230"/>
      <c r="AC1" s="230"/>
      <c r="AD1" s="230"/>
      <c r="AF1" s="230" t="s">
        <v>32</v>
      </c>
      <c r="AG1" s="230"/>
      <c r="AH1" s="230"/>
      <c r="AI1" s="230"/>
      <c r="AJ1" s="230"/>
      <c r="AK1" s="230"/>
      <c r="AL1" s="230"/>
      <c r="AM1" s="230"/>
      <c r="AN1" s="230"/>
      <c r="AO1" s="230"/>
      <c r="AP1" s="230"/>
      <c r="AQ1" s="230"/>
      <c r="AR1" s="230"/>
      <c r="AS1" s="230"/>
      <c r="AT1" s="230"/>
      <c r="AU1" s="230"/>
      <c r="AV1" s="230"/>
      <c r="AW1" s="230"/>
      <c r="AX1" s="230"/>
      <c r="AY1" s="230"/>
      <c r="AZ1" s="230"/>
      <c r="BA1" s="230"/>
      <c r="BB1" s="230"/>
      <c r="BC1" s="230"/>
      <c r="BD1" s="230"/>
      <c r="BE1" s="230"/>
      <c r="BF1" s="230"/>
      <c r="BG1" s="230"/>
      <c r="BI1" s="231" t="s">
        <v>34</v>
      </c>
      <c r="BJ1" s="231"/>
      <c r="BK1" s="231"/>
      <c r="BL1" s="231"/>
      <c r="BM1" s="231"/>
      <c r="BN1" s="231"/>
      <c r="BO1" s="231"/>
      <c r="BP1" s="231"/>
      <c r="BQ1" s="231"/>
      <c r="BR1" s="231"/>
      <c r="BS1" s="231"/>
      <c r="BT1" s="231"/>
      <c r="BU1" s="231"/>
      <c r="BV1" s="231"/>
      <c r="BW1" s="231"/>
      <c r="BX1" s="231"/>
      <c r="BY1" s="231"/>
      <c r="BZ1" s="231"/>
      <c r="CA1" s="231"/>
      <c r="CB1" s="231"/>
      <c r="CC1" s="231"/>
      <c r="CD1" s="231"/>
      <c r="CE1" s="231"/>
      <c r="CF1" s="231"/>
      <c r="CG1" s="231"/>
      <c r="CH1" s="231"/>
      <c r="CI1" s="231"/>
      <c r="CJ1" s="231"/>
    </row>
    <row r="2" spans="1:102" ht="13.9" customHeight="1" x14ac:dyDescent="0.2">
      <c r="A2" s="4" t="s">
        <v>106</v>
      </c>
      <c r="B2" s="4" t="s">
        <v>0</v>
      </c>
      <c r="C2" s="4" t="s">
        <v>29</v>
      </c>
      <c r="D2" s="26" t="s">
        <v>157</v>
      </c>
      <c r="E2" s="4" t="s">
        <v>1</v>
      </c>
      <c r="F2" s="4" t="s">
        <v>2</v>
      </c>
      <c r="G2" s="4" t="s">
        <v>3</v>
      </c>
      <c r="H2" s="4" t="s">
        <v>4</v>
      </c>
      <c r="I2" s="4" t="s">
        <v>5</v>
      </c>
      <c r="J2" s="4" t="s">
        <v>6</v>
      </c>
      <c r="K2" s="4" t="s">
        <v>7</v>
      </c>
      <c r="L2" s="4" t="s">
        <v>8</v>
      </c>
      <c r="M2" s="4" t="s">
        <v>9</v>
      </c>
      <c r="N2" s="4" t="s">
        <v>10</v>
      </c>
      <c r="O2" s="4" t="s">
        <v>11</v>
      </c>
      <c r="P2" s="4" t="s">
        <v>12</v>
      </c>
      <c r="Q2" s="4" t="s">
        <v>13</v>
      </c>
      <c r="R2" s="4" t="s">
        <v>14</v>
      </c>
      <c r="S2" s="4" t="s">
        <v>15</v>
      </c>
      <c r="T2" s="4" t="s">
        <v>16</v>
      </c>
      <c r="U2" s="4" t="s">
        <v>17</v>
      </c>
      <c r="V2" s="4" t="s">
        <v>18</v>
      </c>
      <c r="W2" s="4" t="s">
        <v>19</v>
      </c>
      <c r="X2" s="4" t="s">
        <v>20</v>
      </c>
      <c r="Y2" s="4" t="s">
        <v>21</v>
      </c>
      <c r="Z2" s="4" t="s">
        <v>22</v>
      </c>
      <c r="AA2" s="4" t="s">
        <v>23</v>
      </c>
      <c r="AB2" s="4" t="s">
        <v>24</v>
      </c>
      <c r="AC2" s="4" t="s">
        <v>25</v>
      </c>
      <c r="AD2" s="4" t="s">
        <v>26</v>
      </c>
      <c r="AE2" s="4" t="s">
        <v>27</v>
      </c>
      <c r="AF2" s="4" t="s">
        <v>28</v>
      </c>
      <c r="AG2" s="4" t="s">
        <v>31</v>
      </c>
      <c r="AH2" s="26" t="s">
        <v>158</v>
      </c>
      <c r="AI2" s="4" t="s">
        <v>43</v>
      </c>
      <c r="AJ2" s="4" t="s">
        <v>44</v>
      </c>
      <c r="AK2" s="4" t="s">
        <v>45</v>
      </c>
      <c r="AL2" s="4" t="s">
        <v>46</v>
      </c>
      <c r="AM2" s="4" t="s">
        <v>47</v>
      </c>
      <c r="AN2" s="4" t="s">
        <v>48</v>
      </c>
      <c r="AO2" s="4" t="s">
        <v>49</v>
      </c>
      <c r="AP2" s="4" t="s">
        <v>50</v>
      </c>
      <c r="AQ2" s="4" t="s">
        <v>51</v>
      </c>
      <c r="AR2" s="4" t="s">
        <v>52</v>
      </c>
      <c r="AS2" s="4" t="s">
        <v>53</v>
      </c>
      <c r="AT2" s="4" t="s">
        <v>54</v>
      </c>
      <c r="AU2" s="4" t="s">
        <v>55</v>
      </c>
      <c r="AV2" s="4" t="s">
        <v>56</v>
      </c>
      <c r="AW2" s="4" t="s">
        <v>57</v>
      </c>
      <c r="AX2" s="4" t="s">
        <v>58</v>
      </c>
      <c r="AY2" s="4" t="s">
        <v>59</v>
      </c>
      <c r="AZ2" s="4" t="s">
        <v>60</v>
      </c>
      <c r="BA2" s="4" t="s">
        <v>61</v>
      </c>
      <c r="BB2" s="4" t="s">
        <v>62</v>
      </c>
      <c r="BC2" s="4" t="s">
        <v>63</v>
      </c>
      <c r="BD2" s="4" t="s">
        <v>64</v>
      </c>
      <c r="BE2" s="4" t="s">
        <v>65</v>
      </c>
      <c r="BF2" s="4" t="s">
        <v>66</v>
      </c>
      <c r="BG2" s="4" t="s">
        <v>67</v>
      </c>
      <c r="BH2" s="4" t="s">
        <v>68</v>
      </c>
      <c r="BI2" s="4" t="s">
        <v>69</v>
      </c>
      <c r="BJ2" s="4" t="s">
        <v>70</v>
      </c>
      <c r="BK2" s="4" t="s">
        <v>33</v>
      </c>
      <c r="BL2" s="26" t="s">
        <v>159</v>
      </c>
      <c r="BM2" s="4" t="s">
        <v>71</v>
      </c>
      <c r="BN2" s="4" t="s">
        <v>72</v>
      </c>
      <c r="BO2" s="4" t="s">
        <v>73</v>
      </c>
      <c r="BP2" s="4" t="s">
        <v>74</v>
      </c>
      <c r="BQ2" s="4" t="s">
        <v>75</v>
      </c>
      <c r="BR2" s="4" t="s">
        <v>76</v>
      </c>
      <c r="BS2" s="4" t="s">
        <v>77</v>
      </c>
      <c r="BT2" s="4" t="s">
        <v>78</v>
      </c>
      <c r="BU2" s="4" t="s">
        <v>79</v>
      </c>
      <c r="BV2" s="4" t="s">
        <v>80</v>
      </c>
      <c r="BW2" s="4" t="s">
        <v>81</v>
      </c>
      <c r="BX2" s="4" t="s">
        <v>82</v>
      </c>
      <c r="BY2" s="4" t="s">
        <v>83</v>
      </c>
      <c r="BZ2" s="4" t="s">
        <v>84</v>
      </c>
      <c r="CA2" s="4" t="s">
        <v>85</v>
      </c>
      <c r="CB2" s="4" t="s">
        <v>86</v>
      </c>
      <c r="CC2" s="4" t="s">
        <v>87</v>
      </c>
      <c r="CD2" s="4" t="s">
        <v>88</v>
      </c>
      <c r="CE2" s="4" t="s">
        <v>89</v>
      </c>
      <c r="CF2" s="4" t="s">
        <v>90</v>
      </c>
      <c r="CG2" s="4" t="s">
        <v>91</v>
      </c>
      <c r="CH2" s="4" t="s">
        <v>92</v>
      </c>
      <c r="CI2" s="4" t="s">
        <v>93</v>
      </c>
      <c r="CJ2" s="4" t="s">
        <v>94</v>
      </c>
      <c r="CK2" s="4" t="s">
        <v>95</v>
      </c>
      <c r="CL2" s="4" t="s">
        <v>96</v>
      </c>
      <c r="CM2" s="4" t="s">
        <v>97</v>
      </c>
      <c r="CN2" s="4" t="s">
        <v>98</v>
      </c>
      <c r="CO2" s="4" t="s">
        <v>99</v>
      </c>
      <c r="CP2" s="30" t="s">
        <v>165</v>
      </c>
      <c r="CQ2" s="4" t="s">
        <v>102</v>
      </c>
      <c r="CR2" s="4" t="s">
        <v>103</v>
      </c>
      <c r="CS2" s="4" t="s">
        <v>104</v>
      </c>
      <c r="CT2" s="4" t="s">
        <v>105</v>
      </c>
      <c r="CU2" s="64" t="s">
        <v>207</v>
      </c>
      <c r="CV2" s="64" t="s">
        <v>208</v>
      </c>
      <c r="CW2" s="64" t="s">
        <v>209</v>
      </c>
      <c r="CX2" s="64" t="s">
        <v>301</v>
      </c>
    </row>
    <row r="3" spans="1:102" x14ac:dyDescent="0.2">
      <c r="A3" s="4" t="s">
        <v>117</v>
      </c>
      <c r="B3" s="4" t="s">
        <v>35</v>
      </c>
      <c r="C3" s="4">
        <v>0.60160000000000002</v>
      </c>
      <c r="D3" s="30">
        <v>111000</v>
      </c>
      <c r="E3" s="4">
        <v>0.65487674692125264</v>
      </c>
      <c r="F3" s="4">
        <v>0.55308644515263505</v>
      </c>
      <c r="G3" s="4">
        <v>0.66654217410976968</v>
      </c>
      <c r="H3" s="4">
        <v>0.68626177646626463</v>
      </c>
      <c r="I3" s="4">
        <v>0.54667715418362162</v>
      </c>
      <c r="J3" s="4">
        <v>0.32938707397813699</v>
      </c>
      <c r="M3" s="4">
        <v>0.38947217358086172</v>
      </c>
      <c r="N3" s="4">
        <v>0.64846659562304054</v>
      </c>
      <c r="O3" s="4">
        <v>0.61563982719369814</v>
      </c>
      <c r="V3" s="4">
        <v>0.72654885734517149</v>
      </c>
      <c r="W3" s="4">
        <v>0.53724513757993586</v>
      </c>
      <c r="X3" s="4">
        <v>0.55893794590110313</v>
      </c>
      <c r="AG3" s="4">
        <v>0.12609999999999999</v>
      </c>
      <c r="AH3" s="30">
        <v>23300</v>
      </c>
      <c r="AI3" s="4">
        <v>0.13684125102040023</v>
      </c>
      <c r="AJ3" s="4">
        <v>0.11637001547921633</v>
      </c>
      <c r="AL3" s="4">
        <v>0.1392805836508007</v>
      </c>
      <c r="AM3" s="4">
        <v>0.14073764107179154</v>
      </c>
      <c r="AR3" s="4">
        <v>0.12752463797181121</v>
      </c>
      <c r="AS3" s="4">
        <v>0.12155870606147764</v>
      </c>
      <c r="AZ3" s="4">
        <v>0.11194612885179589</v>
      </c>
      <c r="BK3" s="4">
        <v>0.27229999999999999</v>
      </c>
      <c r="BL3" s="30">
        <v>50300</v>
      </c>
      <c r="BM3" s="4">
        <v>0.20828200205834657</v>
      </c>
      <c r="BN3" s="4">
        <v>0.33054353936814906</v>
      </c>
      <c r="BO3" s="4">
        <v>0.24335322625500289</v>
      </c>
      <c r="BP3" s="4">
        <v>0.17445763988293503</v>
      </c>
      <c r="BQ3" s="4">
        <v>0.3125852047445874</v>
      </c>
      <c r="BR3" s="4">
        <v>0.52889890982941368</v>
      </c>
      <c r="BU3" s="4">
        <v>0.48842181502080884</v>
      </c>
      <c r="BV3" s="4">
        <v>0.22400876640514739</v>
      </c>
      <c r="BW3" s="4">
        <v>0.26280146674482341</v>
      </c>
      <c r="CD3" s="4">
        <v>0.16150501380303195</v>
      </c>
      <c r="CE3" s="4">
        <v>0.32882437335999376</v>
      </c>
      <c r="CO3" s="4">
        <f t="shared" ref="CO3:CO9" si="0">SUM(C3,AG3)</f>
        <v>0.72770000000000001</v>
      </c>
      <c r="CP3" s="30">
        <f>Trafford1[[#This Row],[Active - Numbers]]+Trafford1[[#This Row],[Fairly Active - Numbers]]</f>
        <v>134300</v>
      </c>
      <c r="CQ3" s="4">
        <f>Trafford1[[#This Row],[Male I]]-Trafford1[[#This Row],[Female I]]</f>
        <v>-0.12226153730980249</v>
      </c>
      <c r="CR3" s="4">
        <f>Trafford1[[#This Row],[NS SEC 1-2: Higher social groups I]]-Trafford1[[#This Row],[NS SEC 6-8: Lower social groups I]]</f>
        <v>0.16150501380303195</v>
      </c>
      <c r="CS3" s="4">
        <f>Trafford1[[#This Row],[No LT limiting disability I]]-Trafford1[[#This Row],[LT limiting disability I]]</f>
        <v>-0.26441304861566145</v>
      </c>
      <c r="CT3" s="4">
        <f>Trafford1[[#This Row],[16-34 I]]-Trafford1[[#This Row],[75+ I]]</f>
        <v>-0.28554568357441079</v>
      </c>
      <c r="CU3" s="64"/>
      <c r="CV3" s="64"/>
      <c r="CW3" s="64"/>
      <c r="CX3" s="64"/>
    </row>
    <row r="4" spans="1:102" x14ac:dyDescent="0.2">
      <c r="A4" s="4" t="s">
        <v>117</v>
      </c>
      <c r="B4" s="4" t="s">
        <v>36</v>
      </c>
      <c r="C4" s="44">
        <v>0.64300000000000002</v>
      </c>
      <c r="D4" s="30">
        <v>118900</v>
      </c>
      <c r="E4" s="4">
        <v>0.71109604802841941</v>
      </c>
      <c r="F4" s="4">
        <v>0.56769991469065739</v>
      </c>
      <c r="G4" s="4">
        <v>0.71582881389354125</v>
      </c>
      <c r="H4" s="4">
        <v>0.70881345022280695</v>
      </c>
      <c r="I4" s="4">
        <v>0.57089100424679129</v>
      </c>
      <c r="J4" s="4">
        <v>0.3788277892304493</v>
      </c>
      <c r="M4" s="4">
        <v>0.32691608580836812</v>
      </c>
      <c r="N4" s="4">
        <v>0.69489218486827742</v>
      </c>
      <c r="O4" s="4">
        <v>0.64679057602316836</v>
      </c>
      <c r="P4" s="4">
        <v>0.64464527316370546</v>
      </c>
      <c r="Q4" s="4">
        <v>0.622196025973206</v>
      </c>
      <c r="V4" s="4">
        <v>0.73523357959494873</v>
      </c>
      <c r="W4" s="4">
        <v>0.58465945273067976</v>
      </c>
      <c r="X4" s="4">
        <v>0.58680973286167792</v>
      </c>
      <c r="AG4" s="44">
        <v>0.1144</v>
      </c>
      <c r="AH4" s="30">
        <v>21200</v>
      </c>
      <c r="AI4" s="4">
        <v>0.10853488419373597</v>
      </c>
      <c r="AJ4" s="4">
        <v>0.13557436100493314</v>
      </c>
      <c r="AL4" s="4">
        <v>0.1305444876087048</v>
      </c>
      <c r="AM4" s="4">
        <v>0.12582304061795635</v>
      </c>
      <c r="AR4" s="4">
        <v>0.11566024323519279</v>
      </c>
      <c r="AS4" s="4">
        <v>0.1201586030388327</v>
      </c>
      <c r="AZ4" s="4">
        <v>0.10777716149454329</v>
      </c>
      <c r="BK4" s="4">
        <v>0.24256358125472313</v>
      </c>
      <c r="BL4" s="30">
        <v>44900</v>
      </c>
      <c r="BM4" s="4">
        <v>0.18036906777784434</v>
      </c>
      <c r="BN4" s="4">
        <v>0.29672572430441002</v>
      </c>
      <c r="BO4" s="4">
        <v>0.2009025002767546</v>
      </c>
      <c r="BP4" s="4">
        <v>0.16064206216848828</v>
      </c>
      <c r="BQ4" s="4">
        <v>0.30328595513525253</v>
      </c>
      <c r="BR4" s="4">
        <v>0.42828417721976514</v>
      </c>
      <c r="BU4" s="4">
        <v>0.49720496500297529</v>
      </c>
      <c r="BV4" s="4">
        <v>0.18944757189652914</v>
      </c>
      <c r="BW4" s="4">
        <v>0.23305082093799931</v>
      </c>
      <c r="CD4" s="4">
        <v>0.15698925891050866</v>
      </c>
      <c r="CE4" s="4">
        <v>0.30387340822745224</v>
      </c>
      <c r="CO4" s="4">
        <f t="shared" si="0"/>
        <v>0.75740000000000007</v>
      </c>
      <c r="CP4" s="30">
        <f>Trafford1[[#This Row],[Active - Numbers]]+Trafford1[[#This Row],[Fairly Active - Numbers]]</f>
        <v>140100</v>
      </c>
      <c r="CQ4" s="4">
        <f>Trafford1[[#This Row],[Male I]]-Trafford1[[#This Row],[Female I]]</f>
        <v>-0.11635665652656568</v>
      </c>
      <c r="CR4" s="4">
        <f>Trafford1[[#This Row],[NS SEC 1-2: Higher social groups I]]-Trafford1[[#This Row],[NS SEC 6-8: Lower social groups I]]</f>
        <v>0.15698925891050866</v>
      </c>
      <c r="CS4" s="4">
        <f>Trafford1[[#This Row],[No LT limiting disability I]]-Trafford1[[#This Row],[LT limiting disability I]]</f>
        <v>-0.30775739310644612</v>
      </c>
      <c r="CT4" s="4">
        <f>Trafford1[[#This Row],[16-34 I]]-Trafford1[[#This Row],[75+ I]]</f>
        <v>-0.22738167694301054</v>
      </c>
      <c r="CU4" s="64"/>
      <c r="CV4" s="64"/>
      <c r="CW4" s="64"/>
      <c r="CX4" s="150">
        <v>0.1527</v>
      </c>
    </row>
    <row r="5" spans="1:102" x14ac:dyDescent="0.2">
      <c r="A5" s="4" t="s">
        <v>117</v>
      </c>
      <c r="B5" s="4" t="s">
        <v>37</v>
      </c>
      <c r="C5" s="4">
        <v>0.6462</v>
      </c>
      <c r="D5" s="30">
        <v>119800</v>
      </c>
      <c r="E5" s="4">
        <v>0.6942758124388374</v>
      </c>
      <c r="F5" s="4">
        <v>0.6013426026583939</v>
      </c>
      <c r="G5" s="4">
        <v>0.78999703149957856</v>
      </c>
      <c r="H5" s="4">
        <v>0.67615634318663087</v>
      </c>
      <c r="I5" s="4">
        <v>0.61120513035385815</v>
      </c>
      <c r="M5" s="4">
        <v>0.40311574930101146</v>
      </c>
      <c r="N5" s="4">
        <v>0.70350486857223959</v>
      </c>
      <c r="O5" s="4">
        <v>0.65163266008881493</v>
      </c>
      <c r="P5" s="4">
        <v>0.7734390452195794</v>
      </c>
      <c r="Q5" s="4">
        <v>0.617486262091827</v>
      </c>
      <c r="V5" s="4">
        <v>0.72922259945437196</v>
      </c>
      <c r="W5" s="4">
        <v>0.59699936838317602</v>
      </c>
      <c r="X5" s="4">
        <v>0.60864854995923379</v>
      </c>
      <c r="AG5" s="4">
        <v>0.1101</v>
      </c>
      <c r="AH5" s="30">
        <v>20400</v>
      </c>
      <c r="AI5" s="4">
        <v>8.2455926347076242E-2</v>
      </c>
      <c r="AJ5" s="4">
        <v>0.13588413030032398</v>
      </c>
      <c r="AL5" s="4">
        <v>0.11762079890564651</v>
      </c>
      <c r="AM5" s="4">
        <v>0.11925924670095643</v>
      </c>
      <c r="AR5" s="4">
        <v>0.10959108795914091</v>
      </c>
      <c r="AS5" s="4">
        <v>0.11931340315994372</v>
      </c>
      <c r="AZ5" s="4">
        <v>8.8081263616236194E-2</v>
      </c>
      <c r="BK5" s="4">
        <v>0.2437</v>
      </c>
      <c r="BL5" s="30">
        <v>45200</v>
      </c>
      <c r="BM5" s="4">
        <v>0.22326826121408683</v>
      </c>
      <c r="BN5" s="4">
        <v>0.26277326704128151</v>
      </c>
      <c r="BO5" s="4">
        <v>0.14117725944520509</v>
      </c>
      <c r="BP5" s="4">
        <v>0.20622285790772257</v>
      </c>
      <c r="BQ5" s="4">
        <v>0.26953562294518568</v>
      </c>
      <c r="BR5" s="4">
        <v>0.52583902817398254</v>
      </c>
      <c r="BU5" s="4">
        <v>0.46096748207608312</v>
      </c>
      <c r="BV5" s="4">
        <v>0.18690404346861825</v>
      </c>
      <c r="BW5" s="4">
        <v>0.22905393675124067</v>
      </c>
      <c r="CD5" s="4">
        <v>0.18269613692939124</v>
      </c>
      <c r="CE5" s="4">
        <v>0.27353836270070747</v>
      </c>
      <c r="CF5" s="4">
        <v>0.24604857872441996</v>
      </c>
      <c r="CO5" s="4">
        <f t="shared" si="0"/>
        <v>0.75629999999999997</v>
      </c>
      <c r="CP5" s="30">
        <f>Trafford1[[#This Row],[Active - Numbers]]+Trafford1[[#This Row],[Fairly Active - Numbers]]</f>
        <v>140200</v>
      </c>
      <c r="CQ5" s="4">
        <f>Trafford1[[#This Row],[Male I]]-Trafford1[[#This Row],[Female I]]</f>
        <v>-3.9505005827194684E-2</v>
      </c>
      <c r="CR5" s="4">
        <f>Trafford1[[#This Row],[NS SEC 1-2: Higher social groups I]]-Trafford1[[#This Row],[NS SEC 6-8: Lower social groups I]]</f>
        <v>-6.3352441795028719E-2</v>
      </c>
      <c r="CS5" s="4">
        <f>Trafford1[[#This Row],[No LT limiting disability I]]-Trafford1[[#This Row],[LT limiting disability I]]</f>
        <v>-0.27406343860746485</v>
      </c>
      <c r="CT5" s="4">
        <f>Trafford1[[#This Row],[16-34 I]]-Trafford1[[#This Row],[75+ I]]</f>
        <v>-0.38466176872877744</v>
      </c>
      <c r="CU5" s="64"/>
      <c r="CV5" s="64"/>
      <c r="CW5" s="64"/>
      <c r="CX5" s="154">
        <v>0.1648</v>
      </c>
    </row>
    <row r="6" spans="1:102" x14ac:dyDescent="0.2">
      <c r="A6" s="4" t="s">
        <v>117</v>
      </c>
      <c r="B6" s="4" t="s">
        <v>38</v>
      </c>
      <c r="C6" s="4">
        <v>0.60451370986298181</v>
      </c>
      <c r="D6" s="30">
        <v>112100</v>
      </c>
      <c r="E6" s="4">
        <v>0.62363986201460309</v>
      </c>
      <c r="F6" s="4">
        <v>0.59032277236047581</v>
      </c>
      <c r="G6" s="4">
        <v>0.73776836957059844</v>
      </c>
      <c r="H6" s="4">
        <v>0.59322979801379727</v>
      </c>
      <c r="I6" s="4">
        <v>0.64252064658159103</v>
      </c>
      <c r="M6" s="4">
        <v>0.36307125785496824</v>
      </c>
      <c r="N6" s="4">
        <v>0.65760636326132471</v>
      </c>
      <c r="O6" s="4">
        <v>0.59384296581420759</v>
      </c>
      <c r="Q6" s="4">
        <v>0.67172932882687708</v>
      </c>
      <c r="V6" s="4">
        <v>0.72532112305029028</v>
      </c>
      <c r="W6" s="4">
        <v>0.52746021998752057</v>
      </c>
      <c r="X6" s="4">
        <v>0.43371961301464856</v>
      </c>
      <c r="AG6" s="4">
        <v>0.13685452698529904</v>
      </c>
      <c r="AH6" s="30">
        <v>25400</v>
      </c>
      <c r="AI6" s="4">
        <v>0.11680234352129509</v>
      </c>
      <c r="AJ6" s="4">
        <v>0.15552407030987137</v>
      </c>
      <c r="AL6" s="4">
        <v>0.12832294028567781</v>
      </c>
      <c r="AM6" s="4">
        <v>0.14977217099503928</v>
      </c>
      <c r="AR6" s="4">
        <v>0.13822662401256713</v>
      </c>
      <c r="AS6" s="4">
        <v>0.14952683753818674</v>
      </c>
      <c r="AZ6" s="4">
        <v>0.10983651303068427</v>
      </c>
      <c r="BA6" s="4">
        <v>0.17562502099419622</v>
      </c>
      <c r="BB6" s="4">
        <v>0.15359178688490721</v>
      </c>
      <c r="BK6" s="4">
        <v>0.2586317631517181</v>
      </c>
      <c r="BL6" s="30">
        <v>48000</v>
      </c>
      <c r="BM6" s="4">
        <v>0.25955779446410215</v>
      </c>
      <c r="BN6" s="4">
        <v>0.25415315732965338</v>
      </c>
      <c r="BP6" s="4">
        <v>0.27844726170052542</v>
      </c>
      <c r="BQ6" s="4">
        <v>0.20770718242336861</v>
      </c>
      <c r="BR6" s="4">
        <v>0.60871024358015657</v>
      </c>
      <c r="BU6" s="4">
        <v>0.48505267032290439</v>
      </c>
      <c r="BV6" s="4">
        <v>0.20416701272610754</v>
      </c>
      <c r="BW6" s="4">
        <v>0.25663019664760472</v>
      </c>
      <c r="CD6" s="4">
        <v>0.16484236391902518</v>
      </c>
      <c r="CE6" s="4">
        <v>0.29691475901828313</v>
      </c>
      <c r="CF6" s="4">
        <v>0.41268860010044406</v>
      </c>
      <c r="CO6" s="4">
        <f t="shared" si="0"/>
        <v>0.74136823684828079</v>
      </c>
      <c r="CP6" s="30">
        <f>Trafford1[[#This Row],[Active - Numbers]]+Trafford1[[#This Row],[Fairly Active - Numbers]]</f>
        <v>137500</v>
      </c>
      <c r="CQ6" s="4">
        <f>Trafford1[[#This Row],[Male I]]-Trafford1[[#This Row],[Female I]]</f>
        <v>5.4046371344487754E-3</v>
      </c>
      <c r="CR6" s="4">
        <f>Trafford1[[#This Row],[NS SEC 1-2: Higher social groups I]]-Trafford1[[#This Row],[NS SEC 6-8: Lower social groups I]]</f>
        <v>-0.24784623618141888</v>
      </c>
      <c r="CS6" s="4">
        <f>Trafford1[[#This Row],[No LT limiting disability I]]-Trafford1[[#This Row],[LT limiting disability I]]</f>
        <v>-0.28088565759679684</v>
      </c>
      <c r="CT6" s="4">
        <f>Trafford1[[#This Row],[16-34 I]]-Trafford1[[#This Row],[75+ I]]</f>
        <v>-0.60871024358015657</v>
      </c>
      <c r="CU6" s="64"/>
      <c r="CV6" s="64"/>
      <c r="CW6" s="64"/>
      <c r="CX6" s="150">
        <v>0.1414</v>
      </c>
    </row>
    <row r="7" spans="1:102" x14ac:dyDescent="0.2">
      <c r="A7" s="4" t="s">
        <v>117</v>
      </c>
      <c r="B7" s="4" t="s">
        <v>39</v>
      </c>
      <c r="C7" s="45">
        <v>0.64070000000000005</v>
      </c>
      <c r="D7" s="30">
        <v>118800</v>
      </c>
      <c r="E7" s="4">
        <v>0.65478937931007419</v>
      </c>
      <c r="F7" s="4">
        <v>0.62857534769409484</v>
      </c>
      <c r="G7" s="4">
        <v>0.72861974220045223</v>
      </c>
      <c r="H7" s="4">
        <v>0.65561278437403303</v>
      </c>
      <c r="I7" s="4">
        <v>0.65363602524454023</v>
      </c>
      <c r="K7" s="4">
        <v>0.68995886549607022</v>
      </c>
      <c r="L7" s="4">
        <v>0.54973809155614239</v>
      </c>
      <c r="M7" s="4">
        <v>0.39758750474712068</v>
      </c>
      <c r="N7" s="4">
        <v>0.67990566247143291</v>
      </c>
      <c r="O7" s="4">
        <v>0.64187704929854661</v>
      </c>
      <c r="P7" s="4">
        <v>0.69408631760154615</v>
      </c>
      <c r="Q7" s="4">
        <v>0.58371786477730891</v>
      </c>
      <c r="V7" s="4">
        <v>0.74540869839948209</v>
      </c>
      <c r="W7" s="4">
        <v>0.60763160252918658</v>
      </c>
      <c r="X7" s="4">
        <v>0.49922995731657577</v>
      </c>
      <c r="Y7" s="4">
        <v>0.71383960549097669</v>
      </c>
      <c r="AG7" s="4">
        <v>0.13133148737804703</v>
      </c>
      <c r="AH7" s="30">
        <v>24400</v>
      </c>
      <c r="AI7" s="4">
        <v>0.1247407313269127</v>
      </c>
      <c r="AJ7" s="4">
        <v>0.13801163233789215</v>
      </c>
      <c r="AL7" s="4">
        <v>0.14173138265628787</v>
      </c>
      <c r="AM7" s="4">
        <v>0.12625010077103563</v>
      </c>
      <c r="AO7" s="4">
        <v>0.13650405206446925</v>
      </c>
      <c r="AP7" s="4">
        <v>0.12485813801461515</v>
      </c>
      <c r="AQ7" s="4">
        <v>8.8130261171615529E-2</v>
      </c>
      <c r="AR7" s="4">
        <v>0.14139020060469551</v>
      </c>
      <c r="AS7" s="4">
        <v>0.1292079992829343</v>
      </c>
      <c r="AZ7" s="4">
        <v>0.11200562232787348</v>
      </c>
      <c r="BA7" s="4">
        <v>0.17651463233905385</v>
      </c>
      <c r="BK7" s="45">
        <v>0.22800000000000001</v>
      </c>
      <c r="BL7" s="30">
        <v>42300</v>
      </c>
      <c r="BM7" s="4">
        <v>0.22046988936301337</v>
      </c>
      <c r="BN7" s="4">
        <v>0.23341301996801181</v>
      </c>
      <c r="BP7" s="4">
        <v>0.20265583296967823</v>
      </c>
      <c r="BQ7" s="4">
        <v>0.22011387398442533</v>
      </c>
      <c r="BR7" s="4">
        <v>0.59146166248500187</v>
      </c>
      <c r="BS7" s="4">
        <v>0.17353708243946059</v>
      </c>
      <c r="BT7" s="4">
        <v>0.3254037704292444</v>
      </c>
      <c r="BU7" s="4">
        <v>0.51428223408126317</v>
      </c>
      <c r="BV7" s="4">
        <v>0.17870413692387274</v>
      </c>
      <c r="BW7" s="4">
        <v>0.22891495141851967</v>
      </c>
      <c r="CD7" s="4">
        <v>0.14258567927264224</v>
      </c>
      <c r="CE7" s="4">
        <v>0.21585376513175947</v>
      </c>
      <c r="CO7" s="4">
        <f t="shared" si="0"/>
        <v>0.77203148737804705</v>
      </c>
      <c r="CP7" s="30">
        <f>Trafford1[[#This Row],[Active - Numbers]]+Trafford1[[#This Row],[Fairly Active - Numbers]]</f>
        <v>143200</v>
      </c>
      <c r="CQ7" s="4">
        <f>Trafford1[[#This Row],[Male I]]-Trafford1[[#This Row],[Female I]]</f>
        <v>-1.2943130604998437E-2</v>
      </c>
      <c r="CR7" s="4">
        <f>Trafford1[[#This Row],[NS SEC 1-2: Higher social groups I]]-Trafford1[[#This Row],[NS SEC 6-8: Lower social groups I]]</f>
        <v>0.14258567927264224</v>
      </c>
      <c r="CS7" s="4">
        <f>Trafford1[[#This Row],[No LT limiting disability I]]-Trafford1[[#This Row],[LT limiting disability I]]</f>
        <v>-0.3355780971573904</v>
      </c>
      <c r="CT7" s="4">
        <f>Trafford1[[#This Row],[16-34 I]]-Trafford1[[#This Row],[75+ I]]</f>
        <v>-0.59146166248500187</v>
      </c>
      <c r="CU7" s="64">
        <v>0.39796431651446107</v>
      </c>
      <c r="CV7" s="64">
        <v>0.34292158005444567</v>
      </c>
      <c r="CW7" s="64">
        <v>0.56400418430195076</v>
      </c>
      <c r="CX7" s="150">
        <v>0.152</v>
      </c>
    </row>
    <row r="8" spans="1:102" x14ac:dyDescent="0.2">
      <c r="A8" s="4" t="s">
        <v>117</v>
      </c>
      <c r="B8" s="4" t="s">
        <v>40</v>
      </c>
      <c r="C8" s="4">
        <v>0.65790000000000004</v>
      </c>
      <c r="D8" s="30">
        <v>122300</v>
      </c>
      <c r="E8" s="4">
        <v>0.67379999999999995</v>
      </c>
      <c r="F8" s="4">
        <v>0.64380000000000004</v>
      </c>
      <c r="G8" s="4">
        <v>0.71909999999999996</v>
      </c>
      <c r="H8" s="4">
        <v>0.70540000000000003</v>
      </c>
      <c r="I8" s="4">
        <v>0.64300000000000002</v>
      </c>
      <c r="J8" s="4">
        <v>0.33410000000000001</v>
      </c>
      <c r="K8" s="4">
        <v>0.71150000000000002</v>
      </c>
      <c r="L8" s="4">
        <v>0.55249999999999999</v>
      </c>
      <c r="M8" s="4">
        <v>0.44309999999999999</v>
      </c>
      <c r="N8" s="4">
        <v>0.69479999999999997</v>
      </c>
      <c r="O8" s="4">
        <v>0.67669999999999997</v>
      </c>
      <c r="P8" s="4">
        <v>0.64539999999999997</v>
      </c>
      <c r="Q8" s="4">
        <v>0.54249999999999998</v>
      </c>
      <c r="V8" s="4">
        <v>0.70750000000000002</v>
      </c>
      <c r="W8" s="4">
        <v>0.69330000000000003</v>
      </c>
      <c r="X8" s="4">
        <v>0.69830000000000003</v>
      </c>
      <c r="Y8" s="4">
        <v>0.64270000000000005</v>
      </c>
      <c r="Z8" s="4">
        <v>0.70889999999999997</v>
      </c>
      <c r="AB8" s="4">
        <v>0.55000000000000004</v>
      </c>
      <c r="AG8" s="4">
        <v>0.11219999999999999</v>
      </c>
      <c r="AH8" s="30">
        <v>20900</v>
      </c>
      <c r="AI8" s="4">
        <v>0.1036</v>
      </c>
      <c r="AJ8" s="4">
        <v>0.1206</v>
      </c>
      <c r="AL8" s="4">
        <v>0.1191</v>
      </c>
      <c r="AM8" s="4">
        <v>0.13950000000000001</v>
      </c>
      <c r="AO8" s="4">
        <v>0.111</v>
      </c>
      <c r="AP8" s="4">
        <v>0.1164</v>
      </c>
      <c r="AR8" s="4">
        <v>0.1176</v>
      </c>
      <c r="AS8" s="4">
        <v>0.1104</v>
      </c>
      <c r="AZ8" s="4">
        <v>0.1246</v>
      </c>
      <c r="BA8" s="4">
        <v>0.14269999999999999</v>
      </c>
      <c r="BD8" s="4">
        <v>0.1258</v>
      </c>
      <c r="BK8" s="4">
        <v>0.2298</v>
      </c>
      <c r="BL8" s="30">
        <v>42700</v>
      </c>
      <c r="BM8" s="4">
        <v>0.22259999999999999</v>
      </c>
      <c r="BN8" s="4">
        <v>0.23569999999999999</v>
      </c>
      <c r="BO8" s="4">
        <v>0.18</v>
      </c>
      <c r="BP8" s="4">
        <v>0.17560000000000001</v>
      </c>
      <c r="BQ8" s="4">
        <v>0.2175</v>
      </c>
      <c r="BR8" s="4">
        <v>0.60529999999999995</v>
      </c>
      <c r="BS8" s="4">
        <v>0.17749999999999999</v>
      </c>
      <c r="BT8" s="4">
        <v>0.33110000000000001</v>
      </c>
      <c r="BU8" s="4">
        <v>0.46989999999999998</v>
      </c>
      <c r="BV8" s="4">
        <v>0.18759999999999999</v>
      </c>
      <c r="BW8" s="4">
        <v>0.21299999999999999</v>
      </c>
      <c r="CD8" s="4">
        <v>0.16800000000000001</v>
      </c>
      <c r="CE8" s="4">
        <v>0.16400000000000001</v>
      </c>
      <c r="CH8" s="4">
        <v>0.1653</v>
      </c>
      <c r="CJ8" s="4">
        <v>0.36</v>
      </c>
      <c r="CO8" s="4">
        <f t="shared" si="0"/>
        <v>0.77010000000000001</v>
      </c>
      <c r="CP8" s="30">
        <f>Trafford1[[#This Row],[Active - Numbers]]+Trafford1[[#This Row],[Fairly Active - Numbers]]</f>
        <v>143200</v>
      </c>
      <c r="CQ8" s="4">
        <f>Trafford1[[#This Row],[Male I]]-Trafford1[[#This Row],[Female I]]</f>
        <v>-1.3100000000000001E-2</v>
      </c>
      <c r="CR8" s="4">
        <f>Trafford1[[#This Row],[NS SEC 1-2: Higher social groups I]]-Trafford1[[#This Row],[NS SEC 6-8: Lower social groups I]]</f>
        <v>0.16800000000000001</v>
      </c>
      <c r="CS8" s="4">
        <f>Trafford1[[#This Row],[No LT limiting disability I]]-Trafford1[[#This Row],[LT limiting disability I]]</f>
        <v>-0.2823</v>
      </c>
      <c r="CT8" s="4">
        <f>Trafford1[[#This Row],[16-34 I]]-Trafford1[[#This Row],[75+ I]]</f>
        <v>-0.42529999999999996</v>
      </c>
      <c r="CU8" s="64">
        <v>0.435</v>
      </c>
      <c r="CV8" s="64">
        <v>0.33560000000000001</v>
      </c>
      <c r="CW8" s="64">
        <v>0.60089999999999999</v>
      </c>
      <c r="CX8" s="150">
        <v>0.17069999999999999</v>
      </c>
    </row>
    <row r="9" spans="1:102" x14ac:dyDescent="0.2">
      <c r="A9" s="4" t="s">
        <v>117</v>
      </c>
      <c r="B9" s="4" t="s">
        <v>41</v>
      </c>
      <c r="C9" s="4">
        <v>0.65993900791366966</v>
      </c>
      <c r="D9" s="30">
        <v>122700</v>
      </c>
      <c r="E9" s="4">
        <v>0.68743223291904898</v>
      </c>
      <c r="F9" s="4">
        <v>0.63899259881704196</v>
      </c>
      <c r="G9" s="4">
        <v>0.73698129016941949</v>
      </c>
      <c r="H9" s="4">
        <v>0.69241781813110959</v>
      </c>
      <c r="I9" s="4">
        <v>0.64644534729748171</v>
      </c>
      <c r="J9" s="4">
        <v>0.37508605045627536</v>
      </c>
      <c r="K9" s="4">
        <v>0.71120751044764263</v>
      </c>
      <c r="L9" s="4">
        <v>0.56423019781296757</v>
      </c>
      <c r="M9" s="4">
        <v>0.41131240435190491</v>
      </c>
      <c r="N9" s="4">
        <v>0.70439920641620413</v>
      </c>
      <c r="O9" s="4">
        <v>0.66666792950078413</v>
      </c>
      <c r="P9" s="4">
        <v>0.74921354720242506</v>
      </c>
      <c r="V9" s="4">
        <v>0.68561635335671012</v>
      </c>
      <c r="W9" s="4">
        <v>0.70514995397703129</v>
      </c>
      <c r="X9" s="4">
        <v>0.73217733650794226</v>
      </c>
      <c r="Y9" s="4">
        <v>0.66963883723175555</v>
      </c>
      <c r="Z9" s="4">
        <v>0.71308867982016533</v>
      </c>
      <c r="AB9" s="4">
        <v>0.54146786518479595</v>
      </c>
      <c r="AG9" s="4">
        <v>0.10913064156738753</v>
      </c>
      <c r="AH9" s="30">
        <v>20300</v>
      </c>
      <c r="AI9" s="4">
        <v>9.9324903988371946E-2</v>
      </c>
      <c r="AJ9" s="4">
        <v>0.11847991529800496</v>
      </c>
      <c r="AL9" s="4">
        <v>0.11253014513625229</v>
      </c>
      <c r="AM9" s="4">
        <v>0.13693612272563424</v>
      </c>
      <c r="AO9" s="4">
        <v>0.10555049429655672</v>
      </c>
      <c r="AP9" s="4">
        <v>0.11502675994101676</v>
      </c>
      <c r="AQ9" s="4">
        <v>0.14450053661775755</v>
      </c>
      <c r="AR9" s="4">
        <v>0.1066398797279394</v>
      </c>
      <c r="AS9" s="4">
        <v>0.11452236822425178</v>
      </c>
      <c r="AZ9" s="4">
        <v>0.14192996798116353</v>
      </c>
      <c r="BD9" s="4">
        <v>0.12695264450413385</v>
      </c>
      <c r="BK9" s="4">
        <v>0.23093035051894303</v>
      </c>
      <c r="BL9" s="30">
        <v>42900</v>
      </c>
      <c r="BM9" s="4">
        <v>0.21324286309257987</v>
      </c>
      <c r="BN9" s="4">
        <v>0.24252748588495224</v>
      </c>
      <c r="BP9" s="4">
        <v>0.1950520367326376</v>
      </c>
      <c r="BQ9" s="4">
        <v>0.21661852997688485</v>
      </c>
      <c r="BR9" s="4">
        <v>0.56029186281692434</v>
      </c>
      <c r="BS9" s="4">
        <v>0.18324199525580126</v>
      </c>
      <c r="BT9" s="4">
        <v>0.32074304224601602</v>
      </c>
      <c r="BU9" s="4">
        <v>0.44418705903033789</v>
      </c>
      <c r="BV9" s="4">
        <v>0.18896091385585762</v>
      </c>
      <c r="BW9" s="4">
        <v>0.21880970227496468</v>
      </c>
      <c r="CD9" s="4">
        <v>0.1724536786621268</v>
      </c>
      <c r="CE9" s="4">
        <v>0.19769708834209124</v>
      </c>
      <c r="CH9" s="4">
        <v>0.15995867567570157</v>
      </c>
      <c r="CJ9" s="4">
        <v>0.37636604387235567</v>
      </c>
      <c r="CO9" s="4">
        <f t="shared" si="0"/>
        <v>0.76906964948105716</v>
      </c>
      <c r="CP9" s="30">
        <f>Trafford1[[#This Row],[Active - Numbers]]+Trafford1[[#This Row],[Fairly Active - Numbers]]</f>
        <v>143000</v>
      </c>
      <c r="CQ9" s="4">
        <f>Trafford1[[#This Row],[Male I]]-Trafford1[[#This Row],[Female I]]</f>
        <v>-2.9284622792372372E-2</v>
      </c>
      <c r="CR9" s="4">
        <f>Trafford1[[#This Row],[NS SEC 1-2: Higher social groups I]]-Trafford1[[#This Row],[NS SEC 6-8: Lower social groups I]]</f>
        <v>0.1724536786621268</v>
      </c>
      <c r="CS9" s="4">
        <f>Trafford1[[#This Row],[No LT limiting disability I]]-Trafford1[[#This Row],[LT limiting disability I]]</f>
        <v>-0.25522614517448028</v>
      </c>
      <c r="CT9" s="4">
        <f>Trafford1[[#This Row],[16-34 I]]-Trafford1[[#This Row],[75+ I]]</f>
        <v>-0.56029186281692434</v>
      </c>
      <c r="CU9" s="173">
        <v>0.45104743897048311</v>
      </c>
      <c r="CV9" s="173">
        <v>0.33863119704511713</v>
      </c>
      <c r="CW9" s="173">
        <v>0.62288761035542639</v>
      </c>
      <c r="CX9" s="150">
        <v>0.12280000000000001</v>
      </c>
    </row>
    <row r="10" spans="1:102" s="156" customFormat="1" x14ac:dyDescent="0.2">
      <c r="A10" s="156" t="s">
        <v>117</v>
      </c>
      <c r="B10" s="156" t="s">
        <v>155</v>
      </c>
      <c r="C10" s="64">
        <v>0.67110000000000003</v>
      </c>
      <c r="D10" s="30">
        <v>125300</v>
      </c>
      <c r="E10" s="170">
        <v>0.71992302768879424</v>
      </c>
      <c r="F10" s="170">
        <v>0.63146529669675522</v>
      </c>
      <c r="G10" s="170">
        <v>0.76631759266770061</v>
      </c>
      <c r="H10" s="170">
        <v>0.71196115226886225</v>
      </c>
      <c r="I10" s="170">
        <v>0.64419994051489238</v>
      </c>
      <c r="J10" s="170">
        <v>0.38694107665731059</v>
      </c>
      <c r="K10" s="170">
        <v>0.73368065495795209</v>
      </c>
      <c r="L10" s="170">
        <v>0.57296564199410971</v>
      </c>
      <c r="M10" s="170">
        <v>0.41149990630283484</v>
      </c>
      <c r="N10" s="170">
        <v>0.71040683014645878</v>
      </c>
      <c r="O10" s="170">
        <v>0.68688751838256568</v>
      </c>
      <c r="P10" s="170">
        <v>0.68242944135051575</v>
      </c>
      <c r="Q10" s="46"/>
      <c r="R10" s="46"/>
      <c r="S10" s="46"/>
      <c r="T10" s="46"/>
      <c r="U10" s="46"/>
      <c r="V10" s="170">
        <v>0.70720306920869647</v>
      </c>
      <c r="W10" s="170">
        <v>0.67380608952407361</v>
      </c>
      <c r="X10" s="170">
        <v>0.67558958149215942</v>
      </c>
      <c r="Y10" s="170">
        <v>0.79928712771779842</v>
      </c>
      <c r="Z10" s="170">
        <v>0.72446151367612144</v>
      </c>
      <c r="AA10" s="170">
        <v>0.58869624128197673</v>
      </c>
      <c r="AB10" s="170">
        <v>0.52023762569203646</v>
      </c>
      <c r="AC10" s="46"/>
      <c r="AD10" s="46"/>
      <c r="AE10" s="46"/>
      <c r="AF10" s="46"/>
      <c r="AG10" s="64">
        <v>0.1226</v>
      </c>
      <c r="AH10" s="30">
        <v>22900</v>
      </c>
      <c r="AI10" s="170">
        <v>0.10072845350791793</v>
      </c>
      <c r="AJ10" s="170">
        <v>0.14205913686499741</v>
      </c>
      <c r="AK10" s="46"/>
      <c r="AL10" s="170">
        <v>0.13681151016792625</v>
      </c>
      <c r="AM10" s="170">
        <v>9.6400083536884645E-2</v>
      </c>
      <c r="AN10" s="46"/>
      <c r="AO10" s="170">
        <v>0.12766712790973292</v>
      </c>
      <c r="AP10" s="170">
        <v>0.10873515187962109</v>
      </c>
      <c r="AQ10" s="46"/>
      <c r="AR10" s="170">
        <v>0.11673772311919245</v>
      </c>
      <c r="AS10" s="170">
        <v>0.11153534680124082</v>
      </c>
      <c r="AT10" s="170">
        <v>0.16669856489101023</v>
      </c>
      <c r="AU10" s="46"/>
      <c r="AV10" s="46"/>
      <c r="AW10" s="46"/>
      <c r="AX10" s="46"/>
      <c r="AY10" s="46"/>
      <c r="AZ10" s="170">
        <v>0.13512070208555105</v>
      </c>
      <c r="BA10" s="46"/>
      <c r="BB10" s="46"/>
      <c r="BC10" s="46"/>
      <c r="BD10" s="170">
        <v>0.1222742412584196</v>
      </c>
      <c r="BE10" s="46"/>
      <c r="BF10" s="46"/>
      <c r="BG10" s="46"/>
      <c r="BH10" s="46"/>
      <c r="BI10" s="46"/>
      <c r="BJ10" s="46"/>
      <c r="BK10" s="64">
        <v>0.20630000000000001</v>
      </c>
      <c r="BL10" s="30">
        <v>38500</v>
      </c>
      <c r="BM10" s="170">
        <v>0.17934851880328767</v>
      </c>
      <c r="BN10" s="170">
        <v>0.22647556643824679</v>
      </c>
      <c r="BO10" s="46"/>
      <c r="BP10" s="170">
        <v>0.15122733756321249</v>
      </c>
      <c r="BQ10" s="170">
        <v>0.25939997594822495</v>
      </c>
      <c r="BR10" s="170">
        <v>0.4721113994104702</v>
      </c>
      <c r="BS10" s="170">
        <v>0.13865221713231574</v>
      </c>
      <c r="BT10" s="170">
        <v>0.31829920612626916</v>
      </c>
      <c r="BU10" s="170">
        <v>0.38435147980088047</v>
      </c>
      <c r="BV10" s="170">
        <v>0.17285544673434899</v>
      </c>
      <c r="BW10" s="170">
        <v>0.20157713481619377</v>
      </c>
      <c r="BX10" s="170">
        <v>0.15087199375847407</v>
      </c>
      <c r="BY10" s="46"/>
      <c r="BZ10" s="46"/>
      <c r="CA10" s="46"/>
      <c r="CB10" s="46"/>
      <c r="CC10" s="46"/>
      <c r="CD10" s="170">
        <v>0.15767622870575246</v>
      </c>
      <c r="CE10" s="170">
        <v>0.23392550635960532</v>
      </c>
      <c r="CF10" s="46"/>
      <c r="CG10" s="46"/>
      <c r="CH10" s="170">
        <v>0.15326424506545908</v>
      </c>
      <c r="CI10" s="46"/>
      <c r="CJ10" s="170">
        <v>0.36166612791260005</v>
      </c>
      <c r="CK10" s="46"/>
      <c r="CL10" s="46"/>
      <c r="CM10" s="46"/>
      <c r="CN10" s="46"/>
      <c r="CO10" s="64"/>
      <c r="CP10" s="130">
        <f>Trafford1[[#This Row],[Active - Numbers]]+Trafford1[[#This Row],[Fairly Active - Numbers]]</f>
        <v>148200</v>
      </c>
      <c r="CQ10" s="64">
        <f>Trafford1[[#This Row],[Male I]]-Trafford1[[#This Row],[Female I]]</f>
        <v>-4.7127047634959118E-2</v>
      </c>
      <c r="CR10" s="64">
        <f>Trafford1[[#This Row],[NS SEC 1-2: Higher social groups I]]-Trafford1[[#This Row],[NS SEC 6-8: Lower social groups I]]</f>
        <v>0.15767622870575246</v>
      </c>
      <c r="CS10" s="64">
        <f>Trafford1[[#This Row],[No LT limiting disability I]]-Trafford1[[#This Row],[LT limiting disability I]]</f>
        <v>-0.21149603306653147</v>
      </c>
      <c r="CT10" s="64">
        <f>Trafford1[[#This Row],[16-34 I]]-Trafford1[[#This Row],[75+ I]]</f>
        <v>-0.4721113994104702</v>
      </c>
      <c r="CU10" s="173">
        <v>0.4263404395060108</v>
      </c>
      <c r="CV10" s="173">
        <v>0.32463662348681072</v>
      </c>
      <c r="CW10" s="173">
        <v>0.57884585841441583</v>
      </c>
      <c r="CX10" s="150"/>
    </row>
    <row r="11" spans="1:102" x14ac:dyDescent="0.2">
      <c r="A11" s="4" t="s">
        <v>117</v>
      </c>
      <c r="B11" s="4" t="s">
        <v>42</v>
      </c>
      <c r="C11" s="4">
        <f>C10-C3</f>
        <v>6.9500000000000006E-2</v>
      </c>
      <c r="D11" s="26"/>
      <c r="AG11" s="4">
        <f>AG10-AG3</f>
        <v>-3.4999999999999892E-3</v>
      </c>
      <c r="AH11" s="26"/>
      <c r="AI11" s="4">
        <f t="shared" ref="AI11:BK11" si="1">AI10-AI3</f>
        <v>-3.6112797512482309E-2</v>
      </c>
      <c r="AJ11" s="4">
        <f t="shared" si="1"/>
        <v>2.5689121385781083E-2</v>
      </c>
      <c r="AK11" s="4">
        <f t="shared" si="1"/>
        <v>0</v>
      </c>
      <c r="AL11" s="4">
        <f t="shared" si="1"/>
        <v>-2.4690734828744509E-3</v>
      </c>
      <c r="AM11" s="4">
        <f t="shared" si="1"/>
        <v>-4.4337557534906896E-2</v>
      </c>
      <c r="AN11" s="4">
        <f t="shared" si="1"/>
        <v>0</v>
      </c>
      <c r="AO11" s="4">
        <f t="shared" si="1"/>
        <v>0.12766712790973292</v>
      </c>
      <c r="AP11" s="4">
        <f t="shared" si="1"/>
        <v>0.10873515187962109</v>
      </c>
      <c r="AQ11" s="4">
        <f t="shared" si="1"/>
        <v>0</v>
      </c>
      <c r="AR11" s="4">
        <f t="shared" si="1"/>
        <v>-1.0786914852618762E-2</v>
      </c>
      <c r="AS11" s="4">
        <f t="shared" si="1"/>
        <v>-1.0023359260236828E-2</v>
      </c>
      <c r="AT11" s="4">
        <f t="shared" si="1"/>
        <v>0.16669856489101023</v>
      </c>
      <c r="AU11" s="4">
        <f t="shared" si="1"/>
        <v>0</v>
      </c>
      <c r="AV11" s="4">
        <f t="shared" si="1"/>
        <v>0</v>
      </c>
      <c r="AW11" s="4">
        <f t="shared" si="1"/>
        <v>0</v>
      </c>
      <c r="AX11" s="4">
        <f t="shared" si="1"/>
        <v>0</v>
      </c>
      <c r="AY11" s="4">
        <f t="shared" si="1"/>
        <v>0</v>
      </c>
      <c r="AZ11" s="4">
        <f t="shared" si="1"/>
        <v>2.3174573233755158E-2</v>
      </c>
      <c r="BA11" s="4">
        <f t="shared" si="1"/>
        <v>0</v>
      </c>
      <c r="BB11" s="4">
        <f t="shared" si="1"/>
        <v>0</v>
      </c>
      <c r="BC11" s="4">
        <f t="shared" si="1"/>
        <v>0</v>
      </c>
      <c r="BD11" s="4">
        <f t="shared" si="1"/>
        <v>0.1222742412584196</v>
      </c>
      <c r="BE11" s="4">
        <f t="shared" si="1"/>
        <v>0</v>
      </c>
      <c r="BF11" s="4">
        <f t="shared" si="1"/>
        <v>0</v>
      </c>
      <c r="BG11" s="4">
        <f t="shared" si="1"/>
        <v>0</v>
      </c>
      <c r="BH11" s="4">
        <f t="shared" si="1"/>
        <v>0</v>
      </c>
      <c r="BI11" s="4">
        <f t="shared" si="1"/>
        <v>0</v>
      </c>
      <c r="BJ11" s="4">
        <f t="shared" si="1"/>
        <v>0</v>
      </c>
      <c r="BK11" s="4">
        <f t="shared" si="1"/>
        <v>-6.5999999999999975E-2</v>
      </c>
      <c r="BL11" s="26"/>
      <c r="BM11" s="4">
        <f t="shared" ref="BM11:CP11" si="2">BM10-BM3</f>
        <v>-2.8933483255058901E-2</v>
      </c>
      <c r="BN11" s="4">
        <f t="shared" si="2"/>
        <v>-0.10406797292990227</v>
      </c>
      <c r="BO11" s="4">
        <f t="shared" si="2"/>
        <v>-0.24335322625500289</v>
      </c>
      <c r="BP11" s="4">
        <f t="shared" si="2"/>
        <v>-2.3230302319722534E-2</v>
      </c>
      <c r="BQ11" s="4">
        <f t="shared" si="2"/>
        <v>-5.3185228796362449E-2</v>
      </c>
      <c r="BR11" s="4">
        <f t="shared" si="2"/>
        <v>-5.6787510418943477E-2</v>
      </c>
      <c r="BS11" s="4">
        <f t="shared" si="2"/>
        <v>0.13865221713231574</v>
      </c>
      <c r="BT11" s="4">
        <f t="shared" si="2"/>
        <v>0.31829920612626916</v>
      </c>
      <c r="BU11" s="4">
        <f t="shared" si="2"/>
        <v>-0.10407033521992837</v>
      </c>
      <c r="BV11" s="4">
        <f t="shared" si="2"/>
        <v>-5.1153319670798392E-2</v>
      </c>
      <c r="BW11" s="4">
        <f t="shared" si="2"/>
        <v>-6.1224331928629638E-2</v>
      </c>
      <c r="BX11" s="4">
        <f t="shared" si="2"/>
        <v>0.15087199375847407</v>
      </c>
      <c r="BY11" s="4">
        <f t="shared" si="2"/>
        <v>0</v>
      </c>
      <c r="BZ11" s="4">
        <f t="shared" si="2"/>
        <v>0</v>
      </c>
      <c r="CA11" s="4">
        <f t="shared" si="2"/>
        <v>0</v>
      </c>
      <c r="CB11" s="4">
        <f t="shared" si="2"/>
        <v>0</v>
      </c>
      <c r="CC11" s="4">
        <f t="shared" si="2"/>
        <v>0</v>
      </c>
      <c r="CD11" s="4">
        <f t="shared" si="2"/>
        <v>-3.8287850972794912E-3</v>
      </c>
      <c r="CE11" s="4">
        <f t="shared" si="2"/>
        <v>-9.4898867000388437E-2</v>
      </c>
      <c r="CF11" s="4">
        <f t="shared" si="2"/>
        <v>0</v>
      </c>
      <c r="CG11" s="4">
        <f t="shared" si="2"/>
        <v>0</v>
      </c>
      <c r="CH11" s="4">
        <f t="shared" si="2"/>
        <v>0.15326424506545908</v>
      </c>
      <c r="CI11" s="4">
        <f t="shared" si="2"/>
        <v>0</v>
      </c>
      <c r="CJ11" s="4">
        <f t="shared" si="2"/>
        <v>0.36166612791260005</v>
      </c>
      <c r="CK11" s="4">
        <f t="shared" si="2"/>
        <v>0</v>
      </c>
      <c r="CL11" s="4">
        <f t="shared" si="2"/>
        <v>0</v>
      </c>
      <c r="CM11" s="4">
        <f t="shared" si="2"/>
        <v>0</v>
      </c>
      <c r="CN11" s="4">
        <f t="shared" si="2"/>
        <v>0</v>
      </c>
      <c r="CO11" s="4">
        <f t="shared" si="2"/>
        <v>-0.72770000000000001</v>
      </c>
      <c r="CP11" s="30">
        <f t="shared" si="2"/>
        <v>13900</v>
      </c>
      <c r="CQ11" s="4">
        <f>Trafford1[[#This Row],[Male I]]-Trafford1[[#This Row],[Female I]]</f>
        <v>7.5134489674843374E-2</v>
      </c>
      <c r="CR11" s="4">
        <f>Trafford1[[#This Row],[NS SEC 1-2: Higher social groups I]]-Trafford1[[#This Row],[NS SEC 6-8: Lower social groups I]]</f>
        <v>-3.8287850972794912E-3</v>
      </c>
      <c r="CS11" s="4">
        <f>Trafford1[[#This Row],[No LT limiting disability I]]-Trafford1[[#This Row],[LT limiting disability I]]</f>
        <v>5.2917015549129975E-2</v>
      </c>
      <c r="CT11" s="4">
        <f>Trafford1[[#This Row],[16-34 I]]-Trafford1[[#This Row],[75+ I]]</f>
        <v>-0.18656571583605941</v>
      </c>
      <c r="CU11" s="64">
        <f>CU10-CU7</f>
        <v>2.8376122991549735E-2</v>
      </c>
      <c r="CV11" s="64">
        <f>CV10-CV7</f>
        <v>-1.8284956567634958E-2</v>
      </c>
      <c r="CW11" s="64">
        <f>CW10-CW7</f>
        <v>1.4841674112465064E-2</v>
      </c>
      <c r="CX11" s="64"/>
    </row>
  </sheetData>
  <mergeCells count="3">
    <mergeCell ref="C1:AD1"/>
    <mergeCell ref="AF1:BG1"/>
    <mergeCell ref="BI1:CJ1"/>
  </mergeCells>
  <conditionalFormatting sqref="D9 D4">
    <cfRule type="containsText" dxfId="1106" priority="23" operator="containsText" text="Significant increase">
      <formula>NOT(ISERROR(SEARCH("Significant increase",D4)))</formula>
    </cfRule>
    <cfRule type="containsText" dxfId="1105" priority="24" operator="containsText" text="Significant decrease">
      <formula>NOT(ISERROR(SEARCH("Significant decrease",D4)))</formula>
    </cfRule>
  </conditionalFormatting>
  <conditionalFormatting sqref="AH9:AH10 AH4">
    <cfRule type="containsText" dxfId="1104" priority="21" operator="containsText" text="Significant increase">
      <formula>NOT(ISERROR(SEARCH("Significant increase",AH4)))</formula>
    </cfRule>
    <cfRule type="containsText" dxfId="1103" priority="22" operator="containsText" text="Significant decrease">
      <formula>NOT(ISERROR(SEARCH("Significant decrease",AH4)))</formula>
    </cfRule>
  </conditionalFormatting>
  <conditionalFormatting sqref="BL9 BL4">
    <cfRule type="containsText" dxfId="1102" priority="19" operator="containsText" text="Significant increase">
      <formula>NOT(ISERROR(SEARCH("Significant increase",BL4)))</formula>
    </cfRule>
    <cfRule type="containsText" dxfId="1101" priority="20" operator="containsText" text="Significant decrease">
      <formula>NOT(ISERROR(SEARCH("Significant decrease",BL4)))</formula>
    </cfRule>
  </conditionalFormatting>
  <conditionalFormatting sqref="C7">
    <cfRule type="containsText" dxfId="1100" priority="17" operator="containsText" text="Significant increase">
      <formula>NOT(ISERROR(SEARCH("Significant increase",C7)))</formula>
    </cfRule>
    <cfRule type="containsText" dxfId="1099" priority="18" operator="containsText" text="Significant decrease">
      <formula>NOT(ISERROR(SEARCH("Significant decrease",C7)))</formula>
    </cfRule>
  </conditionalFormatting>
  <conditionalFormatting sqref="BK7">
    <cfRule type="containsText" dxfId="1098" priority="15" operator="containsText" text="Significant increase">
      <formula>NOT(ISERROR(SEARCH("Significant increase",BK7)))</formula>
    </cfRule>
    <cfRule type="containsText" dxfId="1097" priority="16" operator="containsText" text="Significant decrease">
      <formula>NOT(ISERROR(SEARCH("Significant decrease",BK7)))</formula>
    </cfRule>
  </conditionalFormatting>
  <conditionalFormatting sqref="CX9:CX10">
    <cfRule type="containsText" dxfId="1096" priority="13" operator="containsText" text="Significant increase">
      <formula>NOT(ISERROR(SEARCH("Significant increase",CX9)))</formula>
    </cfRule>
    <cfRule type="containsText" dxfId="1095" priority="14" operator="containsText" text="Significant decrease">
      <formula>NOT(ISERROR(SEARCH("Significant decrease",CX9)))</formula>
    </cfRule>
  </conditionalFormatting>
  <conditionalFormatting sqref="CX8">
    <cfRule type="containsText" dxfId="1094" priority="11" operator="containsText" text="Significant increase">
      <formula>NOT(ISERROR(SEARCH("Significant increase",CX8)))</formula>
    </cfRule>
    <cfRule type="containsText" dxfId="1093" priority="12" operator="containsText" text="Significant decrease">
      <formula>NOT(ISERROR(SEARCH("Significant decrease",CX8)))</formula>
    </cfRule>
  </conditionalFormatting>
  <conditionalFormatting sqref="CX7">
    <cfRule type="containsText" dxfId="1092" priority="9" operator="containsText" text="Significant increase">
      <formula>NOT(ISERROR(SEARCH("Significant increase",CX7)))</formula>
    </cfRule>
    <cfRule type="containsText" dxfId="1091" priority="10" operator="containsText" text="Significant decrease">
      <formula>NOT(ISERROR(SEARCH("Significant decrease",CX7)))</formula>
    </cfRule>
  </conditionalFormatting>
  <conditionalFormatting sqref="CX6">
    <cfRule type="containsText" dxfId="1090" priority="7" operator="containsText" text="Significant increase">
      <formula>NOT(ISERROR(SEARCH("Significant increase",CX6)))</formula>
    </cfRule>
    <cfRule type="containsText" dxfId="1089" priority="8" operator="containsText" text="Significant decrease">
      <formula>NOT(ISERROR(SEARCH("Significant decrease",CX6)))</formula>
    </cfRule>
  </conditionalFormatting>
  <conditionalFormatting sqref="CX4">
    <cfRule type="containsText" dxfId="1088" priority="5" operator="containsText" text="Significant increase">
      <formula>NOT(ISERROR(SEARCH("Significant increase",CX4)))</formula>
    </cfRule>
    <cfRule type="containsText" dxfId="1087" priority="6" operator="containsText" text="Significant decrease">
      <formula>NOT(ISERROR(SEARCH("Significant decrease",CX4)))</formula>
    </cfRule>
  </conditionalFormatting>
  <conditionalFormatting sqref="D10">
    <cfRule type="containsText" dxfId="1086" priority="3" operator="containsText" text="Significant increase">
      <formula>NOT(ISERROR(SEARCH("Significant increase",D10)))</formula>
    </cfRule>
    <cfRule type="containsText" dxfId="1085" priority="4" operator="containsText" text="Significant decrease">
      <formula>NOT(ISERROR(SEARCH("Significant decrease",D10)))</formula>
    </cfRule>
  </conditionalFormatting>
  <conditionalFormatting sqref="BL10">
    <cfRule type="containsText" dxfId="1084" priority="1" operator="containsText" text="Significant increase">
      <formula>NOT(ISERROR(SEARCH("Significant increase",BL10)))</formula>
    </cfRule>
    <cfRule type="containsText" dxfId="1083" priority="2" operator="containsText" text="Significant decrease">
      <formula>NOT(ISERROR(SEARCH("Significant decrease",BL10)))</formula>
    </cfRule>
  </conditionalFormatting>
  <pageMargins left="0.7" right="0.7" top="0.75" bottom="0.75" header="0.3" footer="0.3"/>
  <legacyDrawing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CX11"/>
  <sheetViews>
    <sheetView zoomScale="90" zoomScaleNormal="90" workbookViewId="0">
      <pane xSplit="2" ySplit="2" topLeftCell="C3" activePane="bottomRight" state="frozen"/>
      <selection pane="topRight" activeCell="C1" sqref="C1"/>
      <selection pane="bottomLeft" activeCell="A3" sqref="A3"/>
      <selection pane="bottomRight" activeCell="CF20" sqref="CF20"/>
    </sheetView>
  </sheetViews>
  <sheetFormatPr defaultRowHeight="14.25" outlineLevelCol="1" x14ac:dyDescent="0.2"/>
  <cols>
    <col min="1" max="1" width="11.69921875" customWidth="1"/>
    <col min="2" max="2" width="23.5" customWidth="1"/>
    <col min="3" max="10" width="8.69921875" customWidth="1" outlineLevel="1"/>
    <col min="11" max="11" width="18.296875" customWidth="1" outlineLevel="1"/>
    <col min="12" max="12" width="21" customWidth="1" outlineLevel="1"/>
    <col min="13" max="13" width="12.796875" customWidth="1" outlineLevel="1"/>
    <col min="14" max="14" width="12.19921875" customWidth="1" outlineLevel="1"/>
    <col min="15" max="15" width="12.09765625" customWidth="1" outlineLevel="1"/>
    <col min="16" max="16" width="8.69921875" customWidth="1" outlineLevel="1"/>
    <col min="17" max="17" width="9.296875" customWidth="1" outlineLevel="1"/>
    <col min="18" max="18" width="8.69921875" customWidth="1" outlineLevel="1"/>
    <col min="19" max="19" width="17.69921875" customWidth="1" outlineLevel="1"/>
    <col min="20" max="21" width="29" customWidth="1" outlineLevel="1"/>
    <col min="22" max="22" width="28.5" customWidth="1" outlineLevel="1"/>
    <col min="23" max="23" width="26.296875" customWidth="1" outlineLevel="1"/>
    <col min="24" max="24" width="21.5" customWidth="1" outlineLevel="1"/>
    <col min="25" max="25" width="12.5" customWidth="1" outlineLevel="1"/>
    <col min="26" max="26" width="19" customWidth="1" outlineLevel="1"/>
    <col min="27" max="27" width="35.69921875" customWidth="1" outlineLevel="1"/>
    <col min="28" max="28" width="33.796875" customWidth="1" outlineLevel="1"/>
    <col min="29" max="29" width="21.296875" customWidth="1" outlineLevel="1"/>
    <col min="30" max="30" width="19.19921875" customWidth="1" outlineLevel="1"/>
    <col min="31" max="31" width="28.296875" customWidth="1"/>
    <col min="32" max="32" width="8.69921875" customWidth="1" outlineLevel="1"/>
    <col min="33" max="33" width="9.296875" customWidth="1" outlineLevel="1"/>
    <col min="34" max="39" width="8.69921875" customWidth="1" outlineLevel="1"/>
    <col min="40" max="40" width="20.09765625" customWidth="1" outlineLevel="1"/>
    <col min="41" max="41" width="22.69921875" customWidth="1" outlineLevel="1"/>
    <col min="42" max="42" width="14.59765625" customWidth="1" outlineLevel="1"/>
    <col min="43" max="43" width="14" customWidth="1" outlineLevel="1"/>
    <col min="44" max="44" width="13.796875" customWidth="1" outlineLevel="1"/>
    <col min="45" max="45" width="8.796875" customWidth="1" outlineLevel="1"/>
    <col min="46" max="46" width="11.09765625" customWidth="1" outlineLevel="1"/>
    <col min="47" max="47" width="9.296875" customWidth="1" outlineLevel="1"/>
    <col min="48" max="48" width="19.5" customWidth="1" outlineLevel="1"/>
    <col min="49" max="50" width="30.69921875" customWidth="1" outlineLevel="1"/>
    <col min="51" max="51" width="30.296875" customWidth="1" outlineLevel="1"/>
    <col min="52" max="52" width="28.09765625" customWidth="1" outlineLevel="1"/>
    <col min="53" max="53" width="23.296875" customWidth="1" outlineLevel="1"/>
    <col min="54" max="54" width="14.296875" customWidth="1" outlineLevel="1"/>
    <col min="55" max="55" width="20.69921875" customWidth="1" outlineLevel="1"/>
    <col min="56" max="56" width="37.5" customWidth="1" outlineLevel="1"/>
    <col min="57" max="57" width="35.59765625" customWidth="1" outlineLevel="1"/>
    <col min="58" max="58" width="23.09765625" customWidth="1" outlineLevel="1"/>
    <col min="59" max="59" width="21" customWidth="1" outlineLevel="1"/>
    <col min="60" max="60" width="24.796875" customWidth="1"/>
    <col min="61" max="61" width="8.69921875" customWidth="1" outlineLevel="1"/>
    <col min="62" max="62" width="10.19921875" customWidth="1" outlineLevel="1"/>
    <col min="63" max="68" width="8.69921875" customWidth="1" outlineLevel="1"/>
    <col min="69" max="69" width="20.09765625" customWidth="1" outlineLevel="1"/>
    <col min="70" max="70" width="22.69921875" customWidth="1" outlineLevel="1"/>
    <col min="71" max="71" width="14.59765625" customWidth="1" outlineLevel="1"/>
    <col min="72" max="72" width="14" customWidth="1" outlineLevel="1"/>
    <col min="73" max="73" width="13.796875" customWidth="1" outlineLevel="1"/>
    <col min="74" max="74" width="8.796875" customWidth="1" outlineLevel="1"/>
    <col min="75" max="75" width="11.09765625" customWidth="1" outlineLevel="1"/>
    <col min="76" max="76" width="9.296875" customWidth="1" outlineLevel="1"/>
    <col min="77" max="77" width="19.5" customWidth="1" outlineLevel="1"/>
    <col min="78" max="79" width="30.69921875" customWidth="1" outlineLevel="1"/>
    <col min="80" max="80" width="30.296875" customWidth="1" outlineLevel="1"/>
    <col min="81" max="81" width="28.09765625" customWidth="1" outlineLevel="1"/>
    <col min="82" max="82" width="23.296875" customWidth="1" outlineLevel="1"/>
    <col min="83" max="83" width="14.296875" customWidth="1" outlineLevel="1"/>
    <col min="84" max="84" width="20.69921875" customWidth="1" outlineLevel="1"/>
    <col min="85" max="85" width="37.5" customWidth="1" outlineLevel="1"/>
    <col min="86" max="86" width="35.59765625" customWidth="1" outlineLevel="1"/>
    <col min="87" max="87" width="23.09765625" customWidth="1" outlineLevel="1"/>
    <col min="88" max="88" width="21" customWidth="1" outlineLevel="1"/>
    <col min="94" max="94" width="8.69921875" style="29"/>
  </cols>
  <sheetData>
    <row r="1" spans="1:102" x14ac:dyDescent="0.2">
      <c r="C1" s="229" t="s">
        <v>30</v>
      </c>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F1" s="229" t="s">
        <v>32</v>
      </c>
      <c r="AG1" s="229"/>
      <c r="AH1" s="229"/>
      <c r="AI1" s="229"/>
      <c r="AJ1" s="229"/>
      <c r="AK1" s="229"/>
      <c r="AL1" s="229"/>
      <c r="AM1" s="229"/>
      <c r="AN1" s="229"/>
      <c r="AO1" s="229"/>
      <c r="AP1" s="229"/>
      <c r="AQ1" s="229"/>
      <c r="AR1" s="229"/>
      <c r="AS1" s="229"/>
      <c r="AT1" s="229"/>
      <c r="AU1" s="229"/>
      <c r="AV1" s="229"/>
      <c r="AW1" s="229"/>
      <c r="AX1" s="229"/>
      <c r="AY1" s="229"/>
      <c r="AZ1" s="229"/>
      <c r="BA1" s="229"/>
      <c r="BB1" s="229"/>
      <c r="BC1" s="229"/>
      <c r="BD1" s="229"/>
      <c r="BE1" s="229"/>
      <c r="BF1" s="229"/>
      <c r="BG1" s="229"/>
      <c r="BI1" s="229" t="s">
        <v>34</v>
      </c>
      <c r="BJ1" s="229"/>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row>
    <row r="2" spans="1:102" x14ac:dyDescent="0.2">
      <c r="A2" s="2" t="s">
        <v>106</v>
      </c>
      <c r="B2" t="s">
        <v>0</v>
      </c>
      <c r="C2" t="s">
        <v>29</v>
      </c>
      <c r="D2" s="29" t="s">
        <v>157</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158</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159</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165</v>
      </c>
      <c r="CQ2" s="2" t="s">
        <v>102</v>
      </c>
      <c r="CR2" s="2" t="s">
        <v>103</v>
      </c>
      <c r="CS2" s="2" t="s">
        <v>104</v>
      </c>
      <c r="CT2" s="2" t="s">
        <v>105</v>
      </c>
      <c r="CU2" s="2" t="s">
        <v>207</v>
      </c>
      <c r="CV2" s="2" t="s">
        <v>208</v>
      </c>
      <c r="CW2" s="2" t="s">
        <v>209</v>
      </c>
      <c r="CX2" s="2" t="s">
        <v>301</v>
      </c>
    </row>
    <row r="3" spans="1:102" x14ac:dyDescent="0.2">
      <c r="A3" s="4" t="s">
        <v>118</v>
      </c>
      <c r="B3" s="4" t="s">
        <v>35</v>
      </c>
      <c r="C3" s="4">
        <v>0.57189999999999996</v>
      </c>
      <c r="D3" s="30">
        <v>149800</v>
      </c>
      <c r="E3" s="4">
        <v>0.617368295472287</v>
      </c>
      <c r="F3" s="4">
        <v>0.52935246657262347</v>
      </c>
      <c r="G3" s="4">
        <v>0.7227820513993628</v>
      </c>
      <c r="H3" s="4">
        <v>0.5693828003371616</v>
      </c>
      <c r="I3" s="4">
        <v>0.52381088838003587</v>
      </c>
      <c r="J3" s="4"/>
      <c r="K3" s="4"/>
      <c r="L3" s="4"/>
      <c r="M3" s="4">
        <v>0.41209582157270469</v>
      </c>
      <c r="N3" s="4">
        <v>0.61361621041353831</v>
      </c>
      <c r="O3" s="4">
        <v>0.57389965207709448</v>
      </c>
      <c r="P3" s="4"/>
      <c r="Q3" s="4"/>
      <c r="R3" s="4"/>
      <c r="S3" s="4"/>
      <c r="T3" s="4"/>
      <c r="U3" s="4"/>
      <c r="V3" s="4">
        <v>0.66841762579586972</v>
      </c>
      <c r="W3" s="4">
        <v>0.56350387329386176</v>
      </c>
      <c r="X3" s="4">
        <v>0.48196162921893804</v>
      </c>
      <c r="Y3" s="4"/>
      <c r="Z3" s="4"/>
      <c r="AA3" s="4"/>
      <c r="AB3" s="4"/>
      <c r="AC3" s="4"/>
      <c r="AD3" s="4"/>
      <c r="AE3" s="4"/>
      <c r="AF3" s="4"/>
      <c r="AG3" s="4">
        <v>0.1021</v>
      </c>
      <c r="AH3" s="30">
        <v>26700</v>
      </c>
      <c r="AI3" s="4">
        <v>0.1028294958793059</v>
      </c>
      <c r="AJ3" s="4">
        <v>0.10148526249035371</v>
      </c>
      <c r="AK3" s="4"/>
      <c r="AL3" s="4">
        <v>0.13586847886148187</v>
      </c>
      <c r="AM3" s="4">
        <v>8.9847276224058761E-2</v>
      </c>
      <c r="AN3" s="4"/>
      <c r="AO3" s="4"/>
      <c r="AP3" s="4"/>
      <c r="AQ3" s="4"/>
      <c r="AR3" s="4">
        <v>0.10505139069446946</v>
      </c>
      <c r="AS3" s="4">
        <v>0.10275165076049037</v>
      </c>
      <c r="AT3" s="4"/>
      <c r="AU3" s="4"/>
      <c r="AV3" s="4"/>
      <c r="AW3" s="4"/>
      <c r="AX3" s="4"/>
      <c r="AY3" s="4"/>
      <c r="AZ3" s="4">
        <v>8.5971850168543931E-2</v>
      </c>
      <c r="BA3" s="4">
        <v>0.13635681062101287</v>
      </c>
      <c r="BB3" s="4"/>
      <c r="BC3" s="4"/>
      <c r="BD3" s="4"/>
      <c r="BE3" s="4"/>
      <c r="BF3" s="4"/>
      <c r="BG3" s="4"/>
      <c r="BH3" s="4"/>
      <c r="BI3" s="4"/>
      <c r="BJ3" s="4"/>
      <c r="BK3" s="4">
        <v>0.3261</v>
      </c>
      <c r="BL3" s="30">
        <v>85400</v>
      </c>
      <c r="BM3" s="4">
        <v>0.27980220864840716</v>
      </c>
      <c r="BN3" s="4">
        <v>0.36916227093702231</v>
      </c>
      <c r="BO3" s="4">
        <v>0.20244225359136511</v>
      </c>
      <c r="BP3" s="4">
        <v>0.29474872080135656</v>
      </c>
      <c r="BQ3" s="4">
        <v>0.38634183539590511</v>
      </c>
      <c r="BR3" s="4">
        <v>0.656758304432977</v>
      </c>
      <c r="BS3" s="4"/>
      <c r="BT3" s="4"/>
      <c r="BU3" s="4">
        <v>0.51575276949011561</v>
      </c>
      <c r="BV3" s="4">
        <v>0.28133239889199346</v>
      </c>
      <c r="BW3" s="4">
        <v>0.32334869716241416</v>
      </c>
      <c r="BX3" s="4"/>
      <c r="BY3" s="4"/>
      <c r="BZ3" s="4"/>
      <c r="CA3" s="4"/>
      <c r="CB3" s="4"/>
      <c r="CC3" s="4"/>
      <c r="CD3" s="4">
        <v>0.24561052403558581</v>
      </c>
      <c r="CE3" s="4">
        <v>0.30013931608512595</v>
      </c>
      <c r="CF3" s="4">
        <v>0.41532766026486195</v>
      </c>
      <c r="CG3" s="4"/>
      <c r="CH3" s="4"/>
      <c r="CI3" s="4"/>
      <c r="CJ3" s="4"/>
      <c r="CK3" s="4"/>
      <c r="CL3" s="4"/>
      <c r="CM3" s="4"/>
      <c r="CN3" s="4"/>
      <c r="CO3" s="4">
        <f t="shared" ref="CO3:CO9" si="0">SUM(C3,AG3)</f>
        <v>0.67399999999999993</v>
      </c>
      <c r="CP3" s="30">
        <f>Wigan1[[#This Row],[Active - Numbers]]+Wigan1[[#This Row],[Fairly Active - Numbers]]</f>
        <v>176500</v>
      </c>
      <c r="CQ3" s="4">
        <f>Wigan1[[#This Row],[Male I]]-Wigan1[[#This Row],[Female I]]</f>
        <v>-8.936006228861515E-2</v>
      </c>
      <c r="CR3" s="4">
        <f>Wigan1[[#This Row],[NS SEC 1-2: Higher social groups I]]-Wigan1[[#This Row],[NS SEC 6-8: Lower social groups I]]</f>
        <v>-0.16971713622927614</v>
      </c>
      <c r="CS3" s="4">
        <f>Wigan1[[#This Row],[No LT limiting disability I]]-Wigan1[[#This Row],[LT limiting disability I]]</f>
        <v>-0.23442037059812215</v>
      </c>
      <c r="CT3" s="4">
        <f>Wigan1[[#This Row],[16-34 I]]-Wigan1[[#This Row],[75+ I]]</f>
        <v>-0.45431605084161186</v>
      </c>
      <c r="CU3" s="48"/>
      <c r="CV3" s="64"/>
      <c r="CW3" s="64"/>
      <c r="CX3" s="64"/>
    </row>
    <row r="4" spans="1:102" x14ac:dyDescent="0.2">
      <c r="A4" s="4" t="s">
        <v>118</v>
      </c>
      <c r="B4" s="4" t="s">
        <v>36</v>
      </c>
      <c r="C4" s="44">
        <v>0.58079999999999998</v>
      </c>
      <c r="D4" s="30">
        <v>152700</v>
      </c>
      <c r="E4" s="4">
        <v>0.60516279959278518</v>
      </c>
      <c r="F4" s="4">
        <v>0.53231784404910398</v>
      </c>
      <c r="G4" s="4">
        <v>0.66370179402115326</v>
      </c>
      <c r="H4" s="4">
        <v>0.6106685238729006</v>
      </c>
      <c r="I4" s="4">
        <v>0.50057056512405207</v>
      </c>
      <c r="J4" s="4"/>
      <c r="K4" s="4"/>
      <c r="L4" s="4"/>
      <c r="M4" s="4">
        <v>0.36487015054768596</v>
      </c>
      <c r="N4" s="4">
        <v>0.62862821708088412</v>
      </c>
      <c r="O4" s="4">
        <v>0.55566950064922205</v>
      </c>
      <c r="P4" s="4"/>
      <c r="Q4" s="4"/>
      <c r="R4" s="4"/>
      <c r="S4" s="4"/>
      <c r="T4" s="4"/>
      <c r="U4" s="4"/>
      <c r="V4" s="4">
        <v>0.64942418535592694</v>
      </c>
      <c r="W4" s="4">
        <v>0.61785492279768262</v>
      </c>
      <c r="X4" s="4">
        <v>0.4673525874667247</v>
      </c>
      <c r="Y4" s="4"/>
      <c r="Z4" s="4"/>
      <c r="AA4" s="4"/>
      <c r="AB4" s="4"/>
      <c r="AC4" s="4"/>
      <c r="AD4" s="4"/>
      <c r="AE4" s="4"/>
      <c r="AF4" s="4"/>
      <c r="AG4" s="44">
        <v>9.4200000000000006E-2</v>
      </c>
      <c r="AH4" s="30">
        <v>24800</v>
      </c>
      <c r="AI4" s="4">
        <v>9.3700742835469947E-2</v>
      </c>
      <c r="AJ4" s="4">
        <v>0.12239361777538381</v>
      </c>
      <c r="AK4" s="4"/>
      <c r="AL4" s="4">
        <v>0.10545096587857984</v>
      </c>
      <c r="AM4" s="4">
        <v>0.1258265180005998</v>
      </c>
      <c r="AN4" s="4"/>
      <c r="AO4" s="4"/>
      <c r="AP4" s="4"/>
      <c r="AQ4" s="4"/>
      <c r="AR4" s="4">
        <v>0.11968126182500988</v>
      </c>
      <c r="AS4" s="4">
        <v>0.1129731425921036</v>
      </c>
      <c r="AT4" s="4"/>
      <c r="AU4" s="4"/>
      <c r="AV4" s="4"/>
      <c r="AW4" s="4"/>
      <c r="AX4" s="4"/>
      <c r="AY4" s="4"/>
      <c r="AZ4" s="4">
        <v>0.11159684495701257</v>
      </c>
      <c r="BA4" s="4">
        <v>0.12108939557842748</v>
      </c>
      <c r="BB4" s="4"/>
      <c r="BC4" s="4"/>
      <c r="BD4" s="4"/>
      <c r="BE4" s="4"/>
      <c r="BF4" s="4"/>
      <c r="BG4" s="4"/>
      <c r="BH4" s="4"/>
      <c r="BI4" s="4"/>
      <c r="BJ4" s="4"/>
      <c r="BK4" s="4">
        <v>0.32500000000000001</v>
      </c>
      <c r="BL4" s="30">
        <v>85500</v>
      </c>
      <c r="BM4" s="4">
        <v>0.30113645757174629</v>
      </c>
      <c r="BN4" s="4">
        <v>0.34528853817551436</v>
      </c>
      <c r="BO4" s="4">
        <v>0.24038737747387828</v>
      </c>
      <c r="BP4" s="4">
        <v>0.28388051024852023</v>
      </c>
      <c r="BQ4" s="4">
        <v>0.37360291687534791</v>
      </c>
      <c r="BR4" s="4">
        <v>0.65581071176492334</v>
      </c>
      <c r="BS4" s="4"/>
      <c r="BT4" s="4"/>
      <c r="BU4" s="4">
        <v>0.56728448088723227</v>
      </c>
      <c r="BV4" s="4">
        <v>0.2516905210941055</v>
      </c>
      <c r="BW4" s="4">
        <v>0.33135735675867201</v>
      </c>
      <c r="BX4" s="4"/>
      <c r="BY4" s="4"/>
      <c r="BZ4" s="4"/>
      <c r="CA4" s="4"/>
      <c r="CB4" s="4"/>
      <c r="CC4" s="4"/>
      <c r="CD4" s="4">
        <v>0.23897896968706028</v>
      </c>
      <c r="CE4" s="4">
        <v>0.26105568162388926</v>
      </c>
      <c r="CF4" s="4">
        <v>0.44293424749948462</v>
      </c>
      <c r="CG4" s="4"/>
      <c r="CH4" s="4"/>
      <c r="CI4" s="4"/>
      <c r="CJ4" s="4"/>
      <c r="CK4" s="4"/>
      <c r="CL4" s="4"/>
      <c r="CM4" s="4"/>
      <c r="CN4" s="4"/>
      <c r="CO4" s="4">
        <f t="shared" si="0"/>
        <v>0.67500000000000004</v>
      </c>
      <c r="CP4" s="30">
        <f>Wigan1[[#This Row],[Active - Numbers]]+Wigan1[[#This Row],[Fairly Active - Numbers]]</f>
        <v>177500</v>
      </c>
      <c r="CQ4" s="4">
        <f>Wigan1[[#This Row],[Male I]]-Wigan1[[#This Row],[Female I]]</f>
        <v>-4.4152080603768074E-2</v>
      </c>
      <c r="CR4" s="4">
        <f>Wigan1[[#This Row],[NS SEC 1-2: Higher social groups I]]-Wigan1[[#This Row],[NS SEC 6-8: Lower social groups I]]</f>
        <v>-0.20395527781242434</v>
      </c>
      <c r="CS4" s="4">
        <f>Wigan1[[#This Row],[No LT limiting disability I]]-Wigan1[[#This Row],[LT limiting disability I]]</f>
        <v>-0.31559395979312677</v>
      </c>
      <c r="CT4" s="4">
        <f>Wigan1[[#This Row],[16-34 I]]-Wigan1[[#This Row],[75+ I]]</f>
        <v>-0.41542333429104505</v>
      </c>
      <c r="CU4" s="64"/>
      <c r="CV4" s="64"/>
      <c r="CW4" s="64"/>
      <c r="CX4" s="152">
        <v>0.128</v>
      </c>
    </row>
    <row r="5" spans="1:102" x14ac:dyDescent="0.2">
      <c r="A5" s="4" t="s">
        <v>118</v>
      </c>
      <c r="B5" s="4" t="s">
        <v>37</v>
      </c>
      <c r="C5" s="4">
        <v>0.5887</v>
      </c>
      <c r="D5" s="30">
        <v>154600</v>
      </c>
      <c r="E5" s="4">
        <v>0.62476804745479209</v>
      </c>
      <c r="F5" s="4">
        <v>0.55309224271100588</v>
      </c>
      <c r="G5" s="4">
        <v>0.69151771566610076</v>
      </c>
      <c r="H5" s="4">
        <v>0.67250464718699265</v>
      </c>
      <c r="I5" s="4">
        <v>0.50322825577993757</v>
      </c>
      <c r="J5" s="4"/>
      <c r="K5" s="4"/>
      <c r="L5" s="4"/>
      <c r="M5" s="4">
        <v>0.34645273031686202</v>
      </c>
      <c r="N5" s="4">
        <v>0.66067596899593928</v>
      </c>
      <c r="O5" s="4">
        <v>0.58502683705199787</v>
      </c>
      <c r="P5" s="4"/>
      <c r="Q5" s="4"/>
      <c r="R5" s="4"/>
      <c r="S5" s="4"/>
      <c r="T5" s="4"/>
      <c r="U5" s="4"/>
      <c r="V5" s="4">
        <v>0.69663317872313668</v>
      </c>
      <c r="W5" s="4">
        <v>0.65550922322502314</v>
      </c>
      <c r="X5" s="4">
        <v>0.45409261061526252</v>
      </c>
      <c r="Y5" s="4"/>
      <c r="Z5" s="4"/>
      <c r="AA5" s="4"/>
      <c r="AB5" s="4"/>
      <c r="AC5" s="4"/>
      <c r="AD5" s="4"/>
      <c r="AE5" s="4"/>
      <c r="AF5" s="4"/>
      <c r="AG5" s="4">
        <v>8.6400000000000005E-2</v>
      </c>
      <c r="AH5" s="30">
        <v>22700</v>
      </c>
      <c r="AI5" s="4">
        <v>7.4374382485478202E-2</v>
      </c>
      <c r="AJ5" s="4">
        <v>9.8045336197875074E-2</v>
      </c>
      <c r="AK5" s="4"/>
      <c r="AL5" s="4"/>
      <c r="AM5" s="4">
        <v>0.14789221699866059</v>
      </c>
      <c r="AN5" s="4"/>
      <c r="AO5" s="4"/>
      <c r="AP5" s="4"/>
      <c r="AQ5" s="4"/>
      <c r="AR5" s="4">
        <v>9.1310208731474121E-2</v>
      </c>
      <c r="AS5" s="4">
        <v>8.9388938166798826E-2</v>
      </c>
      <c r="AT5" s="4"/>
      <c r="AU5" s="4"/>
      <c r="AV5" s="4"/>
      <c r="AW5" s="4"/>
      <c r="AX5" s="4"/>
      <c r="AY5" s="4"/>
      <c r="AZ5" s="4">
        <v>0.10159526448223463</v>
      </c>
      <c r="BA5" s="4"/>
      <c r="BB5" s="4"/>
      <c r="BC5" s="4"/>
      <c r="BD5" s="4"/>
      <c r="BE5" s="4"/>
      <c r="BF5" s="4"/>
      <c r="BG5" s="4"/>
      <c r="BH5" s="4"/>
      <c r="BI5" s="4"/>
      <c r="BJ5" s="4"/>
      <c r="BK5" s="4">
        <v>0.32500000000000001</v>
      </c>
      <c r="BL5" s="30">
        <v>85300</v>
      </c>
      <c r="BM5" s="4">
        <v>0.30085757005973079</v>
      </c>
      <c r="BN5" s="4">
        <v>0.34886242109111903</v>
      </c>
      <c r="BO5" s="4">
        <v>0.24391064459750278</v>
      </c>
      <c r="BP5" s="4">
        <v>0.27399426657593251</v>
      </c>
      <c r="BQ5" s="4">
        <v>0.34887952722140136</v>
      </c>
      <c r="BR5" s="4">
        <v>0.67596762927423537</v>
      </c>
      <c r="BS5" s="4"/>
      <c r="BT5" s="4"/>
      <c r="BU5" s="4">
        <v>0.57188964691201005</v>
      </c>
      <c r="BV5" s="4">
        <v>0.2480138222725867</v>
      </c>
      <c r="BW5" s="4">
        <v>0.32558422478120314</v>
      </c>
      <c r="BX5" s="4"/>
      <c r="BY5" s="4"/>
      <c r="BZ5" s="4"/>
      <c r="CA5" s="4"/>
      <c r="CB5" s="4"/>
      <c r="CC5" s="4"/>
      <c r="CD5" s="4">
        <v>0.20177155679462802</v>
      </c>
      <c r="CE5" s="4">
        <v>0.25306203488187806</v>
      </c>
      <c r="CF5" s="4">
        <v>0.47265517645565147</v>
      </c>
      <c r="CG5" s="4"/>
      <c r="CH5" s="4"/>
      <c r="CI5" s="4"/>
      <c r="CJ5" s="4"/>
      <c r="CK5" s="4"/>
      <c r="CL5" s="4"/>
      <c r="CM5" s="4"/>
      <c r="CN5" s="4"/>
      <c r="CO5" s="4">
        <f t="shared" si="0"/>
        <v>0.67510000000000003</v>
      </c>
      <c r="CP5" s="30">
        <f>Wigan1[[#This Row],[Active - Numbers]]+Wigan1[[#This Row],[Fairly Active - Numbers]]</f>
        <v>177300</v>
      </c>
      <c r="CQ5" s="4">
        <f>Wigan1[[#This Row],[Male I]]-Wigan1[[#This Row],[Female I]]</f>
        <v>-4.800485103138824E-2</v>
      </c>
      <c r="CR5" s="4">
        <f>Wigan1[[#This Row],[NS SEC 1-2: Higher social groups I]]-Wigan1[[#This Row],[NS SEC 6-8: Lower social groups I]]</f>
        <v>-0.27088361966102348</v>
      </c>
      <c r="CS5" s="4">
        <f>Wigan1[[#This Row],[No LT limiting disability I]]-Wigan1[[#This Row],[LT limiting disability I]]</f>
        <v>-0.32387582463942333</v>
      </c>
      <c r="CT5" s="4">
        <f>Wigan1[[#This Row],[16-34 I]]-Wigan1[[#This Row],[75+ I]]</f>
        <v>-0.43205698467673259</v>
      </c>
      <c r="CU5" s="64"/>
      <c r="CV5" s="64"/>
      <c r="CW5" s="64"/>
      <c r="CX5" s="154">
        <v>0.13469999999999999</v>
      </c>
    </row>
    <row r="6" spans="1:102" x14ac:dyDescent="0.2">
      <c r="A6" s="4" t="s">
        <v>118</v>
      </c>
      <c r="B6" s="4" t="s">
        <v>38</v>
      </c>
      <c r="C6" s="4">
        <v>0.57279999999999998</v>
      </c>
      <c r="D6" s="30">
        <v>151100</v>
      </c>
      <c r="E6" s="4">
        <v>0.58552755231753106</v>
      </c>
      <c r="F6" s="4">
        <v>0.55751826234961865</v>
      </c>
      <c r="G6" s="4">
        <v>0.72491239994453727</v>
      </c>
      <c r="H6" s="4">
        <v>0.57915924455644696</v>
      </c>
      <c r="I6" s="4">
        <v>0.54274766749839465</v>
      </c>
      <c r="J6" s="4">
        <v>0.29195549638240315</v>
      </c>
      <c r="K6" s="4"/>
      <c r="L6" s="4"/>
      <c r="M6" s="4">
        <v>0.31026637282835584</v>
      </c>
      <c r="N6" s="4">
        <v>0.63273664939257701</v>
      </c>
      <c r="O6" s="4">
        <v>0.58407754803085232</v>
      </c>
      <c r="P6" s="4"/>
      <c r="Q6" s="4"/>
      <c r="R6" s="4"/>
      <c r="S6" s="4"/>
      <c r="T6" s="4"/>
      <c r="U6" s="4"/>
      <c r="V6" s="4">
        <v>0.72721507448032996</v>
      </c>
      <c r="W6" s="4">
        <v>0.61268687373770014</v>
      </c>
      <c r="X6" s="4">
        <v>0.43688392868184339</v>
      </c>
      <c r="Y6" s="4"/>
      <c r="Z6" s="4"/>
      <c r="AA6" s="4"/>
      <c r="AB6" s="4"/>
      <c r="AC6" s="4"/>
      <c r="AD6" s="4"/>
      <c r="AE6" s="4"/>
      <c r="AF6" s="4"/>
      <c r="AG6" s="4">
        <v>0.12648996234606272</v>
      </c>
      <c r="AH6" s="30">
        <v>33400</v>
      </c>
      <c r="AI6" s="4">
        <v>0.11898083369777951</v>
      </c>
      <c r="AJ6" s="4">
        <v>0.13459598688713673</v>
      </c>
      <c r="AK6" s="4"/>
      <c r="AL6" s="4">
        <v>0.13735875103884307</v>
      </c>
      <c r="AM6" s="4">
        <v>0.15899090042797226</v>
      </c>
      <c r="AN6" s="4"/>
      <c r="AO6" s="4"/>
      <c r="AP6" s="4"/>
      <c r="AQ6" s="4"/>
      <c r="AR6" s="4">
        <v>0.12725011422498519</v>
      </c>
      <c r="AS6" s="4">
        <v>0.13029812049957795</v>
      </c>
      <c r="AT6" s="4"/>
      <c r="AU6" s="4"/>
      <c r="AV6" s="4"/>
      <c r="AW6" s="4"/>
      <c r="AX6" s="4"/>
      <c r="AY6" s="4"/>
      <c r="AZ6" s="4">
        <v>0.13506821342908548</v>
      </c>
      <c r="BA6" s="4">
        <v>0.13059806870667315</v>
      </c>
      <c r="BB6" s="4">
        <v>0.14386873282844315</v>
      </c>
      <c r="BC6" s="4"/>
      <c r="BD6" s="4"/>
      <c r="BE6" s="4"/>
      <c r="BF6" s="4"/>
      <c r="BG6" s="4"/>
      <c r="BH6" s="4"/>
      <c r="BI6" s="4"/>
      <c r="BJ6" s="4"/>
      <c r="BK6" s="4">
        <v>0.30067030570245029</v>
      </c>
      <c r="BL6" s="30">
        <v>79300</v>
      </c>
      <c r="BM6" s="4">
        <v>0.29549161398468921</v>
      </c>
      <c r="BN6" s="4">
        <v>0.30788575076324509</v>
      </c>
      <c r="BO6" s="4"/>
      <c r="BP6" s="4">
        <v>0.28348200440471005</v>
      </c>
      <c r="BQ6" s="4">
        <v>0.29826143207363287</v>
      </c>
      <c r="BR6" s="4">
        <v>0.62827662632361003</v>
      </c>
      <c r="BS6" s="4"/>
      <c r="BT6" s="4"/>
      <c r="BU6" s="4">
        <v>0.5561154175691746</v>
      </c>
      <c r="BV6" s="4">
        <v>0.24001323638243874</v>
      </c>
      <c r="BW6" s="4">
        <v>0.28562433146957039</v>
      </c>
      <c r="BX6" s="4"/>
      <c r="BY6" s="4"/>
      <c r="BZ6" s="4"/>
      <c r="CA6" s="4"/>
      <c r="CB6" s="4"/>
      <c r="CC6" s="4"/>
      <c r="CD6" s="4">
        <v>0.13771671209058517</v>
      </c>
      <c r="CE6" s="4">
        <v>0.25671505755562601</v>
      </c>
      <c r="CF6" s="4">
        <v>0.41924733848971413</v>
      </c>
      <c r="CG6" s="4"/>
      <c r="CH6" s="4"/>
      <c r="CI6" s="4"/>
      <c r="CJ6" s="4"/>
      <c r="CK6" s="4"/>
      <c r="CL6" s="4"/>
      <c r="CM6" s="4"/>
      <c r="CN6" s="4"/>
      <c r="CO6" s="4">
        <f t="shared" si="0"/>
        <v>0.69928996234606267</v>
      </c>
      <c r="CP6" s="30">
        <f>Wigan1[[#This Row],[Active - Numbers]]+Wigan1[[#This Row],[Fairly Active - Numbers]]</f>
        <v>184500</v>
      </c>
      <c r="CQ6" s="4">
        <f>Wigan1[[#This Row],[Male I]]-Wigan1[[#This Row],[Female I]]</f>
        <v>-1.2394136778555886E-2</v>
      </c>
      <c r="CR6" s="4">
        <f>Wigan1[[#This Row],[NS SEC 1-2: Higher social groups I]]-Wigan1[[#This Row],[NS SEC 6-8: Lower social groups I]]</f>
        <v>-0.28153062639912896</v>
      </c>
      <c r="CS6" s="4">
        <f>Wigan1[[#This Row],[No LT limiting disability I]]-Wigan1[[#This Row],[LT limiting disability I]]</f>
        <v>-0.31610218118673583</v>
      </c>
      <c r="CT6" s="4">
        <f>Wigan1[[#This Row],[16-34 I]]-Wigan1[[#This Row],[75+ I]]</f>
        <v>-0.62827662632361003</v>
      </c>
      <c r="CU6" s="64"/>
      <c r="CV6" s="64"/>
      <c r="CW6" s="64"/>
      <c r="CX6" s="152">
        <v>0.1371</v>
      </c>
    </row>
    <row r="7" spans="1:102" x14ac:dyDescent="0.2">
      <c r="A7" s="4" t="s">
        <v>118</v>
      </c>
      <c r="B7" s="4" t="s">
        <v>39</v>
      </c>
      <c r="C7" s="4">
        <v>0.56850342081974514</v>
      </c>
      <c r="D7" s="30">
        <v>150000</v>
      </c>
      <c r="E7" s="4">
        <v>0.53901093722860016</v>
      </c>
      <c r="F7" s="4">
        <v>0.59630262815473656</v>
      </c>
      <c r="G7" s="4">
        <v>0.68220183343456176</v>
      </c>
      <c r="H7" s="4">
        <v>0.53952415480516125</v>
      </c>
      <c r="I7" s="4">
        <v>0.55704798804154254</v>
      </c>
      <c r="J7" s="4">
        <v>0.42069796365616691</v>
      </c>
      <c r="K7" s="4">
        <v>0.59899634603544938</v>
      </c>
      <c r="L7" s="4">
        <v>0.52247954429897459</v>
      </c>
      <c r="M7" s="4">
        <v>0.3812622978514108</v>
      </c>
      <c r="N7" s="4">
        <v>0.6221866851804273</v>
      </c>
      <c r="O7" s="4">
        <v>0.57239742400327509</v>
      </c>
      <c r="P7" s="4"/>
      <c r="Q7" s="4"/>
      <c r="R7" s="4"/>
      <c r="S7" s="4"/>
      <c r="T7" s="4"/>
      <c r="U7" s="4"/>
      <c r="V7" s="4">
        <v>0.70556669196168642</v>
      </c>
      <c r="W7" s="4">
        <v>0.61201254316340548</v>
      </c>
      <c r="X7" s="4">
        <v>0.41858567820157888</v>
      </c>
      <c r="Y7" s="4">
        <v>0.64110515637072207</v>
      </c>
      <c r="Z7" s="4"/>
      <c r="AA7" s="4"/>
      <c r="AB7" s="4"/>
      <c r="AC7" s="4"/>
      <c r="AD7" s="4"/>
      <c r="AE7" s="4"/>
      <c r="AF7" s="4"/>
      <c r="AG7" s="4">
        <v>0.14983476117148359</v>
      </c>
      <c r="AH7" s="30">
        <v>39500</v>
      </c>
      <c r="AI7" s="4">
        <v>0.15331629429531457</v>
      </c>
      <c r="AJ7" s="4">
        <v>0.14669912913155395</v>
      </c>
      <c r="AK7" s="4"/>
      <c r="AL7" s="4">
        <v>0.15786143314212564</v>
      </c>
      <c r="AM7" s="4">
        <v>0.16875346634919874</v>
      </c>
      <c r="AN7" s="4"/>
      <c r="AO7" s="4">
        <v>0.14901510998954023</v>
      </c>
      <c r="AP7" s="4">
        <v>0.15248279215391464</v>
      </c>
      <c r="AQ7" s="4"/>
      <c r="AR7" s="4">
        <v>0.14564019823279301</v>
      </c>
      <c r="AS7" s="4">
        <v>0.15487028481859522</v>
      </c>
      <c r="AT7" s="4"/>
      <c r="AU7" s="4"/>
      <c r="AV7" s="4"/>
      <c r="AW7" s="4"/>
      <c r="AX7" s="4"/>
      <c r="AY7" s="4"/>
      <c r="AZ7" s="4">
        <v>0.14929670680624085</v>
      </c>
      <c r="BA7" s="4">
        <v>0.15438640688920377</v>
      </c>
      <c r="BB7" s="4"/>
      <c r="BC7" s="4"/>
      <c r="BD7" s="4"/>
      <c r="BE7" s="4"/>
      <c r="BF7" s="4"/>
      <c r="BG7" s="4"/>
      <c r="BH7" s="4"/>
      <c r="BI7" s="4"/>
      <c r="BJ7" s="4"/>
      <c r="BK7" s="4">
        <v>0.28166181800877277</v>
      </c>
      <c r="BL7" s="30">
        <v>74300</v>
      </c>
      <c r="BM7" s="4">
        <v>0.30767276847608455</v>
      </c>
      <c r="BN7" s="4">
        <v>0.25699824271370897</v>
      </c>
      <c r="BO7" s="4"/>
      <c r="BP7" s="4">
        <v>0.30261441205271278</v>
      </c>
      <c r="BQ7" s="4">
        <v>0.27419854560925849</v>
      </c>
      <c r="BR7" s="4">
        <v>0.47472579590086061</v>
      </c>
      <c r="BS7" s="4">
        <v>0.25198854397501108</v>
      </c>
      <c r="BT7" s="4">
        <v>0.32503766354711061</v>
      </c>
      <c r="BU7" s="4">
        <v>0.47866169227711763</v>
      </c>
      <c r="BV7" s="4">
        <v>0.23217311658678097</v>
      </c>
      <c r="BW7" s="4">
        <v>0.27273229117813114</v>
      </c>
      <c r="BX7" s="4"/>
      <c r="BY7" s="4"/>
      <c r="BZ7" s="4"/>
      <c r="CA7" s="4"/>
      <c r="CB7" s="4"/>
      <c r="CC7" s="4"/>
      <c r="CD7" s="4">
        <v>0.14513660123207223</v>
      </c>
      <c r="CE7" s="4">
        <v>0.23360104994739125</v>
      </c>
      <c r="CF7" s="4">
        <v>0.42761637899104149</v>
      </c>
      <c r="CG7" s="4"/>
      <c r="CH7" s="4"/>
      <c r="CI7" s="4"/>
      <c r="CJ7" s="4"/>
      <c r="CK7" s="4"/>
      <c r="CL7" s="4"/>
      <c r="CM7" s="4"/>
      <c r="CN7" s="4"/>
      <c r="CO7" s="4">
        <f t="shared" si="0"/>
        <v>0.71833818199122867</v>
      </c>
      <c r="CP7" s="30">
        <f>Wigan1[[#This Row],[Active - Numbers]]+Wigan1[[#This Row],[Fairly Active - Numbers]]</f>
        <v>189500</v>
      </c>
      <c r="CQ7" s="4">
        <f>Wigan1[[#This Row],[Male I]]-Wigan1[[#This Row],[Female I]]</f>
        <v>5.0674525762375577E-2</v>
      </c>
      <c r="CR7" s="4">
        <f>Wigan1[[#This Row],[NS SEC 1-2: Higher social groups I]]-Wigan1[[#This Row],[NS SEC 6-8: Lower social groups I]]</f>
        <v>-0.28247977775896926</v>
      </c>
      <c r="CS7" s="4">
        <f>Wigan1[[#This Row],[No LT limiting disability I]]-Wigan1[[#This Row],[LT limiting disability I]]</f>
        <v>-0.24648857569033666</v>
      </c>
      <c r="CT7" s="4">
        <f>Wigan1[[#This Row],[16-34 I]]-Wigan1[[#This Row],[75+ I]]</f>
        <v>-0.47472579590086061</v>
      </c>
      <c r="CU7" s="46">
        <v>0.41787342071971595</v>
      </c>
      <c r="CV7" s="46">
        <v>0.26344334738709901</v>
      </c>
      <c r="CW7" s="46">
        <v>0.55837493189738563</v>
      </c>
      <c r="CX7" s="152">
        <v>0.1225</v>
      </c>
    </row>
    <row r="8" spans="1:102" x14ac:dyDescent="0.2">
      <c r="A8" s="4" t="s">
        <v>118</v>
      </c>
      <c r="B8" s="4" t="s">
        <v>40</v>
      </c>
      <c r="C8" s="4">
        <v>0.57950000000000002</v>
      </c>
      <c r="D8" s="30">
        <v>153500</v>
      </c>
      <c r="E8" s="4">
        <v>0.57279999999999998</v>
      </c>
      <c r="F8" s="4">
        <v>0.58679999999999999</v>
      </c>
      <c r="G8" s="4">
        <v>0.65590000000000004</v>
      </c>
      <c r="H8" s="4">
        <v>0.61419999999999997</v>
      </c>
      <c r="I8" s="4">
        <v>0.51270000000000004</v>
      </c>
      <c r="J8" s="4"/>
      <c r="K8" s="4">
        <v>0.63219999999999998</v>
      </c>
      <c r="L8" s="4">
        <v>0.49299999999999999</v>
      </c>
      <c r="M8" s="4">
        <v>0.42630000000000001</v>
      </c>
      <c r="N8" s="4">
        <v>0.63009999999999999</v>
      </c>
      <c r="O8" s="4">
        <v>0.58520000000000005</v>
      </c>
      <c r="P8" s="4"/>
      <c r="Q8" s="4"/>
      <c r="R8" s="4"/>
      <c r="S8" s="4"/>
      <c r="T8" s="4"/>
      <c r="U8" s="4"/>
      <c r="V8" s="4">
        <v>0.67220000000000002</v>
      </c>
      <c r="W8" s="4">
        <v>0.60309999999999997</v>
      </c>
      <c r="X8" s="4">
        <v>0.44850000000000001</v>
      </c>
      <c r="Y8" s="4">
        <v>0.70030000000000003</v>
      </c>
      <c r="Z8" s="4">
        <v>0.63770000000000004</v>
      </c>
      <c r="AA8" s="4"/>
      <c r="AB8" s="4">
        <v>0.51290000000000002</v>
      </c>
      <c r="AC8" s="4"/>
      <c r="AD8" s="4"/>
      <c r="AE8" s="4"/>
      <c r="AF8" s="4"/>
      <c r="AG8" s="4">
        <v>0.1231</v>
      </c>
      <c r="AH8" s="30">
        <v>32600</v>
      </c>
      <c r="AI8" s="4">
        <v>0.11749999999999999</v>
      </c>
      <c r="AJ8" s="4">
        <v>0.12920000000000001</v>
      </c>
      <c r="AK8" s="4"/>
      <c r="AL8" s="4">
        <v>9.1399999999999995E-2</v>
      </c>
      <c r="AM8" s="4">
        <v>0.16789999999999999</v>
      </c>
      <c r="AN8" s="4"/>
      <c r="AO8" s="4">
        <v>0.10390000000000001</v>
      </c>
      <c r="AP8" s="4">
        <v>0.1578</v>
      </c>
      <c r="AQ8" s="4"/>
      <c r="AR8" s="4">
        <v>0.1226</v>
      </c>
      <c r="AS8" s="4">
        <v>0.1241</v>
      </c>
      <c r="AT8" s="4"/>
      <c r="AU8" s="4"/>
      <c r="AV8" s="4"/>
      <c r="AW8" s="4"/>
      <c r="AX8" s="4"/>
      <c r="AY8" s="4"/>
      <c r="AZ8" s="4">
        <v>0.12189999999999999</v>
      </c>
      <c r="BA8" s="4">
        <v>0.13320000000000001</v>
      </c>
      <c r="BB8" s="4"/>
      <c r="BC8" s="4"/>
      <c r="BD8" s="4">
        <v>0.1179</v>
      </c>
      <c r="BE8" s="4"/>
      <c r="BF8" s="4">
        <v>0.11940000000000001</v>
      </c>
      <c r="BG8" s="4"/>
      <c r="BH8" s="4"/>
      <c r="BI8" s="4"/>
      <c r="BJ8" s="4"/>
      <c r="BK8" s="4">
        <v>0.29730000000000001</v>
      </c>
      <c r="BL8" s="30">
        <v>78700</v>
      </c>
      <c r="BM8" s="4">
        <v>0.30980000000000002</v>
      </c>
      <c r="BN8" s="4">
        <v>0.28410000000000002</v>
      </c>
      <c r="BO8" s="4">
        <v>0.224</v>
      </c>
      <c r="BP8" s="4">
        <v>0.29449999999999998</v>
      </c>
      <c r="BQ8" s="4">
        <v>0.31940000000000002</v>
      </c>
      <c r="BR8" s="4">
        <v>0.4819</v>
      </c>
      <c r="BS8" s="4">
        <v>0.26390000000000002</v>
      </c>
      <c r="BT8" s="4">
        <v>0.34920000000000001</v>
      </c>
      <c r="BU8" s="4">
        <v>0.46479999999999999</v>
      </c>
      <c r="BV8" s="4">
        <v>0.24729999999999999</v>
      </c>
      <c r="BW8" s="4">
        <v>0.29070000000000001</v>
      </c>
      <c r="BX8" s="4"/>
      <c r="BY8" s="4"/>
      <c r="BZ8" s="4"/>
      <c r="CA8" s="4"/>
      <c r="CB8" s="4"/>
      <c r="CC8" s="4"/>
      <c r="CD8" s="4">
        <v>0.2059</v>
      </c>
      <c r="CE8" s="4">
        <v>0.26379999999999998</v>
      </c>
      <c r="CF8" s="4">
        <v>0.43099999999999999</v>
      </c>
      <c r="CG8" s="4"/>
      <c r="CH8" s="4">
        <v>0.24440000000000001</v>
      </c>
      <c r="CI8" s="4"/>
      <c r="CJ8" s="4">
        <v>0.36780000000000002</v>
      </c>
      <c r="CK8" s="4"/>
      <c r="CL8" s="4"/>
      <c r="CM8" s="4"/>
      <c r="CN8" s="4"/>
      <c r="CO8" s="4">
        <f t="shared" si="0"/>
        <v>0.7026</v>
      </c>
      <c r="CP8" s="30">
        <f>Wigan1[[#This Row],[Active - Numbers]]+Wigan1[[#This Row],[Fairly Active - Numbers]]</f>
        <v>186100</v>
      </c>
      <c r="CQ8" s="4">
        <f>Wigan1[[#This Row],[Male I]]-Wigan1[[#This Row],[Female I]]</f>
        <v>2.5700000000000001E-2</v>
      </c>
      <c r="CR8" s="4">
        <f>Wigan1[[#This Row],[NS SEC 1-2: Higher social groups I]]-Wigan1[[#This Row],[NS SEC 6-8: Lower social groups I]]</f>
        <v>-0.22509999999999999</v>
      </c>
      <c r="CS8" s="4">
        <f>Wigan1[[#This Row],[No LT limiting disability I]]-Wigan1[[#This Row],[LT limiting disability I]]</f>
        <v>-0.2175</v>
      </c>
      <c r="CT8" s="4">
        <f>Wigan1[[#This Row],[16-34 I]]-Wigan1[[#This Row],[75+ I]]</f>
        <v>-0.25790000000000002</v>
      </c>
      <c r="CU8" s="46">
        <v>0.40150000000000002</v>
      </c>
      <c r="CV8" s="46">
        <v>0.27300000000000002</v>
      </c>
      <c r="CW8" s="46">
        <v>0.54810000000000003</v>
      </c>
      <c r="CX8" s="152">
        <v>0.1103</v>
      </c>
    </row>
    <row r="9" spans="1:102" x14ac:dyDescent="0.2">
      <c r="A9" s="4" t="s">
        <v>118</v>
      </c>
      <c r="B9" s="4" t="s">
        <v>41</v>
      </c>
      <c r="C9" s="4">
        <v>0.61340467413022637</v>
      </c>
      <c r="D9" s="30">
        <v>162500</v>
      </c>
      <c r="E9" s="4">
        <v>0.65545741380138667</v>
      </c>
      <c r="F9" s="4">
        <v>0.56290838703531931</v>
      </c>
      <c r="G9" s="4">
        <v>0.68285994731507382</v>
      </c>
      <c r="H9" s="4">
        <v>0.67514122928222331</v>
      </c>
      <c r="I9" s="4">
        <v>0.52971621190066442</v>
      </c>
      <c r="J9" s="4"/>
      <c r="K9" s="4">
        <v>0.67875454018809289</v>
      </c>
      <c r="L9" s="4">
        <v>0.50039088593609604</v>
      </c>
      <c r="M9" s="4">
        <v>0.40248663479446978</v>
      </c>
      <c r="N9" s="4">
        <v>0.67330567419793819</v>
      </c>
      <c r="O9" s="4">
        <v>0.62854190126533083</v>
      </c>
      <c r="P9" s="4"/>
      <c r="Q9" s="4"/>
      <c r="R9" s="4"/>
      <c r="S9" s="4"/>
      <c r="T9" s="4"/>
      <c r="U9" s="4"/>
      <c r="V9" s="4">
        <v>0.66388512658600762</v>
      </c>
      <c r="W9" s="4">
        <v>0.64126151009389365</v>
      </c>
      <c r="X9" s="4">
        <v>0.5440330098747842</v>
      </c>
      <c r="Y9" s="4">
        <v>0.7489405753321825</v>
      </c>
      <c r="Z9" s="4">
        <v>0.64610305401086843</v>
      </c>
      <c r="AA9" s="4"/>
      <c r="AB9" s="4">
        <v>0.5072800550149924</v>
      </c>
      <c r="AC9" s="4"/>
      <c r="AD9" s="4"/>
      <c r="AE9" s="4"/>
      <c r="AF9" s="4"/>
      <c r="AG9" s="4">
        <v>0.10828520613191878</v>
      </c>
      <c r="AH9" s="30">
        <v>28700</v>
      </c>
      <c r="AI9" s="4">
        <v>0.10378883232525088</v>
      </c>
      <c r="AJ9" s="4">
        <v>0.11399579079014549</v>
      </c>
      <c r="AK9" s="4"/>
      <c r="AL9" s="4">
        <v>6.4728911288799609E-2</v>
      </c>
      <c r="AM9" s="4">
        <v>0.14532308706345817</v>
      </c>
      <c r="AN9" s="4"/>
      <c r="AO9" s="4">
        <v>9.1544962473580696E-2</v>
      </c>
      <c r="AP9" s="4">
        <v>0.13964893823434996</v>
      </c>
      <c r="AQ9" s="4">
        <v>9.9055282079270071E-2</v>
      </c>
      <c r="AR9" s="4">
        <v>0.11386087041314093</v>
      </c>
      <c r="AS9" s="4">
        <v>0.10197631936611057</v>
      </c>
      <c r="AT9" s="4"/>
      <c r="AU9" s="4"/>
      <c r="AV9" s="4"/>
      <c r="AW9" s="4"/>
      <c r="AX9" s="4"/>
      <c r="AY9" s="4"/>
      <c r="AZ9" s="4">
        <v>0.10921619582182109</v>
      </c>
      <c r="BA9" s="4"/>
      <c r="BB9" s="4"/>
      <c r="BC9" s="4"/>
      <c r="BD9" s="4">
        <v>0.11431515279684405</v>
      </c>
      <c r="BE9" s="4"/>
      <c r="BF9" s="4">
        <v>0.11562253634193688</v>
      </c>
      <c r="BG9" s="4"/>
      <c r="BH9" s="4"/>
      <c r="BI9" s="4"/>
      <c r="BJ9" s="4"/>
      <c r="BK9" s="4">
        <v>0.27831011973785635</v>
      </c>
      <c r="BL9" s="30">
        <v>73700</v>
      </c>
      <c r="BM9" s="4">
        <v>0.24075375387336251</v>
      </c>
      <c r="BN9" s="4">
        <v>0.32309582217453575</v>
      </c>
      <c r="BO9" s="4">
        <v>0.1951269654029727</v>
      </c>
      <c r="BP9" s="4">
        <v>0.26012985942897798</v>
      </c>
      <c r="BQ9" s="4">
        <v>0.32496070103587682</v>
      </c>
      <c r="BR9" s="4">
        <v>0.49969208196868142</v>
      </c>
      <c r="BS9" s="4">
        <v>0.22970049733832668</v>
      </c>
      <c r="BT9" s="4">
        <v>0.35996017582955325</v>
      </c>
      <c r="BU9" s="4">
        <v>0.4984580831262605</v>
      </c>
      <c r="BV9" s="4">
        <v>0.21283345538892051</v>
      </c>
      <c r="BW9" s="4">
        <v>0.26948177936855983</v>
      </c>
      <c r="BX9" s="4"/>
      <c r="BY9" s="4"/>
      <c r="BZ9" s="4"/>
      <c r="CA9" s="4"/>
      <c r="CB9" s="4"/>
      <c r="CC9" s="4"/>
      <c r="CD9" s="4">
        <v>0.2268986775921715</v>
      </c>
      <c r="CE9" s="4">
        <v>0.25868362460689082</v>
      </c>
      <c r="CF9" s="4">
        <v>0.32152673846566154</v>
      </c>
      <c r="CG9" s="4"/>
      <c r="CH9" s="4">
        <v>0.23958179319228834</v>
      </c>
      <c r="CI9" s="4"/>
      <c r="CJ9" s="4">
        <v>0.37709740864307034</v>
      </c>
      <c r="CK9" s="4"/>
      <c r="CL9" s="4"/>
      <c r="CM9" s="4"/>
      <c r="CN9" s="4"/>
      <c r="CO9" s="4">
        <f t="shared" si="0"/>
        <v>0.7216898802621452</v>
      </c>
      <c r="CP9" s="30">
        <f>Wigan1[[#This Row],[Active - Numbers]]+Wigan1[[#This Row],[Fairly Active - Numbers]]</f>
        <v>191200</v>
      </c>
      <c r="CQ9" s="4">
        <f>Wigan1[[#This Row],[Male I]]-Wigan1[[#This Row],[Female I]]</f>
        <v>-8.2342068301173243E-2</v>
      </c>
      <c r="CR9" s="4">
        <f>Wigan1[[#This Row],[NS SEC 1-2: Higher social groups I]]-Wigan1[[#This Row],[NS SEC 6-8: Lower social groups I]]</f>
        <v>-9.4628060873490044E-2</v>
      </c>
      <c r="CS9" s="4">
        <f>Wigan1[[#This Row],[No LT limiting disability I]]-Wigan1[[#This Row],[LT limiting disability I]]</f>
        <v>-0.28562462773733999</v>
      </c>
      <c r="CT9" s="4">
        <f>Wigan1[[#This Row],[16-34 I]]-Wigan1[[#This Row],[75+ I]]</f>
        <v>-0.30456511656570873</v>
      </c>
      <c r="CU9" s="46">
        <v>0.41938851185128667</v>
      </c>
      <c r="CV9" s="46">
        <v>0.30937441630808504</v>
      </c>
      <c r="CW9" s="46">
        <v>0.58133326651061545</v>
      </c>
      <c r="CX9" s="152">
        <v>0.1056</v>
      </c>
    </row>
    <row r="10" spans="1:102" s="29" customFormat="1" x14ac:dyDescent="0.2">
      <c r="A10" s="156" t="s">
        <v>118</v>
      </c>
      <c r="B10" s="156" t="s">
        <v>155</v>
      </c>
      <c r="C10" s="64">
        <v>0.5917</v>
      </c>
      <c r="D10" s="30">
        <v>157900</v>
      </c>
      <c r="E10" s="170">
        <v>0.64209900895560157</v>
      </c>
      <c r="F10" s="170">
        <v>0.53580302335437202</v>
      </c>
      <c r="G10" s="170">
        <v>0.66277793303495369</v>
      </c>
      <c r="H10" s="170">
        <v>0.64269554278781471</v>
      </c>
      <c r="I10" s="170">
        <v>0.55127290469275336</v>
      </c>
      <c r="J10" s="170">
        <v>0.33459875583745302</v>
      </c>
      <c r="K10" s="170">
        <v>0.65170997899215588</v>
      </c>
      <c r="L10" s="170">
        <v>0.49994312894705084</v>
      </c>
      <c r="M10" s="170">
        <v>0.39239318840489984</v>
      </c>
      <c r="N10" s="170">
        <v>0.65423311460082967</v>
      </c>
      <c r="O10" s="170">
        <v>0.59632785783884124</v>
      </c>
      <c r="P10" s="46"/>
      <c r="Q10" s="46"/>
      <c r="R10" s="46"/>
      <c r="S10" s="46"/>
      <c r="T10" s="46"/>
      <c r="U10" s="46"/>
      <c r="V10" s="170">
        <v>0.70395885421722904</v>
      </c>
      <c r="W10" s="170">
        <v>0.56934219845822798</v>
      </c>
      <c r="X10" s="170">
        <v>0.54061006129343459</v>
      </c>
      <c r="Y10" s="170">
        <v>0.71275946943496005</v>
      </c>
      <c r="Z10" s="170">
        <v>0.63198164639024301</v>
      </c>
      <c r="AA10" s="46"/>
      <c r="AB10" s="170">
        <v>0.4845271913383184</v>
      </c>
      <c r="AC10" s="46"/>
      <c r="AD10" s="46"/>
      <c r="AE10" s="46"/>
      <c r="AF10" s="46"/>
      <c r="AG10" s="64">
        <v>0.1095</v>
      </c>
      <c r="AH10" s="30">
        <v>29200</v>
      </c>
      <c r="AI10" s="170">
        <v>9.9224218502552294E-2</v>
      </c>
      <c r="AJ10" s="170">
        <v>0.12145409674299229</v>
      </c>
      <c r="AK10" s="46"/>
      <c r="AL10" s="170">
        <v>8.4562330621930831E-2</v>
      </c>
      <c r="AM10" s="170">
        <v>0.14068989116401304</v>
      </c>
      <c r="AN10" s="46"/>
      <c r="AO10" s="170">
        <v>9.4806336314493547E-2</v>
      </c>
      <c r="AP10" s="170">
        <v>0.13333209876960281</v>
      </c>
      <c r="AQ10" s="46"/>
      <c r="AR10" s="170">
        <v>0.11097730248364517</v>
      </c>
      <c r="AS10" s="170">
        <v>0.11190180974869769</v>
      </c>
      <c r="AT10" s="46"/>
      <c r="AU10" s="46"/>
      <c r="AV10" s="46"/>
      <c r="AW10" s="46"/>
      <c r="AX10" s="46"/>
      <c r="AY10" s="46"/>
      <c r="AZ10" s="170">
        <v>0.11140757689212087</v>
      </c>
      <c r="BA10" s="170">
        <v>0.15130752593423535</v>
      </c>
      <c r="BB10" s="46"/>
      <c r="BC10" s="46"/>
      <c r="BD10" s="170">
        <v>0.11702525731491249</v>
      </c>
      <c r="BE10" s="46"/>
      <c r="BF10" s="170">
        <v>0.12284297107503646</v>
      </c>
      <c r="BG10" s="46"/>
      <c r="BH10" s="46"/>
      <c r="BI10" s="46"/>
      <c r="BJ10" s="46"/>
      <c r="BK10" s="64">
        <v>0.29880000000000001</v>
      </c>
      <c r="BL10" s="30">
        <v>79700</v>
      </c>
      <c r="BM10" s="170">
        <v>0.25867677254184684</v>
      </c>
      <c r="BN10" s="170">
        <v>0.34274287990263647</v>
      </c>
      <c r="BO10" s="170">
        <v>0.22983810719753511</v>
      </c>
      <c r="BP10" s="170">
        <v>0.27274212659025382</v>
      </c>
      <c r="BQ10" s="170">
        <v>0.3080372041432326</v>
      </c>
      <c r="BR10" s="170">
        <v>0.55577019518812465</v>
      </c>
      <c r="BS10" s="170">
        <v>0.25348368469335092</v>
      </c>
      <c r="BT10" s="170">
        <v>0.36672477228334882</v>
      </c>
      <c r="BU10" s="170">
        <v>0.48477749014502064</v>
      </c>
      <c r="BV10" s="170">
        <v>0.2347895829155244</v>
      </c>
      <c r="BW10" s="170">
        <v>0.29177033241246014</v>
      </c>
      <c r="BX10" s="46"/>
      <c r="BY10" s="46"/>
      <c r="BZ10" s="46"/>
      <c r="CA10" s="46"/>
      <c r="CB10" s="46"/>
      <c r="CC10" s="46"/>
      <c r="CD10" s="170">
        <v>0.18463356889064891</v>
      </c>
      <c r="CE10" s="170">
        <v>0.27935027560753645</v>
      </c>
      <c r="CF10" s="170">
        <v>0.3784083941449195</v>
      </c>
      <c r="CG10" s="46"/>
      <c r="CH10" s="170">
        <v>0.25099309629484512</v>
      </c>
      <c r="CI10" s="46"/>
      <c r="CJ10" s="170">
        <v>0.39262983758664388</v>
      </c>
      <c r="CK10" s="46"/>
      <c r="CL10" s="46"/>
      <c r="CM10" s="46"/>
      <c r="CN10" s="46"/>
      <c r="CO10" s="64"/>
      <c r="CP10" s="130">
        <f>Wigan1[[#This Row],[Active - Numbers]]+Wigan1[[#This Row],[Fairly Active - Numbers]]</f>
        <v>187100</v>
      </c>
      <c r="CQ10" s="64">
        <f>Wigan1[[#This Row],[Male I]]-Wigan1[[#This Row],[Female I]]</f>
        <v>-8.4066107360789621E-2</v>
      </c>
      <c r="CR10" s="64">
        <f>Wigan1[[#This Row],[NS SEC 1-2: Higher social groups I]]-Wigan1[[#This Row],[NS SEC 6-8: Lower social groups I]]</f>
        <v>-0.19377482525427059</v>
      </c>
      <c r="CS10" s="64">
        <f>Wigan1[[#This Row],[No LT limiting disability I]]-Wigan1[[#This Row],[LT limiting disability I]]</f>
        <v>-0.24998790722949624</v>
      </c>
      <c r="CT10" s="64">
        <f>Wigan1[[#This Row],[16-34 I]]-Wigan1[[#This Row],[75+ I]]</f>
        <v>-0.32593208799058954</v>
      </c>
      <c r="CU10" s="173">
        <v>0.41806585939142954</v>
      </c>
      <c r="CV10" s="173">
        <v>0.2648071220970355</v>
      </c>
      <c r="CW10" s="173">
        <v>0.549950584815456</v>
      </c>
      <c r="CX10" s="150"/>
    </row>
    <row r="11" spans="1:102" x14ac:dyDescent="0.2">
      <c r="A11" s="4" t="s">
        <v>118</v>
      </c>
      <c r="B11" s="4" t="s">
        <v>42</v>
      </c>
      <c r="C11" s="4">
        <f>C10-C3</f>
        <v>1.980000000000004E-2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7.4000000000000038E-3</v>
      </c>
      <c r="AH11" s="26"/>
      <c r="AI11" s="4">
        <f t="shared" ref="AI11:BK11" si="1">AI10-AI3</f>
        <v>-3.6052773767536045E-3</v>
      </c>
      <c r="AJ11" s="4">
        <f t="shared" si="1"/>
        <v>1.9968834252638581E-2</v>
      </c>
      <c r="AK11" s="4">
        <f t="shared" si="1"/>
        <v>0</v>
      </c>
      <c r="AL11" s="4">
        <f t="shared" si="1"/>
        <v>-5.1306148239551042E-2</v>
      </c>
      <c r="AM11" s="4">
        <f t="shared" si="1"/>
        <v>5.0842614939954275E-2</v>
      </c>
      <c r="AN11" s="4">
        <f t="shared" si="1"/>
        <v>0</v>
      </c>
      <c r="AO11" s="4">
        <f t="shared" si="1"/>
        <v>9.4806336314493547E-2</v>
      </c>
      <c r="AP11" s="4">
        <f t="shared" si="1"/>
        <v>0.13333209876960281</v>
      </c>
      <c r="AQ11" s="4">
        <f t="shared" si="1"/>
        <v>0</v>
      </c>
      <c r="AR11" s="4">
        <f t="shared" si="1"/>
        <v>5.9259117891757029E-3</v>
      </c>
      <c r="AS11" s="4">
        <f t="shared" si="1"/>
        <v>9.150158988207327E-3</v>
      </c>
      <c r="AT11" s="4">
        <f t="shared" si="1"/>
        <v>0</v>
      </c>
      <c r="AU11" s="4">
        <f t="shared" si="1"/>
        <v>0</v>
      </c>
      <c r="AV11" s="4">
        <f t="shared" si="1"/>
        <v>0</v>
      </c>
      <c r="AW11" s="4">
        <f t="shared" si="1"/>
        <v>0</v>
      </c>
      <c r="AX11" s="4">
        <f t="shared" si="1"/>
        <v>0</v>
      </c>
      <c r="AY11" s="4">
        <f t="shared" si="1"/>
        <v>0</v>
      </c>
      <c r="AZ11" s="4">
        <f t="shared" si="1"/>
        <v>2.543572672357694E-2</v>
      </c>
      <c r="BA11" s="4">
        <f t="shared" si="1"/>
        <v>1.4950715313222479E-2</v>
      </c>
      <c r="BB11" s="4">
        <f t="shared" si="1"/>
        <v>0</v>
      </c>
      <c r="BC11" s="4">
        <f t="shared" si="1"/>
        <v>0</v>
      </c>
      <c r="BD11" s="4">
        <f t="shared" si="1"/>
        <v>0.11702525731491249</v>
      </c>
      <c r="BE11" s="4">
        <f t="shared" si="1"/>
        <v>0</v>
      </c>
      <c r="BF11" s="4">
        <f t="shared" si="1"/>
        <v>0.12284297107503646</v>
      </c>
      <c r="BG11" s="4">
        <f t="shared" si="1"/>
        <v>0</v>
      </c>
      <c r="BH11" s="4">
        <f t="shared" si="1"/>
        <v>0</v>
      </c>
      <c r="BI11" s="4">
        <f t="shared" si="1"/>
        <v>0</v>
      </c>
      <c r="BJ11" s="4">
        <f t="shared" si="1"/>
        <v>0</v>
      </c>
      <c r="BK11" s="4">
        <f t="shared" si="1"/>
        <v>-2.7299999999999991E-2</v>
      </c>
      <c r="BL11" s="26"/>
      <c r="BM11" s="4">
        <f t="shared" ref="BM11:CP11" si="2">BM10-BM3</f>
        <v>-2.1125436106560314E-2</v>
      </c>
      <c r="BN11" s="4">
        <f t="shared" si="2"/>
        <v>-2.6419391034385842E-2</v>
      </c>
      <c r="BO11" s="4">
        <f t="shared" si="2"/>
        <v>2.7395853606170001E-2</v>
      </c>
      <c r="BP11" s="4">
        <f t="shared" si="2"/>
        <v>-2.2006594211102737E-2</v>
      </c>
      <c r="BQ11" s="4">
        <f t="shared" si="2"/>
        <v>-7.8304631252672507E-2</v>
      </c>
      <c r="BR11" s="4">
        <f t="shared" si="2"/>
        <v>-0.10098810924485235</v>
      </c>
      <c r="BS11" s="4">
        <f t="shared" si="2"/>
        <v>0.25348368469335092</v>
      </c>
      <c r="BT11" s="4">
        <f t="shared" si="2"/>
        <v>0.36672477228334882</v>
      </c>
      <c r="BU11" s="4">
        <f t="shared" si="2"/>
        <v>-3.0975279345094975E-2</v>
      </c>
      <c r="BV11" s="4">
        <f t="shared" si="2"/>
        <v>-4.654281597646906E-2</v>
      </c>
      <c r="BW11" s="4">
        <f t="shared" si="2"/>
        <v>-3.1578364749954013E-2</v>
      </c>
      <c r="BX11" s="4">
        <f t="shared" si="2"/>
        <v>0</v>
      </c>
      <c r="BY11" s="4">
        <f t="shared" si="2"/>
        <v>0</v>
      </c>
      <c r="BZ11" s="4">
        <f t="shared" si="2"/>
        <v>0</v>
      </c>
      <c r="CA11" s="4">
        <f t="shared" si="2"/>
        <v>0</v>
      </c>
      <c r="CB11" s="4">
        <f t="shared" si="2"/>
        <v>0</v>
      </c>
      <c r="CC11" s="4">
        <f t="shared" si="2"/>
        <v>0</v>
      </c>
      <c r="CD11" s="4">
        <f t="shared" si="2"/>
        <v>-6.0976955144936895E-2</v>
      </c>
      <c r="CE11" s="4">
        <f t="shared" si="2"/>
        <v>-2.0789040477589504E-2</v>
      </c>
      <c r="CF11" s="4">
        <f t="shared" si="2"/>
        <v>-3.6919266119942451E-2</v>
      </c>
      <c r="CG11" s="4">
        <f t="shared" si="2"/>
        <v>0</v>
      </c>
      <c r="CH11" s="4">
        <f t="shared" si="2"/>
        <v>0.25099309629484512</v>
      </c>
      <c r="CI11" s="4">
        <f t="shared" si="2"/>
        <v>0</v>
      </c>
      <c r="CJ11" s="4">
        <f t="shared" si="2"/>
        <v>0.39262983758664388</v>
      </c>
      <c r="CK11" s="4">
        <f t="shared" si="2"/>
        <v>0</v>
      </c>
      <c r="CL11" s="4">
        <f t="shared" si="2"/>
        <v>0</v>
      </c>
      <c r="CM11" s="4">
        <f t="shared" si="2"/>
        <v>0</v>
      </c>
      <c r="CN11" s="4">
        <f t="shared" si="2"/>
        <v>0</v>
      </c>
      <c r="CO11" s="4">
        <f t="shared" si="2"/>
        <v>-0.67399999999999993</v>
      </c>
      <c r="CP11" s="30">
        <f t="shared" si="2"/>
        <v>10600</v>
      </c>
      <c r="CQ11" s="4">
        <f>Wigan1[[#This Row],[Male I]]-Wigan1[[#This Row],[Female I]]</f>
        <v>5.2939549278255282E-3</v>
      </c>
      <c r="CR11" s="4">
        <f>Wigan1[[#This Row],[NS SEC 1-2: Higher social groups I]]-Wigan1[[#This Row],[NS SEC 6-8: Lower social groups I]]</f>
        <v>-2.4057689024994444E-2</v>
      </c>
      <c r="CS11" s="4">
        <f>Wigan1[[#This Row],[No LT limiting disability I]]-Wigan1[[#This Row],[LT limiting disability I]]</f>
        <v>-1.5567536631374085E-2</v>
      </c>
      <c r="CT11" s="4">
        <f>Wigan1[[#This Row],[16-34 I]]-Wigan1[[#This Row],[75+ I]]</f>
        <v>0.12838396285102235</v>
      </c>
      <c r="CU11" s="65">
        <f>CU10-CU7</f>
        <v>1.9243867171359064E-4</v>
      </c>
      <c r="CV11" s="65">
        <f>CV10-CV7</f>
        <v>1.3637747099364828E-3</v>
      </c>
      <c r="CW11" s="65">
        <f>CW10-CW7</f>
        <v>-8.4243470819296284E-3</v>
      </c>
      <c r="CX11" s="64"/>
    </row>
  </sheetData>
  <mergeCells count="3">
    <mergeCell ref="C1:AD1"/>
    <mergeCell ref="AF1:BG1"/>
    <mergeCell ref="BI1:CJ1"/>
  </mergeCells>
  <conditionalFormatting sqref="D9 D4">
    <cfRule type="containsText" dxfId="979" priority="21" operator="containsText" text="Significant increase">
      <formula>NOT(ISERROR(SEARCH("Significant increase",D4)))</formula>
    </cfRule>
    <cfRule type="containsText" dxfId="978" priority="22" operator="containsText" text="Significant decrease">
      <formula>NOT(ISERROR(SEARCH("Significant decrease",D4)))</formula>
    </cfRule>
  </conditionalFormatting>
  <conditionalFormatting sqref="AH9 AH4">
    <cfRule type="containsText" dxfId="977" priority="19" operator="containsText" text="Significant increase">
      <formula>NOT(ISERROR(SEARCH("Significant increase",AH4)))</formula>
    </cfRule>
    <cfRule type="containsText" dxfId="976" priority="20" operator="containsText" text="Significant decrease">
      <formula>NOT(ISERROR(SEARCH("Significant decrease",AH4)))</formula>
    </cfRule>
  </conditionalFormatting>
  <conditionalFormatting sqref="BL9 BL4">
    <cfRule type="containsText" dxfId="975" priority="17" operator="containsText" text="Significant increase">
      <formula>NOT(ISERROR(SEARCH("Significant increase",BL4)))</formula>
    </cfRule>
    <cfRule type="containsText" dxfId="974" priority="18" operator="containsText" text="Significant decrease">
      <formula>NOT(ISERROR(SEARCH("Significant decrease",BL4)))</formula>
    </cfRule>
  </conditionalFormatting>
  <conditionalFormatting sqref="CX9:CX10">
    <cfRule type="containsText" dxfId="973" priority="15" operator="containsText" text="Significant increase">
      <formula>NOT(ISERROR(SEARCH("Significant increase",CX9)))</formula>
    </cfRule>
    <cfRule type="containsText" dxfId="972" priority="16" operator="containsText" text="Significant decrease">
      <formula>NOT(ISERROR(SEARCH("Significant decrease",CX9)))</formula>
    </cfRule>
  </conditionalFormatting>
  <conditionalFormatting sqref="CX8">
    <cfRule type="containsText" dxfId="971" priority="13" operator="containsText" text="Significant increase">
      <formula>NOT(ISERROR(SEARCH("Significant increase",CX8)))</formula>
    </cfRule>
    <cfRule type="containsText" dxfId="970" priority="14" operator="containsText" text="Significant decrease">
      <formula>NOT(ISERROR(SEARCH("Significant decrease",CX8)))</formula>
    </cfRule>
  </conditionalFormatting>
  <conditionalFormatting sqref="CX7">
    <cfRule type="containsText" dxfId="969" priority="11" operator="containsText" text="Significant increase">
      <formula>NOT(ISERROR(SEARCH("Significant increase",CX7)))</formula>
    </cfRule>
    <cfRule type="containsText" dxfId="968" priority="12" operator="containsText" text="Significant decrease">
      <formula>NOT(ISERROR(SEARCH("Significant decrease",CX7)))</formula>
    </cfRule>
  </conditionalFormatting>
  <conditionalFormatting sqref="CX6">
    <cfRule type="containsText" dxfId="967" priority="9" operator="containsText" text="Significant increase">
      <formula>NOT(ISERROR(SEARCH("Significant increase",CX6)))</formula>
    </cfRule>
    <cfRule type="containsText" dxfId="966" priority="10" operator="containsText" text="Significant decrease">
      <formula>NOT(ISERROR(SEARCH("Significant decrease",CX6)))</formula>
    </cfRule>
  </conditionalFormatting>
  <conditionalFormatting sqref="CX4">
    <cfRule type="containsText" dxfId="965" priority="7" operator="containsText" text="Significant increase">
      <formula>NOT(ISERROR(SEARCH("Significant increase",CX4)))</formula>
    </cfRule>
    <cfRule type="containsText" dxfId="964" priority="8" operator="containsText" text="Significant decrease">
      <formula>NOT(ISERROR(SEARCH("Significant decrease",CX4)))</formula>
    </cfRule>
  </conditionalFormatting>
  <conditionalFormatting sqref="D10">
    <cfRule type="containsText" dxfId="963" priority="5" operator="containsText" text="Significant increase">
      <formula>NOT(ISERROR(SEARCH("Significant increase",D10)))</formula>
    </cfRule>
    <cfRule type="containsText" dxfId="962" priority="6" operator="containsText" text="Significant decrease">
      <formula>NOT(ISERROR(SEARCH("Significant decrease",D10)))</formula>
    </cfRule>
  </conditionalFormatting>
  <conditionalFormatting sqref="AH10">
    <cfRule type="containsText" dxfId="961" priority="3" operator="containsText" text="Significant increase">
      <formula>NOT(ISERROR(SEARCH("Significant increase",AH10)))</formula>
    </cfRule>
    <cfRule type="containsText" dxfId="960" priority="4" operator="containsText" text="Significant decrease">
      <formula>NOT(ISERROR(SEARCH("Significant decrease",AH10)))</formula>
    </cfRule>
  </conditionalFormatting>
  <conditionalFormatting sqref="BL10">
    <cfRule type="containsText" dxfId="959" priority="1" operator="containsText" text="Significant increase">
      <formula>NOT(ISERROR(SEARCH("Significant increase",BL10)))</formula>
    </cfRule>
    <cfRule type="containsText" dxfId="958"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
  <sheetViews>
    <sheetView topLeftCell="B1" workbookViewId="0">
      <selection activeCell="BK10" sqref="BK10"/>
    </sheetView>
  </sheetViews>
  <sheetFormatPr defaultRowHeight="14.25" x14ac:dyDescent="0.2"/>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workbookViewId="0">
      <selection activeCell="D7" sqref="D7:D8"/>
    </sheetView>
  </sheetViews>
  <sheetFormatPr defaultRowHeight="14.25" x14ac:dyDescent="0.2"/>
  <cols>
    <col min="2" max="2" width="9.5" customWidth="1"/>
    <col min="4" max="4" width="13.796875" customWidth="1"/>
    <col min="5" max="5" width="12.69921875" customWidth="1"/>
    <col min="6" max="6" width="21.69921875" customWidth="1"/>
    <col min="7" max="7" width="30.69921875" customWidth="1"/>
    <col min="8" max="8" width="26" customWidth="1"/>
    <col min="9" max="9" width="22.3984375" customWidth="1"/>
    <col min="10" max="10" width="29.796875" customWidth="1"/>
    <col min="15" max="15" width="9.09765625" customWidth="1"/>
  </cols>
  <sheetData>
    <row r="2" spans="1:48" x14ac:dyDescent="0.2">
      <c r="A2" s="6" t="s">
        <v>106</v>
      </c>
      <c r="B2" s="5" t="s">
        <v>0</v>
      </c>
      <c r="C2" t="s">
        <v>121</v>
      </c>
      <c r="D2" s="29" t="s">
        <v>157</v>
      </c>
      <c r="E2" t="s">
        <v>120</v>
      </c>
      <c r="F2" s="29" t="s">
        <v>158</v>
      </c>
      <c r="G2" t="s">
        <v>126</v>
      </c>
      <c r="H2" s="29" t="s">
        <v>160</v>
      </c>
      <c r="I2" s="20" t="s">
        <v>127</v>
      </c>
      <c r="J2" s="20" t="s">
        <v>128</v>
      </c>
      <c r="K2" s="20" t="s">
        <v>129</v>
      </c>
      <c r="L2" s="20" t="s">
        <v>130</v>
      </c>
      <c r="M2" s="20" t="s">
        <v>131</v>
      </c>
      <c r="N2" s="20" t="s">
        <v>99</v>
      </c>
      <c r="O2" s="20" t="s">
        <v>165</v>
      </c>
      <c r="P2" s="31" t="s">
        <v>285</v>
      </c>
      <c r="Q2" s="31" t="s">
        <v>286</v>
      </c>
      <c r="R2" s="31" t="s">
        <v>276</v>
      </c>
      <c r="S2" s="31" t="s">
        <v>277</v>
      </c>
      <c r="T2" s="31" t="s">
        <v>278</v>
      </c>
      <c r="U2" s="31" t="s">
        <v>279</v>
      </c>
      <c r="V2" s="31" t="s">
        <v>280</v>
      </c>
      <c r="W2" s="31" t="s">
        <v>281</v>
      </c>
      <c r="X2" s="31" t="s">
        <v>282</v>
      </c>
      <c r="Y2" s="31" t="s">
        <v>283</v>
      </c>
      <c r="Z2" s="31" t="s">
        <v>284</v>
      </c>
      <c r="AA2" s="31" t="s">
        <v>287</v>
      </c>
      <c r="AB2" s="31" t="s">
        <v>288</v>
      </c>
      <c r="AC2" s="31" t="s">
        <v>258</v>
      </c>
      <c r="AD2" s="31" t="s">
        <v>259</v>
      </c>
      <c r="AE2" s="31" t="s">
        <v>260</v>
      </c>
      <c r="AF2" s="31" t="s">
        <v>261</v>
      </c>
      <c r="AG2" s="31" t="s">
        <v>262</v>
      </c>
      <c r="AH2" s="31" t="s">
        <v>263</v>
      </c>
      <c r="AI2" s="31" t="s">
        <v>264</v>
      </c>
      <c r="AJ2" s="31" t="s">
        <v>265</v>
      </c>
      <c r="AK2" s="31" t="s">
        <v>266</v>
      </c>
      <c r="AL2" s="31" t="s">
        <v>289</v>
      </c>
      <c r="AM2" s="31" t="s">
        <v>290</v>
      </c>
      <c r="AN2" s="31" t="s">
        <v>267</v>
      </c>
      <c r="AO2" s="31" t="s">
        <v>268</v>
      </c>
      <c r="AP2" s="31" t="s">
        <v>269</v>
      </c>
      <c r="AQ2" s="31" t="s">
        <v>270</v>
      </c>
      <c r="AR2" s="31" t="s">
        <v>271</v>
      </c>
      <c r="AS2" s="31" t="s">
        <v>272</v>
      </c>
      <c r="AT2" s="31" t="s">
        <v>273</v>
      </c>
      <c r="AU2" s="31" t="s">
        <v>274</v>
      </c>
      <c r="AV2" s="31" t="s">
        <v>275</v>
      </c>
    </row>
    <row r="3" spans="1:48" x14ac:dyDescent="0.2">
      <c r="A3" t="s">
        <v>107</v>
      </c>
      <c r="B3" t="s">
        <v>132</v>
      </c>
      <c r="C3" s="4">
        <v>0.43259999999999998</v>
      </c>
      <c r="D3" s="30">
        <v>3040700</v>
      </c>
      <c r="E3" s="4">
        <v>0.23880000000000001</v>
      </c>
      <c r="F3" s="30">
        <v>1678600</v>
      </c>
      <c r="G3" s="4">
        <v>0.32850000000000001</v>
      </c>
      <c r="H3" s="30">
        <v>2309000</v>
      </c>
      <c r="I3" s="4">
        <v>0.1754</v>
      </c>
      <c r="J3" s="4">
        <v>0.32529999999999998</v>
      </c>
      <c r="K3" s="4">
        <v>0.52629999999999999</v>
      </c>
      <c r="L3" s="4">
        <v>0.39539999999999997</v>
      </c>
      <c r="M3" s="155">
        <v>0.37640000000000001</v>
      </c>
      <c r="N3" s="28">
        <f>SUM(C3,E3)</f>
        <v>0.6714</v>
      </c>
      <c r="O3" s="30">
        <f>SUM(D3,F3)</f>
        <v>4719300</v>
      </c>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row>
    <row r="4" spans="1:48" x14ac:dyDescent="0.2">
      <c r="A4" t="s">
        <v>107</v>
      </c>
      <c r="B4" t="s">
        <v>133</v>
      </c>
      <c r="C4" s="4">
        <v>0.46810000000000002</v>
      </c>
      <c r="D4" s="30">
        <v>3320200</v>
      </c>
      <c r="E4" s="4">
        <v>0.24199999999999999</v>
      </c>
      <c r="F4" s="30">
        <v>1716700</v>
      </c>
      <c r="G4" s="4">
        <v>0.2898</v>
      </c>
      <c r="H4" s="30">
        <v>2055700</v>
      </c>
      <c r="I4" s="4">
        <v>0.19600000000000001</v>
      </c>
      <c r="J4" s="4">
        <v>0.33810000000000001</v>
      </c>
      <c r="K4" s="4">
        <v>0.57220000000000004</v>
      </c>
      <c r="L4" s="4">
        <v>0.40389999999999998</v>
      </c>
      <c r="M4" s="155">
        <v>0.37990000000000002</v>
      </c>
      <c r="N4" s="28">
        <f>SUM(C4,E4)</f>
        <v>0.71009999999999995</v>
      </c>
      <c r="O4" s="30">
        <f>SUM(D4,F4)</f>
        <v>5036900</v>
      </c>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row>
  </sheetData>
  <conditionalFormatting sqref="C3">
    <cfRule type="containsText" dxfId="855" priority="29" operator="containsText" text="Significant increase">
      <formula>NOT(ISERROR(SEARCH("Significant increase",C3)))</formula>
    </cfRule>
  </conditionalFormatting>
  <conditionalFormatting sqref="E3">
    <cfRule type="containsText" dxfId="854" priority="28" operator="containsText" text="Significant increase">
      <formula>NOT(ISERROR(SEARCH("Significant increase",E3)))</formula>
    </cfRule>
  </conditionalFormatting>
  <conditionalFormatting sqref="G3">
    <cfRule type="containsText" dxfId="853" priority="27" operator="containsText" text="Significant increase">
      <formula>NOT(ISERROR(SEARCH("Significant increase",G3)))</formula>
    </cfRule>
  </conditionalFormatting>
  <conditionalFormatting sqref="C4">
    <cfRule type="containsText" dxfId="852" priority="26" operator="containsText" text="Significant increase">
      <formula>NOT(ISERROR(SEARCH("Significant increase",C4)))</formula>
    </cfRule>
  </conditionalFormatting>
  <conditionalFormatting sqref="E4">
    <cfRule type="containsText" dxfId="851" priority="25" operator="containsText" text="Significant increase">
      <formula>NOT(ISERROR(SEARCH("Significant increase",E4)))</formula>
    </cfRule>
  </conditionalFormatting>
  <conditionalFormatting sqref="G4">
    <cfRule type="containsText" dxfId="850" priority="24" operator="containsText" text="Significant increase">
      <formula>NOT(ISERROR(SEARCH("Significant increase",G4)))</formula>
    </cfRule>
  </conditionalFormatting>
  <conditionalFormatting sqref="L3">
    <cfRule type="containsText" dxfId="849" priority="22" operator="containsText" text="Significant increase">
      <formula>NOT(ISERROR(SEARCH("Significant increase",L3)))</formula>
    </cfRule>
    <cfRule type="containsText" dxfId="848" priority="23" operator="containsText" text="Significant decrease">
      <formula>NOT(ISERROR(SEARCH("Significant decrease",L3)))</formula>
    </cfRule>
  </conditionalFormatting>
  <conditionalFormatting sqref="L4">
    <cfRule type="containsText" dxfId="847" priority="20" operator="containsText" text="Significant increase">
      <formula>NOT(ISERROR(SEARCH("Significant increase",L4)))</formula>
    </cfRule>
    <cfRule type="containsText" dxfId="846" priority="21" operator="containsText" text="Significant decrease">
      <formula>NOT(ISERROR(SEARCH("Significant decrease",L4)))</formula>
    </cfRule>
  </conditionalFormatting>
  <conditionalFormatting sqref="K3">
    <cfRule type="containsText" dxfId="845" priority="18" operator="containsText" text="Significant increase">
      <formula>NOT(ISERROR(SEARCH("Significant increase",K3)))</formula>
    </cfRule>
    <cfRule type="containsText" dxfId="844" priority="19" operator="containsText" text="Significant decrease">
      <formula>NOT(ISERROR(SEARCH("Significant decrease",K3)))</formula>
    </cfRule>
  </conditionalFormatting>
  <conditionalFormatting sqref="K4">
    <cfRule type="containsText" dxfId="843" priority="16" operator="containsText" text="Significant increase">
      <formula>NOT(ISERROR(SEARCH("Significant increase",K4)))</formula>
    </cfRule>
    <cfRule type="containsText" dxfId="842" priority="17" operator="containsText" text="Significant decrease">
      <formula>NOT(ISERROR(SEARCH("Significant decrease",K4)))</formula>
    </cfRule>
  </conditionalFormatting>
  <conditionalFormatting sqref="J3">
    <cfRule type="containsText" dxfId="841" priority="14" operator="containsText" text="Significant increase">
      <formula>NOT(ISERROR(SEARCH("Significant increase",J3)))</formula>
    </cfRule>
    <cfRule type="containsText" dxfId="840" priority="15" operator="containsText" text="Significant decrease">
      <formula>NOT(ISERROR(SEARCH("Significant decrease",J3)))</formula>
    </cfRule>
  </conditionalFormatting>
  <conditionalFormatting sqref="J4">
    <cfRule type="containsText" dxfId="839" priority="12" operator="containsText" text="Significant increase">
      <formula>NOT(ISERROR(SEARCH("Significant increase",J4)))</formula>
    </cfRule>
    <cfRule type="containsText" dxfId="838" priority="13" operator="containsText" text="Significant decrease">
      <formula>NOT(ISERROR(SEARCH("Significant decrease",J4)))</formula>
    </cfRule>
  </conditionalFormatting>
  <conditionalFormatting sqref="I3">
    <cfRule type="containsText" dxfId="837" priority="10" operator="containsText" text="Significant increase">
      <formula>NOT(ISERROR(SEARCH("Significant increase",I3)))</formula>
    </cfRule>
    <cfRule type="containsText" dxfId="836" priority="11" operator="containsText" text="Significant decrease">
      <formula>NOT(ISERROR(SEARCH("Significant decrease",I3)))</formula>
    </cfRule>
  </conditionalFormatting>
  <conditionalFormatting sqref="I4">
    <cfRule type="containsText" dxfId="835" priority="8" operator="containsText" text="Significant increase">
      <formula>NOT(ISERROR(SEARCH("Significant increase",I4)))</formula>
    </cfRule>
    <cfRule type="containsText" dxfId="834" priority="9" operator="containsText" text="Significant decrease">
      <formula>NOT(ISERROR(SEARCH("Significant decrease",I4)))</formula>
    </cfRule>
  </conditionalFormatting>
  <conditionalFormatting sqref="D3:D4">
    <cfRule type="containsText" dxfId="833" priority="7" operator="containsText" text="Significant increase">
      <formula>NOT(ISERROR(SEARCH("Significant increase",D3)))</formula>
    </cfRule>
  </conditionalFormatting>
  <conditionalFormatting sqref="F3:F4">
    <cfRule type="containsText" dxfId="832" priority="6" operator="containsText" text="Significant increase">
      <formula>NOT(ISERROR(SEARCH("Significant increase",F3)))</formula>
    </cfRule>
  </conditionalFormatting>
  <conditionalFormatting sqref="H3:H4">
    <cfRule type="containsText" dxfId="831" priority="5" operator="containsText" text="Significant increase">
      <formula>NOT(ISERROR(SEARCH("Significant increase",H3)))</formula>
    </cfRule>
  </conditionalFormatting>
  <conditionalFormatting sqref="M3">
    <cfRule type="containsText" dxfId="830" priority="3" operator="containsText" text="Significant increase">
      <formula>NOT(ISERROR(SEARCH("Significant increase",M3)))</formula>
    </cfRule>
    <cfRule type="containsText" dxfId="829" priority="4" operator="containsText" text="Significant decrease">
      <formula>NOT(ISERROR(SEARCH("Significant decrease",M3)))</formula>
    </cfRule>
  </conditionalFormatting>
  <conditionalFormatting sqref="M4">
    <cfRule type="containsText" dxfId="828" priority="1" operator="containsText" text="Significant increase">
      <formula>NOT(ISERROR(SEARCH("Significant increase",M4)))</formula>
    </cfRule>
    <cfRule type="containsText" dxfId="827" priority="2" operator="containsText" text="Significant decrease">
      <formula>NOT(ISERROR(SEARCH("Significant decrease",M4)))</formula>
    </cfRule>
  </conditionalFormatting>
  <pageMargins left="0.7" right="0.7" top="0.75" bottom="0.75" header="0.3" footer="0.3"/>
  <pageSetup paperSize="9" orientation="portrait" horizontalDpi="4294967293" verticalDpi="0"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workbookViewId="0">
      <selection activeCell="K11" sqref="K11"/>
    </sheetView>
  </sheetViews>
  <sheetFormatPr defaultRowHeight="14.25" x14ac:dyDescent="0.2"/>
  <cols>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 min="15" max="15" width="12.19921875" customWidth="1"/>
  </cols>
  <sheetData>
    <row r="2" spans="1:48" x14ac:dyDescent="0.2">
      <c r="A2" s="6" t="s">
        <v>106</v>
      </c>
      <c r="B2" s="5" t="s">
        <v>0</v>
      </c>
      <c r="C2" t="s">
        <v>121</v>
      </c>
      <c r="D2" s="29" t="s">
        <v>157</v>
      </c>
      <c r="E2" t="s">
        <v>120</v>
      </c>
      <c r="F2" s="29" t="s">
        <v>158</v>
      </c>
      <c r="G2" t="s">
        <v>126</v>
      </c>
      <c r="H2" s="29" t="s">
        <v>160</v>
      </c>
      <c r="I2" s="20" t="s">
        <v>127</v>
      </c>
      <c r="J2" s="20" t="s">
        <v>128</v>
      </c>
      <c r="K2" s="20" t="s">
        <v>129</v>
      </c>
      <c r="L2" s="20" t="s">
        <v>130</v>
      </c>
      <c r="M2" s="20" t="s">
        <v>131</v>
      </c>
      <c r="N2" s="20" t="s">
        <v>99</v>
      </c>
      <c r="O2" s="31" t="s">
        <v>165</v>
      </c>
      <c r="P2" s="31" t="s">
        <v>285</v>
      </c>
      <c r="Q2" s="31" t="s">
        <v>286</v>
      </c>
      <c r="R2" s="20" t="s">
        <v>276</v>
      </c>
      <c r="S2" s="20" t="s">
        <v>277</v>
      </c>
      <c r="T2" s="20" t="s">
        <v>278</v>
      </c>
      <c r="U2" s="20" t="s">
        <v>279</v>
      </c>
      <c r="V2" s="20" t="s">
        <v>280</v>
      </c>
      <c r="W2" s="20" t="s">
        <v>281</v>
      </c>
      <c r="X2" s="20" t="s">
        <v>282</v>
      </c>
      <c r="Y2" s="20" t="s">
        <v>283</v>
      </c>
      <c r="Z2" s="20" t="s">
        <v>284</v>
      </c>
      <c r="AA2" s="20" t="s">
        <v>287</v>
      </c>
      <c r="AB2" s="20" t="s">
        <v>288</v>
      </c>
      <c r="AC2" s="20" t="s">
        <v>258</v>
      </c>
      <c r="AD2" s="20" t="s">
        <v>259</v>
      </c>
      <c r="AE2" s="20" t="s">
        <v>260</v>
      </c>
      <c r="AF2" s="20" t="s">
        <v>261</v>
      </c>
      <c r="AG2" s="20" t="s">
        <v>262</v>
      </c>
      <c r="AH2" s="20" t="s">
        <v>263</v>
      </c>
      <c r="AI2" s="20" t="s">
        <v>264</v>
      </c>
      <c r="AJ2" s="20" t="s">
        <v>265</v>
      </c>
      <c r="AK2" s="20" t="s">
        <v>266</v>
      </c>
      <c r="AL2" s="20" t="s">
        <v>289</v>
      </c>
      <c r="AM2" s="20" t="s">
        <v>290</v>
      </c>
      <c r="AN2" s="20" t="s">
        <v>267</v>
      </c>
      <c r="AO2" s="20" t="s">
        <v>268</v>
      </c>
      <c r="AP2" s="20" t="s">
        <v>269</v>
      </c>
      <c r="AQ2" s="20" t="s">
        <v>270</v>
      </c>
      <c r="AR2" s="20" t="s">
        <v>271</v>
      </c>
      <c r="AS2" s="20" t="s">
        <v>272</v>
      </c>
      <c r="AT2" s="20" t="s">
        <v>273</v>
      </c>
      <c r="AU2" s="20" t="s">
        <v>274</v>
      </c>
      <c r="AV2" s="20" t="s">
        <v>275</v>
      </c>
    </row>
    <row r="3" spans="1:48" x14ac:dyDescent="0.2">
      <c r="A3" s="4" t="s">
        <v>108</v>
      </c>
      <c r="B3" s="4" t="s">
        <v>132</v>
      </c>
      <c r="C3" s="4">
        <v>0.39900000000000002</v>
      </c>
      <c r="D3" s="30">
        <v>153600</v>
      </c>
      <c r="E3" s="4">
        <v>0.2432</v>
      </c>
      <c r="F3" s="30">
        <v>93700</v>
      </c>
      <c r="G3" s="4">
        <v>0.35780000000000001</v>
      </c>
      <c r="H3" s="30">
        <v>137800</v>
      </c>
      <c r="I3" s="4">
        <v>0.16520000000000001</v>
      </c>
      <c r="J3" s="4">
        <v>0.29830000000000001</v>
      </c>
      <c r="K3" s="4">
        <v>0.49370000000000003</v>
      </c>
      <c r="L3" s="4">
        <v>0.36780000000000002</v>
      </c>
      <c r="M3" s="155">
        <v>0.34429999999999999</v>
      </c>
      <c r="N3" s="4">
        <f>GMCYP[[#This Row],[Active]]+GMCYP[[#This Row],[Fairly Active]]</f>
        <v>0.64219999999999999</v>
      </c>
      <c r="O3" s="30">
        <f>GMCYP[[#This Row],[Active - Numbers]]+GMCYP[[#This Row],[Fairly Active - Numbers]]</f>
        <v>247300</v>
      </c>
      <c r="P3" s="133">
        <v>0.44375755958633872</v>
      </c>
      <c r="Q3" s="133">
        <v>0.35241877427564333</v>
      </c>
      <c r="R3" s="133">
        <v>0.34555191395053514</v>
      </c>
      <c r="S3" s="133">
        <v>0.39267149429452819</v>
      </c>
      <c r="T3" s="133">
        <v>0.53540204462236085</v>
      </c>
      <c r="U3" s="133">
        <v>0.42971390347330352</v>
      </c>
      <c r="V3" s="133">
        <v>0.37652298846992449</v>
      </c>
      <c r="W3" s="133">
        <v>0.30324789214392917</v>
      </c>
      <c r="X3" s="133">
        <v>0.28592233963623603</v>
      </c>
      <c r="Y3" s="133">
        <v>0.44379656827999903</v>
      </c>
      <c r="Z3" s="133">
        <v>0.34222915427520234</v>
      </c>
      <c r="AA3" s="133">
        <v>0.21267674680146503</v>
      </c>
      <c r="AB3" s="133">
        <v>0.27481971546663037</v>
      </c>
      <c r="AC3" s="46">
        <v>0.25141665766389698</v>
      </c>
      <c r="AD3" s="46">
        <v>0.25223638689843059</v>
      </c>
      <c r="AE3" s="46">
        <v>0.20480886875613177</v>
      </c>
      <c r="AF3" s="46">
        <v>0.24411255594628944</v>
      </c>
      <c r="AG3" s="46"/>
      <c r="AH3" s="46">
        <v>0.27615181574290548</v>
      </c>
      <c r="AI3" s="46">
        <v>0.23877223900273001</v>
      </c>
      <c r="AJ3" s="46">
        <v>0.2297644282212071</v>
      </c>
      <c r="AK3" s="46"/>
      <c r="AL3" s="133">
        <v>0.34356569361219885</v>
      </c>
      <c r="AM3" s="133">
        <v>0.37276151025771292</v>
      </c>
      <c r="AN3" s="46">
        <v>0.40303142838556938</v>
      </c>
      <c r="AO3" s="46">
        <v>0.35509211880703601</v>
      </c>
      <c r="AP3" s="46">
        <v>0.25978908662150557</v>
      </c>
      <c r="AQ3" s="46">
        <v>0.3261735405803976</v>
      </c>
      <c r="AR3" s="46">
        <v>0.37162619088999038</v>
      </c>
      <c r="AS3" s="46">
        <v>0.42060029211316424</v>
      </c>
      <c r="AT3" s="46">
        <v>0.47530542136103399</v>
      </c>
      <c r="AU3" s="46">
        <v>0.32643900349879396</v>
      </c>
      <c r="AV3" s="46">
        <v>0.47703841259831009</v>
      </c>
    </row>
    <row r="4" spans="1:48" x14ac:dyDescent="0.2">
      <c r="A4" s="4" t="s">
        <v>108</v>
      </c>
      <c r="B4" s="4" t="s">
        <v>133</v>
      </c>
      <c r="C4" s="4">
        <v>0.45150000000000001</v>
      </c>
      <c r="D4" s="30">
        <v>176700</v>
      </c>
      <c r="E4" s="4">
        <v>0.22989999999999999</v>
      </c>
      <c r="F4" s="30">
        <v>90000</v>
      </c>
      <c r="G4" s="4">
        <v>0.31850000000000001</v>
      </c>
      <c r="H4" s="30">
        <v>124700</v>
      </c>
      <c r="I4" s="4">
        <v>0.19420000000000001</v>
      </c>
      <c r="J4" s="4">
        <v>0.33789999999999998</v>
      </c>
      <c r="K4" s="4">
        <v>0.56640000000000001</v>
      </c>
      <c r="L4" s="4">
        <v>0.3886</v>
      </c>
      <c r="M4" s="155">
        <v>0.35899999999999999</v>
      </c>
      <c r="N4" s="4">
        <f>GMCYP[[#This Row],[Active]]+GMCYP[[#This Row],[Fairly Active]]</f>
        <v>0.68140000000000001</v>
      </c>
      <c r="O4" s="30">
        <f>GMCYP[[#This Row],[Active - Numbers]]+GMCYP[[#This Row],[Fairly Active - Numbers]]</f>
        <v>266700</v>
      </c>
      <c r="P4" s="133">
        <v>0.51193692894366616</v>
      </c>
      <c r="Q4" s="133">
        <v>0.39494367935439567</v>
      </c>
      <c r="R4" s="133">
        <v>0.39302285610369764</v>
      </c>
      <c r="S4" s="133">
        <v>0.45064776486045671</v>
      </c>
      <c r="T4" s="133">
        <v>0.56490349461845935</v>
      </c>
      <c r="U4" s="133">
        <v>0.47365109665034438</v>
      </c>
      <c r="V4" s="133">
        <v>0.46129570810895226</v>
      </c>
      <c r="W4" s="133">
        <v>0.42437025997152233</v>
      </c>
      <c r="X4" s="133">
        <v>0.49867887327648286</v>
      </c>
      <c r="Y4" s="133">
        <v>0.39161607083243444</v>
      </c>
      <c r="Z4" s="133">
        <v>0.37194450878526408</v>
      </c>
      <c r="AA4" s="133">
        <v>0.19291594200857121</v>
      </c>
      <c r="AB4" s="133">
        <v>0.27111435322417377</v>
      </c>
      <c r="AC4" s="133">
        <v>0.24653122054161308</v>
      </c>
      <c r="AD4" s="133">
        <v>0.22306791816673377</v>
      </c>
      <c r="AE4" s="133">
        <v>0.20760203745318911</v>
      </c>
      <c r="AF4" s="133">
        <v>0.23757565134221761</v>
      </c>
      <c r="AG4" s="134"/>
      <c r="AH4" s="133">
        <v>0.21034358625643876</v>
      </c>
      <c r="AI4" s="133"/>
      <c r="AJ4" s="133">
        <v>0.32748326806251027</v>
      </c>
      <c r="AK4" s="134"/>
      <c r="AL4" s="133">
        <v>0.29514712904777107</v>
      </c>
      <c r="AM4" s="133">
        <v>0.33394196742143878</v>
      </c>
      <c r="AN4" s="133">
        <v>0.36044592335469405</v>
      </c>
      <c r="AO4" s="133">
        <v>0.32628431697281562</v>
      </c>
      <c r="AP4" s="133">
        <v>0.22749446792835074</v>
      </c>
      <c r="AQ4" s="133">
        <v>0.28877325200743975</v>
      </c>
      <c r="AR4" s="133">
        <v>0.40180071487253671</v>
      </c>
      <c r="AS4" s="133">
        <v>0.36528615377203622</v>
      </c>
      <c r="AT4" s="133">
        <v>0.31524927186185508</v>
      </c>
      <c r="AU4" s="133">
        <v>0.28090066110505507</v>
      </c>
      <c r="AV4" s="133">
        <v>0.50240432869392115</v>
      </c>
    </row>
  </sheetData>
  <conditionalFormatting sqref="C3">
    <cfRule type="containsText" dxfId="784" priority="31" operator="containsText" text="Significant increase">
      <formula>NOT(ISERROR(SEARCH("Significant increase",C3)))</formula>
    </cfRule>
  </conditionalFormatting>
  <conditionalFormatting sqref="E3">
    <cfRule type="containsText" dxfId="783" priority="30" operator="containsText" text="Significant increase">
      <formula>NOT(ISERROR(SEARCH("Significant increase",E3)))</formula>
    </cfRule>
  </conditionalFormatting>
  <conditionalFormatting sqref="G3">
    <cfRule type="containsText" dxfId="782" priority="29" operator="containsText" text="Significant increase">
      <formula>NOT(ISERROR(SEARCH("Significant increase",G3)))</formula>
    </cfRule>
  </conditionalFormatting>
  <conditionalFormatting sqref="C4">
    <cfRule type="containsText" dxfId="781" priority="28" operator="containsText" text="Significant increase">
      <formula>NOT(ISERROR(SEARCH("Significant increase",C4)))</formula>
    </cfRule>
  </conditionalFormatting>
  <conditionalFormatting sqref="E4">
    <cfRule type="containsText" dxfId="780" priority="27" operator="containsText" text="Significant increase">
      <formula>NOT(ISERROR(SEARCH("Significant increase",E4)))</formula>
    </cfRule>
  </conditionalFormatting>
  <conditionalFormatting sqref="G4">
    <cfRule type="containsText" dxfId="779" priority="26" operator="containsText" text="Significant increase">
      <formula>NOT(ISERROR(SEARCH("Significant increase",G4)))</formula>
    </cfRule>
  </conditionalFormatting>
  <conditionalFormatting sqref="L3">
    <cfRule type="containsText" dxfId="778" priority="24" operator="containsText" text="Significant increase">
      <formula>NOT(ISERROR(SEARCH("Significant increase",L3)))</formula>
    </cfRule>
    <cfRule type="containsText" dxfId="777" priority="25" operator="containsText" text="Significant decrease">
      <formula>NOT(ISERROR(SEARCH("Significant decrease",L3)))</formula>
    </cfRule>
  </conditionalFormatting>
  <conditionalFormatting sqref="L4">
    <cfRule type="containsText" dxfId="776" priority="22" operator="containsText" text="Significant increase">
      <formula>NOT(ISERROR(SEARCH("Significant increase",L4)))</formula>
    </cfRule>
    <cfRule type="containsText" dxfId="775" priority="23" operator="containsText" text="Significant decrease">
      <formula>NOT(ISERROR(SEARCH("Significant decrease",L4)))</formula>
    </cfRule>
  </conditionalFormatting>
  <conditionalFormatting sqref="K3">
    <cfRule type="containsText" dxfId="774" priority="20" operator="containsText" text="Significant increase">
      <formula>NOT(ISERROR(SEARCH("Significant increase",K3)))</formula>
    </cfRule>
    <cfRule type="containsText" dxfId="773" priority="21" operator="containsText" text="Significant decrease">
      <formula>NOT(ISERROR(SEARCH("Significant decrease",K3)))</formula>
    </cfRule>
  </conditionalFormatting>
  <conditionalFormatting sqref="K4">
    <cfRule type="containsText" dxfId="772" priority="18" operator="containsText" text="Significant increase">
      <formula>NOT(ISERROR(SEARCH("Significant increase",K4)))</formula>
    </cfRule>
    <cfRule type="containsText" dxfId="771" priority="19" operator="containsText" text="Significant decrease">
      <formula>NOT(ISERROR(SEARCH("Significant decrease",K4)))</formula>
    </cfRule>
  </conditionalFormatting>
  <conditionalFormatting sqref="J3">
    <cfRule type="containsText" dxfId="770" priority="16" operator="containsText" text="Significant increase">
      <formula>NOT(ISERROR(SEARCH("Significant increase",J3)))</formula>
    </cfRule>
    <cfRule type="containsText" dxfId="769" priority="17" operator="containsText" text="Significant decrease">
      <formula>NOT(ISERROR(SEARCH("Significant decrease",J3)))</formula>
    </cfRule>
  </conditionalFormatting>
  <conditionalFormatting sqref="J4">
    <cfRule type="containsText" dxfId="768" priority="14" operator="containsText" text="Significant increase">
      <formula>NOT(ISERROR(SEARCH("Significant increase",J4)))</formula>
    </cfRule>
    <cfRule type="containsText" dxfId="767" priority="15" operator="containsText" text="Significant decrease">
      <formula>NOT(ISERROR(SEARCH("Significant decrease",J4)))</formula>
    </cfRule>
  </conditionalFormatting>
  <conditionalFormatting sqref="I3">
    <cfRule type="containsText" dxfId="766" priority="12" operator="containsText" text="Significant increase">
      <formula>NOT(ISERROR(SEARCH("Significant increase",I3)))</formula>
    </cfRule>
    <cfRule type="containsText" dxfId="765" priority="13" operator="containsText" text="Significant decrease">
      <formula>NOT(ISERROR(SEARCH("Significant decrease",I3)))</formula>
    </cfRule>
  </conditionalFormatting>
  <conditionalFormatting sqref="I4">
    <cfRule type="containsText" dxfId="764" priority="10" operator="containsText" text="Significant increase">
      <formula>NOT(ISERROR(SEARCH("Significant increase",I4)))</formula>
    </cfRule>
    <cfRule type="containsText" dxfId="763" priority="11" operator="containsText" text="Significant decrease">
      <formula>NOT(ISERROR(SEARCH("Significant decrease",I4)))</formula>
    </cfRule>
  </conditionalFormatting>
  <conditionalFormatting sqref="F3:F4">
    <cfRule type="containsText" dxfId="762" priority="5" operator="containsText" text="Significant increase">
      <formula>NOT(ISERROR(SEARCH("Significant increase",F3)))</formula>
    </cfRule>
  </conditionalFormatting>
  <conditionalFormatting sqref="D3:D4">
    <cfRule type="containsText" dxfId="761" priority="9" operator="containsText" text="Significant increase">
      <formula>NOT(ISERROR(SEARCH("Significant increase",D3)))</formula>
    </cfRule>
  </conditionalFormatting>
  <conditionalFormatting sqref="H3:H4">
    <cfRule type="containsText" dxfId="760" priority="6" operator="containsText" text="Significant increase">
      <formula>NOT(ISERROR(SEARCH("Significant increase",H3)))</formula>
    </cfRule>
  </conditionalFormatting>
  <conditionalFormatting sqref="M3">
    <cfRule type="containsText" dxfId="759" priority="3" operator="containsText" text="Significant increase">
      <formula>NOT(ISERROR(SEARCH("Significant increase",M3)))</formula>
    </cfRule>
    <cfRule type="containsText" dxfId="758" priority="4" operator="containsText" text="Significant decrease">
      <formula>NOT(ISERROR(SEARCH("Significant decrease",M3)))</formula>
    </cfRule>
  </conditionalFormatting>
  <conditionalFormatting sqref="M4">
    <cfRule type="containsText" dxfId="757" priority="1" operator="containsText" text="Significant increase">
      <formula>NOT(ISERROR(SEARCH("Significant increase",M4)))</formula>
    </cfRule>
    <cfRule type="containsText" dxfId="756" priority="2" operator="containsText" text="Significant decrease">
      <formula>NOT(ISERROR(SEARCH("Significant decrease",M4)))</formula>
    </cfRule>
  </conditionalFormatting>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topLeftCell="G1" workbookViewId="0">
      <selection activeCell="M4" sqref="M4"/>
    </sheetView>
  </sheetViews>
  <sheetFormatPr defaultRowHeight="14.25" x14ac:dyDescent="0.2"/>
  <cols>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s>
  <sheetData>
    <row r="2" spans="1:48"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31" t="s">
        <v>285</v>
      </c>
      <c r="Q2" s="31" t="s">
        <v>286</v>
      </c>
      <c r="R2" s="20" t="s">
        <v>276</v>
      </c>
      <c r="S2" s="20" t="s">
        <v>277</v>
      </c>
      <c r="T2" s="20" t="s">
        <v>278</v>
      </c>
      <c r="U2" s="20" t="s">
        <v>279</v>
      </c>
      <c r="V2" s="20" t="s">
        <v>280</v>
      </c>
      <c r="W2" s="20" t="s">
        <v>281</v>
      </c>
      <c r="X2" s="20" t="s">
        <v>282</v>
      </c>
      <c r="Y2" s="20" t="s">
        <v>283</v>
      </c>
      <c r="Z2" s="20" t="s">
        <v>284</v>
      </c>
      <c r="AA2" s="20" t="s">
        <v>287</v>
      </c>
      <c r="AB2" s="20" t="s">
        <v>288</v>
      </c>
      <c r="AC2" s="20" t="s">
        <v>258</v>
      </c>
      <c r="AD2" s="20" t="s">
        <v>259</v>
      </c>
      <c r="AE2" s="20" t="s">
        <v>260</v>
      </c>
      <c r="AF2" s="20" t="s">
        <v>261</v>
      </c>
      <c r="AG2" s="20" t="s">
        <v>262</v>
      </c>
      <c r="AH2" s="20" t="s">
        <v>263</v>
      </c>
      <c r="AI2" s="20" t="s">
        <v>264</v>
      </c>
      <c r="AJ2" s="20" t="s">
        <v>265</v>
      </c>
      <c r="AK2" s="20" t="s">
        <v>266</v>
      </c>
      <c r="AL2" s="20" t="s">
        <v>289</v>
      </c>
      <c r="AM2" s="20" t="s">
        <v>290</v>
      </c>
      <c r="AN2" s="20" t="s">
        <v>267</v>
      </c>
      <c r="AO2" s="20" t="s">
        <v>268</v>
      </c>
      <c r="AP2" s="20" t="s">
        <v>269</v>
      </c>
      <c r="AQ2" s="20" t="s">
        <v>270</v>
      </c>
      <c r="AR2" s="20" t="s">
        <v>271</v>
      </c>
      <c r="AS2" s="20" t="s">
        <v>272</v>
      </c>
      <c r="AT2" s="20" t="s">
        <v>273</v>
      </c>
      <c r="AU2" s="20" t="s">
        <v>274</v>
      </c>
      <c r="AV2" s="20" t="s">
        <v>275</v>
      </c>
    </row>
    <row r="3" spans="1:48" x14ac:dyDescent="0.2">
      <c r="A3" s="4" t="s">
        <v>109</v>
      </c>
      <c r="B3" s="4" t="s">
        <v>132</v>
      </c>
      <c r="C3" s="4">
        <v>0.4844</v>
      </c>
      <c r="D3" s="30">
        <v>20300</v>
      </c>
      <c r="E3" s="4">
        <v>0.20619999999999999</v>
      </c>
      <c r="F3" s="30">
        <v>8700</v>
      </c>
      <c r="G3" s="4">
        <v>0.30940000000000001</v>
      </c>
      <c r="H3" s="30">
        <v>13000</v>
      </c>
      <c r="I3" s="4">
        <v>0.2467</v>
      </c>
      <c r="J3" s="4">
        <v>0.37030000000000002</v>
      </c>
      <c r="K3" s="4">
        <v>0.59150000000000003</v>
      </c>
      <c r="L3" s="4">
        <v>0.38640000000000002</v>
      </c>
      <c r="M3" s="4"/>
      <c r="N3" s="28">
        <f>BoltonCYP[[#This Row],[Active]]+BoltonCYP[[#This Row],[Fairly Active]]</f>
        <v>0.69059999999999999</v>
      </c>
      <c r="O3" s="30">
        <f>BoltonCYP[[#This Row],[Active - Numbers]]+BoltonCYP[[#This Row],[Fairly Active - Numbers]]</f>
        <v>29000</v>
      </c>
      <c r="P3" s="133">
        <v>0.52020178819009033</v>
      </c>
      <c r="Q3" s="133">
        <v>0.43130920430296316</v>
      </c>
      <c r="R3" s="64"/>
      <c r="S3" s="133">
        <v>0.48081061994491864</v>
      </c>
      <c r="T3" s="64"/>
      <c r="U3" s="64"/>
      <c r="V3" s="64"/>
      <c r="W3" s="64"/>
      <c r="X3" s="64"/>
      <c r="Y3" s="64"/>
      <c r="Z3" s="64"/>
      <c r="AA3" s="64"/>
      <c r="AB3" s="133">
        <v>0.30175085637153121</v>
      </c>
      <c r="AC3" s="64"/>
      <c r="AD3" s="133">
        <v>0.20567676615993172</v>
      </c>
      <c r="AE3" s="64"/>
      <c r="AF3" s="64"/>
      <c r="AG3" s="64"/>
      <c r="AH3" s="64"/>
      <c r="AI3" s="64"/>
      <c r="AJ3" s="64"/>
      <c r="AK3" s="64"/>
      <c r="AL3" s="133">
        <v>0.34131861035701033</v>
      </c>
      <c r="AM3" s="133">
        <v>0.26693993932550497</v>
      </c>
      <c r="AN3" s="64"/>
      <c r="AO3" s="133">
        <v>0.31351261389514834</v>
      </c>
      <c r="AP3" s="64"/>
      <c r="AQ3" s="64"/>
      <c r="AR3" s="64"/>
      <c r="AS3" s="64"/>
      <c r="AT3" s="64"/>
      <c r="AU3" s="64"/>
      <c r="AV3" s="64"/>
    </row>
    <row r="4" spans="1:48" x14ac:dyDescent="0.2">
      <c r="A4" s="4" t="s">
        <v>109</v>
      </c>
      <c r="B4" s="4" t="s">
        <v>133</v>
      </c>
      <c r="C4" s="4">
        <v>0.45950000000000002</v>
      </c>
      <c r="D4" s="30">
        <v>19600</v>
      </c>
      <c r="E4" s="4">
        <v>0.1802</v>
      </c>
      <c r="F4" s="30">
        <v>7700</v>
      </c>
      <c r="G4" s="4">
        <v>0.3604</v>
      </c>
      <c r="H4" s="30">
        <v>15400</v>
      </c>
      <c r="I4" s="4">
        <v>0.1749</v>
      </c>
      <c r="J4" s="4">
        <v>0.37630000000000002</v>
      </c>
      <c r="K4" s="4">
        <v>0.50639999999999996</v>
      </c>
      <c r="L4" s="4">
        <v>0.46960000000000002</v>
      </c>
      <c r="M4" s="155">
        <v>0.2354</v>
      </c>
      <c r="N4" s="28">
        <f>BoltonCYP[[#This Row],[Active]]+BoltonCYP[[#This Row],[Fairly Active]]</f>
        <v>0.63970000000000005</v>
      </c>
      <c r="O4" s="30">
        <f>BoltonCYP[[#This Row],[Active - Numbers]]+BoltonCYP[[#This Row],[Fairly Active - Numbers]]</f>
        <v>27300</v>
      </c>
      <c r="P4" s="133">
        <v>0.47250394417888086</v>
      </c>
      <c r="Q4" s="133">
        <v>0.44512488807157458</v>
      </c>
      <c r="R4" s="133">
        <v>0.43301149700200836</v>
      </c>
      <c r="S4" s="133">
        <v>0.47396226237570965</v>
      </c>
      <c r="T4" s="64"/>
      <c r="U4" s="64"/>
      <c r="V4" s="64"/>
      <c r="W4" s="64"/>
      <c r="X4" s="64"/>
      <c r="Y4" s="64"/>
      <c r="Z4" s="64"/>
      <c r="AA4" s="64"/>
      <c r="AB4" s="138">
        <v>0.22988077347483507</v>
      </c>
      <c r="AC4" s="64"/>
      <c r="AD4" s="64"/>
      <c r="AE4" s="64"/>
      <c r="AF4" s="64"/>
      <c r="AG4" s="64"/>
      <c r="AH4" s="64"/>
      <c r="AI4" s="64"/>
      <c r="AJ4" s="64"/>
      <c r="AK4" s="64"/>
      <c r="AL4" s="133">
        <v>0.39427002120806792</v>
      </c>
      <c r="AM4" s="133">
        <v>0.32499433845359044</v>
      </c>
      <c r="AN4" s="133">
        <v>0.40237972455429533</v>
      </c>
      <c r="AO4" s="133">
        <v>0.33465321482430999</v>
      </c>
      <c r="AP4" s="64"/>
      <c r="AQ4" s="64"/>
      <c r="AR4" s="64"/>
      <c r="AS4" s="64"/>
      <c r="AT4" s="64"/>
      <c r="AU4" s="64"/>
      <c r="AV4" s="64"/>
    </row>
  </sheetData>
  <conditionalFormatting sqref="I4">
    <cfRule type="containsText" dxfId="716" priority="6" operator="containsText" text="Significant increase">
      <formula>NOT(ISERROR(SEARCH("Significant increase",I4)))</formula>
    </cfRule>
    <cfRule type="containsText" dxfId="715" priority="7" operator="containsText" text="Significant decrease">
      <formula>NOT(ISERROR(SEARCH("Significant decrease",I4)))</formula>
    </cfRule>
  </conditionalFormatting>
  <conditionalFormatting sqref="C3">
    <cfRule type="containsText" dxfId="714" priority="32" operator="containsText" text="Significant increase">
      <formula>NOT(ISERROR(SEARCH("Significant increase",C3)))</formula>
    </cfRule>
    <cfRule type="containsText" dxfId="713" priority="33" operator="containsText" text="Significant decrease">
      <formula>NOT(ISERROR(SEARCH("Significant decrease",C3)))</formula>
    </cfRule>
  </conditionalFormatting>
  <conditionalFormatting sqref="E3">
    <cfRule type="containsText" dxfId="712" priority="30" operator="containsText" text="Significant increase">
      <formula>NOT(ISERROR(SEARCH("Significant increase",E3)))</formula>
    </cfRule>
    <cfRule type="containsText" dxfId="711" priority="31" operator="containsText" text="Significant decrease">
      <formula>NOT(ISERROR(SEARCH("Significant decrease",E3)))</formula>
    </cfRule>
  </conditionalFormatting>
  <conditionalFormatting sqref="G3">
    <cfRule type="containsText" dxfId="710" priority="28" operator="containsText" text="Significant increase">
      <formula>NOT(ISERROR(SEARCH("Significant increase",G3)))</formula>
    </cfRule>
    <cfRule type="containsText" dxfId="709" priority="29" operator="containsText" text="Significant decrease">
      <formula>NOT(ISERROR(SEARCH("Significant decrease",G3)))</formula>
    </cfRule>
  </conditionalFormatting>
  <conditionalFormatting sqref="C4">
    <cfRule type="containsText" dxfId="708" priority="26" operator="containsText" text="Significant increase">
      <formula>NOT(ISERROR(SEARCH("Significant increase",C4)))</formula>
    </cfRule>
    <cfRule type="containsText" dxfId="707" priority="27" operator="containsText" text="Significant decrease">
      <formula>NOT(ISERROR(SEARCH("Significant decrease",C4)))</formula>
    </cfRule>
  </conditionalFormatting>
  <conditionalFormatting sqref="E4">
    <cfRule type="containsText" dxfId="706" priority="24" operator="containsText" text="Significant increase">
      <formula>NOT(ISERROR(SEARCH("Significant increase",E4)))</formula>
    </cfRule>
    <cfRule type="containsText" dxfId="705" priority="25" operator="containsText" text="Significant decrease">
      <formula>NOT(ISERROR(SEARCH("Significant decrease",E4)))</formula>
    </cfRule>
  </conditionalFormatting>
  <conditionalFormatting sqref="G4">
    <cfRule type="containsText" dxfId="704" priority="22" operator="containsText" text="Significant increase">
      <formula>NOT(ISERROR(SEARCH("Significant increase",G4)))</formula>
    </cfRule>
    <cfRule type="containsText" dxfId="703" priority="23" operator="containsText" text="Significant decrease">
      <formula>NOT(ISERROR(SEARCH("Significant decrease",G4)))</formula>
    </cfRule>
  </conditionalFormatting>
  <conditionalFormatting sqref="L3">
    <cfRule type="containsText" dxfId="702" priority="20" operator="containsText" text="Significant increase">
      <formula>NOT(ISERROR(SEARCH("Significant increase",L3)))</formula>
    </cfRule>
    <cfRule type="containsText" dxfId="701" priority="21" operator="containsText" text="Significant decrease">
      <formula>NOT(ISERROR(SEARCH("Significant decrease",L3)))</formula>
    </cfRule>
  </conditionalFormatting>
  <conditionalFormatting sqref="L4">
    <cfRule type="containsText" dxfId="700" priority="18" operator="containsText" text="Significant increase">
      <formula>NOT(ISERROR(SEARCH("Significant increase",L4)))</formula>
    </cfRule>
    <cfRule type="containsText" dxfId="699" priority="19" operator="containsText" text="Significant decrease">
      <formula>NOT(ISERROR(SEARCH("Significant decrease",L4)))</formula>
    </cfRule>
  </conditionalFormatting>
  <conditionalFormatting sqref="K3">
    <cfRule type="containsText" dxfId="698" priority="16" operator="containsText" text="Significant increase">
      <formula>NOT(ISERROR(SEARCH("Significant increase",K3)))</formula>
    </cfRule>
    <cfRule type="containsText" dxfId="697" priority="17" operator="containsText" text="Significant decrease">
      <formula>NOT(ISERROR(SEARCH("Significant decrease",K3)))</formula>
    </cfRule>
  </conditionalFormatting>
  <conditionalFormatting sqref="K4">
    <cfRule type="containsText" dxfId="696" priority="14" operator="containsText" text="Significant increase">
      <formula>NOT(ISERROR(SEARCH("Significant increase",K4)))</formula>
    </cfRule>
    <cfRule type="containsText" dxfId="695" priority="15" operator="containsText" text="Significant decrease">
      <formula>NOT(ISERROR(SEARCH("Significant decrease",K4)))</formula>
    </cfRule>
  </conditionalFormatting>
  <conditionalFormatting sqref="J3">
    <cfRule type="containsText" dxfId="694" priority="12" operator="containsText" text="Significant increase">
      <formula>NOT(ISERROR(SEARCH("Significant increase",J3)))</formula>
    </cfRule>
    <cfRule type="containsText" dxfId="693" priority="13" operator="containsText" text="Significant decrease">
      <formula>NOT(ISERROR(SEARCH("Significant decrease",J3)))</formula>
    </cfRule>
  </conditionalFormatting>
  <conditionalFormatting sqref="J4">
    <cfRule type="containsText" dxfId="692" priority="10" operator="containsText" text="Significant increase">
      <formula>NOT(ISERROR(SEARCH("Significant increase",J4)))</formula>
    </cfRule>
    <cfRule type="containsText" dxfId="691" priority="11" operator="containsText" text="Significant decrease">
      <formula>NOT(ISERROR(SEARCH("Significant decrease",J4)))</formula>
    </cfRule>
  </conditionalFormatting>
  <conditionalFormatting sqref="I3">
    <cfRule type="containsText" dxfId="690" priority="8" operator="containsText" text="Significant increase">
      <formula>NOT(ISERROR(SEARCH("Significant increase",I3)))</formula>
    </cfRule>
    <cfRule type="containsText" dxfId="689" priority="9" operator="containsText" text="Significant decrease">
      <formula>NOT(ISERROR(SEARCH("Significant decrease",I3)))</formula>
    </cfRule>
  </conditionalFormatting>
  <conditionalFormatting sqref="D3:D4">
    <cfRule type="containsText" dxfId="688" priority="5" operator="containsText" text="Significant increase">
      <formula>NOT(ISERROR(SEARCH("Significant increase",D3)))</formula>
    </cfRule>
  </conditionalFormatting>
  <conditionalFormatting sqref="F3:F4">
    <cfRule type="containsText" dxfId="687" priority="4" operator="containsText" text="Significant increase">
      <formula>NOT(ISERROR(SEARCH("Significant increase",F3)))</formula>
    </cfRule>
  </conditionalFormatting>
  <conditionalFormatting sqref="H3:H4">
    <cfRule type="containsText" dxfId="686" priority="3" operator="containsText" text="Significant increase">
      <formula>NOT(ISERROR(SEARCH("Significant increase",H3)))</formula>
    </cfRule>
  </conditionalFormatting>
  <conditionalFormatting sqref="M4">
    <cfRule type="containsText" dxfId="685" priority="1" operator="containsText" text="Significant increase">
      <formula>NOT(ISERROR(SEARCH("Significant increase",M4)))</formula>
    </cfRule>
    <cfRule type="containsText" dxfId="684" priority="2" operator="containsText" text="Significant decrease">
      <formula>NOT(ISERROR(SEARCH("Significant decrease",M4)))</formula>
    </cfRule>
  </conditionalFormatting>
  <pageMargins left="0.7" right="0.7" top="0.75" bottom="0.75" header="0.3" footer="0.3"/>
  <pageSetup paperSize="9" orientation="portrait" horizontalDpi="4294967293" verticalDpi="0" r:id="rId1"/>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topLeftCell="F1" workbookViewId="0">
      <selection activeCell="M3" sqref="M3:M4"/>
    </sheetView>
  </sheetViews>
  <sheetFormatPr defaultRowHeight="14.25" x14ac:dyDescent="0.2"/>
  <cols>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 min="14" max="15" width="11.19921875" customWidth="1"/>
  </cols>
  <sheetData>
    <row r="2" spans="1:48"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20" t="s">
        <v>285</v>
      </c>
      <c r="Q2" s="20" t="s">
        <v>286</v>
      </c>
      <c r="R2" s="20" t="s">
        <v>276</v>
      </c>
      <c r="S2" s="20" t="s">
        <v>277</v>
      </c>
      <c r="T2" s="20" t="s">
        <v>278</v>
      </c>
      <c r="U2" s="20" t="s">
        <v>279</v>
      </c>
      <c r="V2" s="20" t="s">
        <v>280</v>
      </c>
      <c r="W2" s="20" t="s">
        <v>281</v>
      </c>
      <c r="X2" s="20" t="s">
        <v>282</v>
      </c>
      <c r="Y2" s="20" t="s">
        <v>283</v>
      </c>
      <c r="Z2" s="20" t="s">
        <v>284</v>
      </c>
      <c r="AA2" s="20" t="s">
        <v>287</v>
      </c>
      <c r="AB2" s="20" t="s">
        <v>288</v>
      </c>
      <c r="AC2" s="20" t="s">
        <v>258</v>
      </c>
      <c r="AD2" s="20" t="s">
        <v>259</v>
      </c>
      <c r="AE2" s="20" t="s">
        <v>260</v>
      </c>
      <c r="AF2" s="20" t="s">
        <v>261</v>
      </c>
      <c r="AG2" s="20" t="s">
        <v>262</v>
      </c>
      <c r="AH2" s="20" t="s">
        <v>263</v>
      </c>
      <c r="AI2" s="20" t="s">
        <v>264</v>
      </c>
      <c r="AJ2" s="20" t="s">
        <v>265</v>
      </c>
      <c r="AK2" s="20" t="s">
        <v>266</v>
      </c>
      <c r="AL2" s="20" t="s">
        <v>289</v>
      </c>
      <c r="AM2" s="20" t="s">
        <v>290</v>
      </c>
      <c r="AN2" s="20" t="s">
        <v>267</v>
      </c>
      <c r="AO2" s="20" t="s">
        <v>268</v>
      </c>
      <c r="AP2" s="20" t="s">
        <v>269</v>
      </c>
      <c r="AQ2" s="20" t="s">
        <v>270</v>
      </c>
      <c r="AR2" s="20" t="s">
        <v>271</v>
      </c>
      <c r="AS2" s="20" t="s">
        <v>272</v>
      </c>
      <c r="AT2" s="20" t="s">
        <v>273</v>
      </c>
      <c r="AU2" s="20" t="s">
        <v>274</v>
      </c>
      <c r="AV2" s="20" t="s">
        <v>275</v>
      </c>
    </row>
    <row r="3" spans="1:48" x14ac:dyDescent="0.2">
      <c r="A3" s="4" t="s">
        <v>110</v>
      </c>
      <c r="B3" s="4" t="s">
        <v>132</v>
      </c>
      <c r="C3" s="4">
        <v>0.42470000000000002</v>
      </c>
      <c r="D3" s="30">
        <v>11300</v>
      </c>
      <c r="E3" s="4">
        <v>0.30590000000000001</v>
      </c>
      <c r="F3" s="30">
        <v>8200</v>
      </c>
      <c r="G3" s="4">
        <v>0.26939999999999997</v>
      </c>
      <c r="H3" s="30">
        <v>7200</v>
      </c>
      <c r="I3" s="4">
        <v>0.21440000000000001</v>
      </c>
      <c r="J3" s="4">
        <v>0.31680000000000003</v>
      </c>
      <c r="K3" s="4">
        <v>0.57099999999999995</v>
      </c>
      <c r="L3" s="4">
        <v>0.39450000000000002</v>
      </c>
      <c r="M3" s="155">
        <v>0.30890000000000001</v>
      </c>
      <c r="N3" s="4">
        <f>SUM(C3,E3)</f>
        <v>0.73060000000000003</v>
      </c>
      <c r="O3" s="30">
        <f>SUM(D3,F3)</f>
        <v>19500</v>
      </c>
      <c r="P3" s="133">
        <v>0.42443695490676253</v>
      </c>
      <c r="Q3" s="133">
        <v>0.42897072512145812</v>
      </c>
      <c r="R3" s="64"/>
      <c r="S3" s="133">
        <v>0.44732566867439322</v>
      </c>
      <c r="T3" s="64"/>
      <c r="U3" s="64"/>
      <c r="V3" s="64"/>
      <c r="W3" s="64"/>
      <c r="X3" s="64"/>
      <c r="Y3" s="64"/>
      <c r="Z3" s="64"/>
      <c r="AA3" s="133">
        <v>0.35169520659182679</v>
      </c>
      <c r="AB3" s="133">
        <v>0.2511239839943567</v>
      </c>
      <c r="AC3" s="64"/>
      <c r="AD3" s="133">
        <v>0.28920403359914759</v>
      </c>
      <c r="AE3" s="64"/>
      <c r="AF3" s="64"/>
      <c r="AG3" s="64"/>
      <c r="AH3" s="64"/>
      <c r="AI3" s="64"/>
      <c r="AJ3" s="64"/>
      <c r="AK3" s="64"/>
      <c r="AL3" s="133">
        <v>0.22386783850141029</v>
      </c>
      <c r="AM3" s="133">
        <v>0.31990529088418573</v>
      </c>
      <c r="AN3" s="64"/>
      <c r="AO3" s="133">
        <v>0.26347029772645952</v>
      </c>
      <c r="AP3" s="64"/>
      <c r="AQ3" s="64"/>
      <c r="AR3" s="64"/>
      <c r="AS3" s="64"/>
      <c r="AT3" s="64"/>
      <c r="AU3" s="64"/>
      <c r="AV3" s="64"/>
    </row>
    <row r="4" spans="1:48" x14ac:dyDescent="0.2">
      <c r="A4" s="4" t="s">
        <v>110</v>
      </c>
      <c r="B4" s="4" t="s">
        <v>133</v>
      </c>
      <c r="C4" s="4">
        <v>0.38569999999999999</v>
      </c>
      <c r="D4" s="30">
        <v>10300</v>
      </c>
      <c r="E4" s="4">
        <v>0.2278</v>
      </c>
      <c r="F4" s="30">
        <v>6100</v>
      </c>
      <c r="G4" s="4">
        <v>0.3866</v>
      </c>
      <c r="H4" s="30">
        <v>10400</v>
      </c>
      <c r="I4" s="4">
        <v>0.17860000000000001</v>
      </c>
      <c r="J4" s="4">
        <v>0.313</v>
      </c>
      <c r="K4" s="4">
        <v>0.4783</v>
      </c>
      <c r="L4" s="4">
        <v>0.37190000000000001</v>
      </c>
      <c r="M4" s="155">
        <v>0.25509999999999999</v>
      </c>
      <c r="N4" s="4">
        <f>SUM(C4,E4)</f>
        <v>0.61349999999999993</v>
      </c>
      <c r="O4" s="30">
        <f>SUM(D4,F4)</f>
        <v>16400</v>
      </c>
      <c r="P4" s="133">
        <v>0.40934121332116424</v>
      </c>
      <c r="Q4" s="133">
        <v>0.38625362709135691</v>
      </c>
      <c r="R4" s="133">
        <v>0.50622448075547022</v>
      </c>
      <c r="S4" s="133">
        <v>0.32278645279313684</v>
      </c>
      <c r="T4" s="133">
        <v>0.47300420026639761</v>
      </c>
      <c r="U4" s="64"/>
      <c r="V4" s="64"/>
      <c r="W4" s="64"/>
      <c r="X4" s="64"/>
      <c r="Y4" s="64"/>
      <c r="Z4" s="64"/>
      <c r="AA4" s="64"/>
      <c r="AB4" s="133">
        <v>0.25143955138535184</v>
      </c>
      <c r="AC4" s="64"/>
      <c r="AD4" s="133">
        <v>0.25709839969961085</v>
      </c>
      <c r="AE4" s="64"/>
      <c r="AF4" s="64"/>
      <c r="AG4" s="64"/>
      <c r="AH4" s="64"/>
      <c r="AI4" s="64"/>
      <c r="AJ4" s="64"/>
      <c r="AK4" s="64"/>
      <c r="AL4" s="133">
        <v>0.41422882347652373</v>
      </c>
      <c r="AM4" s="133">
        <v>0.36230682152329224</v>
      </c>
      <c r="AN4" s="64"/>
      <c r="AO4" s="133">
        <v>0.42011514750725309</v>
      </c>
      <c r="AP4" s="64"/>
      <c r="AQ4" s="64"/>
      <c r="AR4" s="64"/>
      <c r="AS4" s="64"/>
      <c r="AT4" s="64"/>
      <c r="AU4" s="64"/>
      <c r="AV4" s="64"/>
    </row>
  </sheetData>
  <conditionalFormatting sqref="I4">
    <cfRule type="containsText" dxfId="637" priority="8" operator="containsText" text="Significant increase">
      <formula>NOT(ISERROR(SEARCH("Significant increase",I4)))</formula>
    </cfRule>
    <cfRule type="containsText" dxfId="636" priority="9" operator="containsText" text="Significant decrease">
      <formula>NOT(ISERROR(SEARCH("Significant decrease",I4)))</formula>
    </cfRule>
  </conditionalFormatting>
  <conditionalFormatting sqref="C3">
    <cfRule type="containsText" dxfId="635" priority="34" operator="containsText" text="Significant increase">
      <formula>NOT(ISERROR(SEARCH("Significant increase",C3)))</formula>
    </cfRule>
    <cfRule type="containsText" dxfId="634" priority="35" operator="containsText" text="Significant decrease">
      <formula>NOT(ISERROR(SEARCH("Significant decrease",C3)))</formula>
    </cfRule>
  </conditionalFormatting>
  <conditionalFormatting sqref="E3">
    <cfRule type="containsText" dxfId="633" priority="32" operator="containsText" text="Significant increase">
      <formula>NOT(ISERROR(SEARCH("Significant increase",E3)))</formula>
    </cfRule>
    <cfRule type="containsText" dxfId="632" priority="33" operator="containsText" text="Significant decrease">
      <formula>NOT(ISERROR(SEARCH("Significant decrease",E3)))</formula>
    </cfRule>
  </conditionalFormatting>
  <conditionalFormatting sqref="G3">
    <cfRule type="containsText" dxfId="631" priority="30" operator="containsText" text="Significant increase">
      <formula>NOT(ISERROR(SEARCH("Significant increase",G3)))</formula>
    </cfRule>
    <cfRule type="containsText" dxfId="630" priority="31" operator="containsText" text="Significant decrease">
      <formula>NOT(ISERROR(SEARCH("Significant decrease",G3)))</formula>
    </cfRule>
  </conditionalFormatting>
  <conditionalFormatting sqref="C4">
    <cfRule type="containsText" dxfId="629" priority="28" operator="containsText" text="Significant increase">
      <formula>NOT(ISERROR(SEARCH("Significant increase",C4)))</formula>
    </cfRule>
    <cfRule type="containsText" dxfId="628" priority="29" operator="containsText" text="Significant decrease">
      <formula>NOT(ISERROR(SEARCH("Significant decrease",C4)))</formula>
    </cfRule>
  </conditionalFormatting>
  <conditionalFormatting sqref="E4">
    <cfRule type="containsText" dxfId="627" priority="26" operator="containsText" text="Significant increase">
      <formula>NOT(ISERROR(SEARCH("Significant increase",E4)))</formula>
    </cfRule>
    <cfRule type="containsText" dxfId="626" priority="27" operator="containsText" text="Significant decrease">
      <formula>NOT(ISERROR(SEARCH("Significant decrease",E4)))</formula>
    </cfRule>
  </conditionalFormatting>
  <conditionalFormatting sqref="G4">
    <cfRule type="containsText" dxfId="625" priority="24" operator="containsText" text="Significant increase">
      <formula>NOT(ISERROR(SEARCH("Significant increase",G4)))</formula>
    </cfRule>
    <cfRule type="containsText" dxfId="624" priority="25" operator="containsText" text="Significant decrease">
      <formula>NOT(ISERROR(SEARCH("Significant decrease",G4)))</formula>
    </cfRule>
  </conditionalFormatting>
  <conditionalFormatting sqref="L3">
    <cfRule type="containsText" dxfId="623" priority="22" operator="containsText" text="Significant increase">
      <formula>NOT(ISERROR(SEARCH("Significant increase",L3)))</formula>
    </cfRule>
    <cfRule type="containsText" dxfId="622" priority="23" operator="containsText" text="Significant decrease">
      <formula>NOT(ISERROR(SEARCH("Significant decrease",L3)))</formula>
    </cfRule>
  </conditionalFormatting>
  <conditionalFormatting sqref="L4">
    <cfRule type="containsText" dxfId="621" priority="20" operator="containsText" text="Significant increase">
      <formula>NOT(ISERROR(SEARCH("Significant increase",L4)))</formula>
    </cfRule>
    <cfRule type="containsText" dxfId="620" priority="21" operator="containsText" text="Significant decrease">
      <formula>NOT(ISERROR(SEARCH("Significant decrease",L4)))</formula>
    </cfRule>
  </conditionalFormatting>
  <conditionalFormatting sqref="K3">
    <cfRule type="containsText" dxfId="619" priority="18" operator="containsText" text="Significant increase">
      <formula>NOT(ISERROR(SEARCH("Significant increase",K3)))</formula>
    </cfRule>
    <cfRule type="containsText" dxfId="618" priority="19" operator="containsText" text="Significant decrease">
      <formula>NOT(ISERROR(SEARCH("Significant decrease",K3)))</formula>
    </cfRule>
  </conditionalFormatting>
  <conditionalFormatting sqref="K4">
    <cfRule type="containsText" dxfId="617" priority="16" operator="containsText" text="Significant increase">
      <formula>NOT(ISERROR(SEARCH("Significant increase",K4)))</formula>
    </cfRule>
    <cfRule type="containsText" dxfId="616" priority="17" operator="containsText" text="Significant decrease">
      <formula>NOT(ISERROR(SEARCH("Significant decrease",K4)))</formula>
    </cfRule>
  </conditionalFormatting>
  <conditionalFormatting sqref="J3">
    <cfRule type="containsText" dxfId="615" priority="14" operator="containsText" text="Significant increase">
      <formula>NOT(ISERROR(SEARCH("Significant increase",J3)))</formula>
    </cfRule>
    <cfRule type="containsText" dxfId="614" priority="15" operator="containsText" text="Significant decrease">
      <formula>NOT(ISERROR(SEARCH("Significant decrease",J3)))</formula>
    </cfRule>
  </conditionalFormatting>
  <conditionalFormatting sqref="J4">
    <cfRule type="containsText" dxfId="613" priority="12" operator="containsText" text="Significant increase">
      <formula>NOT(ISERROR(SEARCH("Significant increase",J4)))</formula>
    </cfRule>
    <cfRule type="containsText" dxfId="612" priority="13" operator="containsText" text="Significant decrease">
      <formula>NOT(ISERROR(SEARCH("Significant decrease",J4)))</formula>
    </cfRule>
  </conditionalFormatting>
  <conditionalFormatting sqref="I3">
    <cfRule type="containsText" dxfId="611" priority="10" operator="containsText" text="Significant increase">
      <formula>NOT(ISERROR(SEARCH("Significant increase",I3)))</formula>
    </cfRule>
    <cfRule type="containsText" dxfId="610" priority="11" operator="containsText" text="Significant decrease">
      <formula>NOT(ISERROR(SEARCH("Significant decrease",I3)))</formula>
    </cfRule>
  </conditionalFormatting>
  <conditionalFormatting sqref="D3:D4">
    <cfRule type="containsText" dxfId="609" priority="7" operator="containsText" text="Significant increase">
      <formula>NOT(ISERROR(SEARCH("Significant increase",D3)))</formula>
    </cfRule>
  </conditionalFormatting>
  <conditionalFormatting sqref="F3:F4">
    <cfRule type="containsText" dxfId="608" priority="6" operator="containsText" text="Significant increase">
      <formula>NOT(ISERROR(SEARCH("Significant increase",F3)))</formula>
    </cfRule>
  </conditionalFormatting>
  <conditionalFormatting sqref="H3:H4">
    <cfRule type="containsText" dxfId="607" priority="5" operator="containsText" text="Significant increase">
      <formula>NOT(ISERROR(SEARCH("Significant increase",H3)))</formula>
    </cfRule>
  </conditionalFormatting>
  <conditionalFormatting sqref="M4">
    <cfRule type="containsText" dxfId="606" priority="3" operator="containsText" text="Significant increase">
      <formula>NOT(ISERROR(SEARCH("Significant increase",M4)))</formula>
    </cfRule>
    <cfRule type="containsText" dxfId="605" priority="4" operator="containsText" text="Significant decrease">
      <formula>NOT(ISERROR(SEARCH("Significant decrease",M4)))</formula>
    </cfRule>
  </conditionalFormatting>
  <conditionalFormatting sqref="M3">
    <cfRule type="containsText" dxfId="604" priority="1" operator="containsText" text="Significant increase">
      <formula>NOT(ISERROR(SEARCH("Significant increase",M3)))</formula>
    </cfRule>
    <cfRule type="containsText" dxfId="603" priority="2" operator="containsText" text="Significant decrease">
      <formula>NOT(ISERROR(SEARCH("Significant decrease",M3)))</formula>
    </cfRule>
  </conditionalFormatting>
  <pageMargins left="0.7" right="0.7" top="0.75" bottom="0.75" header="0.3" footer="0.3"/>
  <pageSetup paperSize="9" orientation="portrait"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workbookViewId="0">
      <selection activeCell="M3" sqref="M3"/>
    </sheetView>
  </sheetViews>
  <sheetFormatPr defaultRowHeight="14.25" x14ac:dyDescent="0.2"/>
  <cols>
    <col min="1" max="1" width="10.19921875" customWidth="1"/>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s>
  <sheetData>
    <row r="2" spans="1:48"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20" t="s">
        <v>285</v>
      </c>
      <c r="Q2" s="20" t="s">
        <v>286</v>
      </c>
      <c r="R2" s="20" t="s">
        <v>276</v>
      </c>
      <c r="S2" s="20" t="s">
        <v>277</v>
      </c>
      <c r="T2" s="20" t="s">
        <v>278</v>
      </c>
      <c r="U2" s="20" t="s">
        <v>279</v>
      </c>
      <c r="V2" s="20" t="s">
        <v>280</v>
      </c>
      <c r="W2" s="20" t="s">
        <v>281</v>
      </c>
      <c r="X2" s="20" t="s">
        <v>282</v>
      </c>
      <c r="Y2" s="20" t="s">
        <v>283</v>
      </c>
      <c r="Z2" s="20" t="s">
        <v>284</v>
      </c>
      <c r="AA2" s="20" t="s">
        <v>287</v>
      </c>
      <c r="AB2" s="20" t="s">
        <v>288</v>
      </c>
      <c r="AC2" s="20" t="s">
        <v>258</v>
      </c>
      <c r="AD2" s="20" t="s">
        <v>259</v>
      </c>
      <c r="AE2" s="20" t="s">
        <v>260</v>
      </c>
      <c r="AF2" s="20" t="s">
        <v>261</v>
      </c>
      <c r="AG2" s="20" t="s">
        <v>262</v>
      </c>
      <c r="AH2" s="20" t="s">
        <v>263</v>
      </c>
      <c r="AI2" s="20" t="s">
        <v>264</v>
      </c>
      <c r="AJ2" s="20" t="s">
        <v>265</v>
      </c>
      <c r="AK2" s="20" t="s">
        <v>266</v>
      </c>
      <c r="AL2" s="20" t="s">
        <v>289</v>
      </c>
      <c r="AM2" s="20" t="s">
        <v>290</v>
      </c>
      <c r="AN2" s="20" t="s">
        <v>267</v>
      </c>
      <c r="AO2" s="20" t="s">
        <v>268</v>
      </c>
      <c r="AP2" s="20" t="s">
        <v>269</v>
      </c>
      <c r="AQ2" s="20" t="s">
        <v>270</v>
      </c>
      <c r="AR2" s="20" t="s">
        <v>271</v>
      </c>
      <c r="AS2" s="20" t="s">
        <v>272</v>
      </c>
      <c r="AT2" s="20" t="s">
        <v>273</v>
      </c>
      <c r="AU2" s="20" t="s">
        <v>274</v>
      </c>
      <c r="AV2" s="20" t="s">
        <v>275</v>
      </c>
    </row>
    <row r="3" spans="1:48" x14ac:dyDescent="0.2">
      <c r="A3" s="4" t="s">
        <v>111</v>
      </c>
      <c r="B3" s="4" t="s">
        <v>132</v>
      </c>
      <c r="C3" s="4">
        <v>0.32300000000000001</v>
      </c>
      <c r="D3" s="30">
        <v>23600</v>
      </c>
      <c r="E3" s="4">
        <v>0.30880000000000002</v>
      </c>
      <c r="F3" s="30">
        <v>22500</v>
      </c>
      <c r="G3" s="4">
        <v>0.36820000000000003</v>
      </c>
      <c r="H3" s="30">
        <v>26900</v>
      </c>
      <c r="I3" s="4"/>
      <c r="J3" s="4">
        <v>0.20039999999999999</v>
      </c>
      <c r="K3" s="4">
        <v>0.44790000000000002</v>
      </c>
      <c r="L3" s="4">
        <v>0.3347</v>
      </c>
      <c r="M3" s="155">
        <v>0.29830000000000001</v>
      </c>
      <c r="N3" s="28">
        <f>ManchesterCYP[[#This Row],[Active]]+ManchesterCYP[[#This Row],[Fairly Active]]</f>
        <v>0.63180000000000003</v>
      </c>
      <c r="O3" s="30">
        <f>ManchesterCYP[[#This Row],[Active - Numbers]]+ManchesterCYP[[#This Row],[Fairly Active - Numbers]]</f>
        <v>46100</v>
      </c>
      <c r="P3" s="64"/>
      <c r="Q3" s="133">
        <v>0.26843893655348011</v>
      </c>
      <c r="R3" s="64"/>
      <c r="S3" s="133">
        <v>0.37703831873472038</v>
      </c>
      <c r="T3" s="64"/>
      <c r="U3" s="64"/>
      <c r="V3" s="64"/>
      <c r="W3" s="64"/>
      <c r="X3" s="64"/>
      <c r="Y3" s="64"/>
      <c r="Z3" s="64"/>
      <c r="AA3" s="64"/>
      <c r="AB3" s="133">
        <v>0.33587428817801984</v>
      </c>
      <c r="AC3" s="64"/>
      <c r="AD3" s="133">
        <v>0.29995671990760769</v>
      </c>
      <c r="AE3" s="64"/>
      <c r="AF3" s="64"/>
      <c r="AG3" s="64"/>
      <c r="AH3" s="64"/>
      <c r="AI3" s="64"/>
      <c r="AJ3" s="64"/>
      <c r="AK3" s="64"/>
      <c r="AL3" s="64"/>
      <c r="AM3" s="133">
        <v>0.39568677526850066</v>
      </c>
      <c r="AN3" s="133">
        <v>0.4699006381154282</v>
      </c>
      <c r="AO3" s="133">
        <v>0.32300496135767243</v>
      </c>
      <c r="AP3" s="64"/>
      <c r="AQ3" s="64"/>
      <c r="AR3" s="64"/>
      <c r="AS3" s="64"/>
      <c r="AT3" s="64"/>
      <c r="AU3" s="64"/>
      <c r="AV3" s="64"/>
    </row>
    <row r="4" spans="1:48" x14ac:dyDescent="0.2">
      <c r="A4" s="4" t="s">
        <v>111</v>
      </c>
      <c r="B4" s="4" t="s">
        <v>133</v>
      </c>
      <c r="C4" s="4"/>
      <c r="D4" s="26"/>
      <c r="E4" s="4"/>
      <c r="F4" s="26"/>
      <c r="G4" s="4"/>
      <c r="H4" s="26"/>
      <c r="I4" s="4"/>
      <c r="J4" s="4"/>
      <c r="K4" s="4"/>
      <c r="L4" s="4"/>
      <c r="M4" s="4"/>
      <c r="N4" s="28">
        <f>ManchesterCYP[[#This Row],[Active]]+ManchesterCYP[[#This Row],[Fairly Active]]</f>
        <v>0</v>
      </c>
      <c r="O4" s="30">
        <f>ManchesterCYP[[#This Row],[Active - Numbers]]+ManchesterCYP[[#This Row],[Fairly Active - Numbers]]</f>
        <v>0</v>
      </c>
      <c r="P4" s="133">
        <v>0.44747572242409028</v>
      </c>
      <c r="Q4" s="64"/>
      <c r="R4" s="64"/>
      <c r="S4" s="64"/>
      <c r="T4" s="64"/>
      <c r="U4" s="64"/>
      <c r="V4" s="64"/>
      <c r="W4" s="64"/>
      <c r="X4" s="64"/>
      <c r="Y4" s="64"/>
      <c r="Z4" s="64"/>
      <c r="AA4" s="64"/>
      <c r="AB4" s="64"/>
      <c r="AC4" s="64"/>
      <c r="AD4" s="64"/>
      <c r="AE4" s="64"/>
      <c r="AF4" s="64"/>
      <c r="AG4" s="64"/>
      <c r="AH4" s="64"/>
      <c r="AI4" s="64"/>
      <c r="AJ4" s="64"/>
      <c r="AK4" s="64"/>
      <c r="AL4" s="133">
        <v>0.36855649095474158</v>
      </c>
      <c r="AM4" s="64"/>
      <c r="AN4" s="64"/>
      <c r="AO4" s="64"/>
      <c r="AP4" s="64"/>
      <c r="AQ4" s="64"/>
      <c r="AR4" s="64"/>
      <c r="AS4" s="64"/>
      <c r="AT4" s="64"/>
      <c r="AU4" s="64"/>
      <c r="AV4" s="64"/>
    </row>
  </sheetData>
  <conditionalFormatting sqref="J3">
    <cfRule type="containsText" dxfId="556" priority="9" operator="containsText" text="Significant increase">
      <formula>NOT(ISERROR(SEARCH("Significant increase",J3)))</formula>
    </cfRule>
    <cfRule type="containsText" dxfId="555" priority="10" operator="containsText" text="Significant decrease">
      <formula>NOT(ISERROR(SEARCH("Significant decrease",J3)))</formula>
    </cfRule>
  </conditionalFormatting>
  <conditionalFormatting sqref="C3">
    <cfRule type="containsText" dxfId="554" priority="19" operator="containsText" text="Significant increase">
      <formula>NOT(ISERROR(SEARCH("Significant increase",C3)))</formula>
    </cfRule>
    <cfRule type="containsText" dxfId="553" priority="20" operator="containsText" text="Significant decrease">
      <formula>NOT(ISERROR(SEARCH("Significant decrease",C3)))</formula>
    </cfRule>
  </conditionalFormatting>
  <conditionalFormatting sqref="E3">
    <cfRule type="containsText" dxfId="552" priority="17" operator="containsText" text="Significant increase">
      <formula>NOT(ISERROR(SEARCH("Significant increase",E3)))</formula>
    </cfRule>
    <cfRule type="containsText" dxfId="551" priority="18" operator="containsText" text="Significant decrease">
      <formula>NOT(ISERROR(SEARCH("Significant decrease",E3)))</formula>
    </cfRule>
  </conditionalFormatting>
  <conditionalFormatting sqref="G3">
    <cfRule type="containsText" dxfId="550" priority="15" operator="containsText" text="Significant increase">
      <formula>NOT(ISERROR(SEARCH("Significant increase",G3)))</formula>
    </cfRule>
    <cfRule type="containsText" dxfId="549" priority="16" operator="containsText" text="Significant decrease">
      <formula>NOT(ISERROR(SEARCH("Significant decrease",G3)))</formula>
    </cfRule>
  </conditionalFormatting>
  <conditionalFormatting sqref="L3">
    <cfRule type="containsText" dxfId="548" priority="13" operator="containsText" text="Significant increase">
      <formula>NOT(ISERROR(SEARCH("Significant increase",L3)))</formula>
    </cfRule>
    <cfRule type="containsText" dxfId="547" priority="14" operator="containsText" text="Significant decrease">
      <formula>NOT(ISERROR(SEARCH("Significant decrease",L3)))</formula>
    </cfRule>
  </conditionalFormatting>
  <conditionalFormatting sqref="K3">
    <cfRule type="containsText" dxfId="546" priority="11" operator="containsText" text="Significant increase">
      <formula>NOT(ISERROR(SEARCH("Significant increase",K3)))</formula>
    </cfRule>
    <cfRule type="containsText" dxfId="545" priority="12" operator="containsText" text="Significant decrease">
      <formula>NOT(ISERROR(SEARCH("Significant decrease",K3)))</formula>
    </cfRule>
  </conditionalFormatting>
  <conditionalFormatting sqref="H3">
    <cfRule type="containsText" dxfId="544" priority="3" operator="containsText" text="Significant increase">
      <formula>NOT(ISERROR(SEARCH("Significant increase",H3)))</formula>
    </cfRule>
    <cfRule type="containsText" dxfId="543" priority="4" operator="containsText" text="Significant decrease">
      <formula>NOT(ISERROR(SEARCH("Significant decrease",H3)))</formula>
    </cfRule>
  </conditionalFormatting>
  <conditionalFormatting sqref="D3">
    <cfRule type="containsText" dxfId="542" priority="7" operator="containsText" text="Significant increase">
      <formula>NOT(ISERROR(SEARCH("Significant increase",D3)))</formula>
    </cfRule>
    <cfRule type="containsText" dxfId="541" priority="8" operator="containsText" text="Significant decrease">
      <formula>NOT(ISERROR(SEARCH("Significant decrease",D3)))</formula>
    </cfRule>
  </conditionalFormatting>
  <conditionalFormatting sqref="F3">
    <cfRule type="containsText" dxfId="540" priority="5" operator="containsText" text="Significant increase">
      <formula>NOT(ISERROR(SEARCH("Significant increase",F3)))</formula>
    </cfRule>
    <cfRule type="containsText" dxfId="539" priority="6" operator="containsText" text="Significant decrease">
      <formula>NOT(ISERROR(SEARCH("Significant decrease",F3)))</formula>
    </cfRule>
  </conditionalFormatting>
  <conditionalFormatting sqref="M3">
    <cfRule type="containsText" dxfId="538" priority="1" operator="containsText" text="Significant increase">
      <formula>NOT(ISERROR(SEARCH("Significant increase",M3)))</formula>
    </cfRule>
    <cfRule type="containsText" dxfId="537" priority="2" operator="containsText" text="Significant decrease">
      <formula>NOT(ISERROR(SEARCH("Significant decrease",M3)))</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35" operator="containsText" text="Significant increase" id="{048A9601-1811-4572-8358-D7282D42A6DC}">
            <xm:f>NOT(ISERROR(SEARCH("Significant increase",'Bury CYP'!C3)))</xm:f>
            <x14:dxf>
              <font>
                <color rgb="FF006100"/>
              </font>
              <fill>
                <patternFill>
                  <fgColor indexed="64"/>
                  <bgColor rgb="FFC6EFCE"/>
                </patternFill>
              </fill>
            </x14:dxf>
          </x14:cfRule>
          <x14:cfRule type="containsText" priority="36" operator="containsText" text="Significant decrease" id="{A3379F38-CBFE-4F51-9708-60B4929C3FA2}">
            <xm:f>NOT(ISERROR(SEARCH("Significant decrease",'Bury CYP'!C3)))</xm:f>
            <x14:dxf>
              <font>
                <color rgb="FF9C0006"/>
              </font>
              <fill>
                <patternFill>
                  <fgColor indexed="64"/>
                  <bgColor rgb="FFFFC7CE"/>
                </patternFill>
              </fill>
            </x14:dxf>
          </x14:cfRule>
          <xm:sqref>I3 C4:L4</xm:sqref>
        </x14:conditionalFormatting>
      </x14:conditionalFormatting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workbookViewId="0">
      <selection activeCell="M3" sqref="M3"/>
    </sheetView>
  </sheetViews>
  <sheetFormatPr defaultRowHeight="14.25" x14ac:dyDescent="0.2"/>
  <cols>
    <col min="1" max="1" width="10.19921875" customWidth="1"/>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s>
  <sheetData>
    <row r="2" spans="1:48"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20" t="s">
        <v>285</v>
      </c>
      <c r="Q2" s="20" t="s">
        <v>286</v>
      </c>
      <c r="R2" s="20" t="s">
        <v>276</v>
      </c>
      <c r="S2" s="20" t="s">
        <v>277</v>
      </c>
      <c r="T2" s="20" t="s">
        <v>278</v>
      </c>
      <c r="U2" s="20" t="s">
        <v>279</v>
      </c>
      <c r="V2" s="20" t="s">
        <v>280</v>
      </c>
      <c r="W2" s="20" t="s">
        <v>281</v>
      </c>
      <c r="X2" s="20" t="s">
        <v>282</v>
      </c>
      <c r="Y2" s="20" t="s">
        <v>283</v>
      </c>
      <c r="Z2" s="20" t="s">
        <v>284</v>
      </c>
      <c r="AA2" s="20" t="s">
        <v>287</v>
      </c>
      <c r="AB2" s="20" t="s">
        <v>288</v>
      </c>
      <c r="AC2" s="20" t="s">
        <v>258</v>
      </c>
      <c r="AD2" s="20" t="s">
        <v>259</v>
      </c>
      <c r="AE2" s="20" t="s">
        <v>260</v>
      </c>
      <c r="AF2" s="20" t="s">
        <v>261</v>
      </c>
      <c r="AG2" s="20" t="s">
        <v>262</v>
      </c>
      <c r="AH2" s="20" t="s">
        <v>263</v>
      </c>
      <c r="AI2" s="20" t="s">
        <v>264</v>
      </c>
      <c r="AJ2" s="20" t="s">
        <v>265</v>
      </c>
      <c r="AK2" s="20" t="s">
        <v>266</v>
      </c>
      <c r="AL2" s="20" t="s">
        <v>289</v>
      </c>
      <c r="AM2" s="20" t="s">
        <v>290</v>
      </c>
      <c r="AN2" s="20" t="s">
        <v>267</v>
      </c>
      <c r="AO2" s="20" t="s">
        <v>268</v>
      </c>
      <c r="AP2" s="20" t="s">
        <v>269</v>
      </c>
      <c r="AQ2" s="20" t="s">
        <v>270</v>
      </c>
      <c r="AR2" s="20" t="s">
        <v>271</v>
      </c>
      <c r="AS2" s="20" t="s">
        <v>272</v>
      </c>
      <c r="AT2" s="20" t="s">
        <v>273</v>
      </c>
      <c r="AU2" s="20" t="s">
        <v>274</v>
      </c>
      <c r="AV2" s="20" t="s">
        <v>275</v>
      </c>
    </row>
    <row r="3" spans="1:48" x14ac:dyDescent="0.2">
      <c r="A3" s="4" t="s">
        <v>112</v>
      </c>
      <c r="B3" s="4" t="s">
        <v>132</v>
      </c>
      <c r="C3" s="4">
        <v>0.2974</v>
      </c>
      <c r="D3" s="30">
        <v>11100</v>
      </c>
      <c r="E3" s="4">
        <v>0.2492</v>
      </c>
      <c r="F3" s="30">
        <v>9300</v>
      </c>
      <c r="G3" s="4">
        <v>0.45340000000000003</v>
      </c>
      <c r="H3" s="30">
        <v>16900</v>
      </c>
      <c r="I3" s="4">
        <v>9.11E-2</v>
      </c>
      <c r="J3" s="4">
        <v>0.21820000000000001</v>
      </c>
      <c r="K3" s="4">
        <v>0.37559999999999999</v>
      </c>
      <c r="L3" s="4">
        <v>0.27100000000000002</v>
      </c>
      <c r="M3" s="155">
        <v>0.3367</v>
      </c>
      <c r="N3" s="28">
        <f>OldhamCYP[[#This Row],[Active]]+OldhamCYP[[#This Row],[Fairly Active]]</f>
        <v>0.54659999999999997</v>
      </c>
      <c r="O3" s="30">
        <f>OldhamCYP[[#This Row],[Active - Numbers]]+OldhamCYP[[#This Row],[Fairly Active - Numbers]]</f>
        <v>20400</v>
      </c>
      <c r="P3" s="133">
        <v>0.36654100742897</v>
      </c>
      <c r="Q3" s="133">
        <v>0.22540998248041513</v>
      </c>
      <c r="R3" s="133">
        <v>0.23359308958941802</v>
      </c>
      <c r="S3" s="133">
        <v>0.30859790516795899</v>
      </c>
      <c r="T3" s="64"/>
      <c r="U3" s="64"/>
      <c r="V3" s="64"/>
      <c r="W3" s="64"/>
      <c r="X3" s="64"/>
      <c r="Y3" s="64"/>
      <c r="Z3" s="64"/>
      <c r="AA3" s="133">
        <v>0.2412735104871678</v>
      </c>
      <c r="AB3" s="133">
        <v>0.2649798109047376</v>
      </c>
      <c r="AC3" s="64"/>
      <c r="AD3" s="133">
        <v>0.24201979071432647</v>
      </c>
      <c r="AE3" s="64"/>
      <c r="AF3" s="64"/>
      <c r="AG3" s="64"/>
      <c r="AH3" s="64"/>
      <c r="AI3" s="64"/>
      <c r="AJ3" s="64"/>
      <c r="AK3" s="64"/>
      <c r="AL3" s="133">
        <v>0.39218548208386245</v>
      </c>
      <c r="AM3" s="133">
        <v>0.50961020661484913</v>
      </c>
      <c r="AN3" s="133">
        <v>0.49968433842502885</v>
      </c>
      <c r="AO3" s="133">
        <v>0.44938230411771557</v>
      </c>
      <c r="AP3" s="64"/>
      <c r="AQ3" s="64"/>
      <c r="AR3" s="64"/>
      <c r="AS3" s="64"/>
      <c r="AT3" s="64"/>
      <c r="AU3" s="64"/>
      <c r="AV3" s="64"/>
    </row>
    <row r="4" spans="1:48" x14ac:dyDescent="0.2">
      <c r="A4" s="4" t="s">
        <v>112</v>
      </c>
      <c r="B4" s="4" t="s">
        <v>133</v>
      </c>
      <c r="C4" s="4"/>
      <c r="D4" s="26"/>
      <c r="E4" s="4"/>
      <c r="F4" s="26"/>
      <c r="G4" s="4"/>
      <c r="H4" s="26"/>
      <c r="I4" s="4"/>
      <c r="J4" s="4"/>
      <c r="K4" s="4"/>
      <c r="L4" s="4"/>
      <c r="M4" s="4"/>
      <c r="N4" s="28">
        <f>OldhamCYP[[#This Row],[Active]]+OldhamCYP[[#This Row],[Fairly Active]]</f>
        <v>0</v>
      </c>
      <c r="O4" s="30">
        <f>OldhamCYP[[#This Row],[Active - Numbers]]+OldhamCYP[[#This Row],[Fairly Active - Numbers]]</f>
        <v>0</v>
      </c>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row>
  </sheetData>
  <conditionalFormatting sqref="I3">
    <cfRule type="containsText" dxfId="484" priority="9" operator="containsText" text="Significant increase">
      <formula>NOT(ISERROR(SEARCH("Significant increase",I3)))</formula>
    </cfRule>
    <cfRule type="containsText" dxfId="483" priority="10" operator="containsText" text="Significant decrease">
      <formula>NOT(ISERROR(SEARCH("Significant decrease",I3)))</formula>
    </cfRule>
  </conditionalFormatting>
  <conditionalFormatting sqref="C3">
    <cfRule type="containsText" dxfId="482" priority="21" operator="containsText" text="Significant increase">
      <formula>NOT(ISERROR(SEARCH("Significant increase",C3)))</formula>
    </cfRule>
    <cfRule type="containsText" dxfId="481" priority="22" operator="containsText" text="Significant decrease">
      <formula>NOT(ISERROR(SEARCH("Significant decrease",C3)))</formula>
    </cfRule>
  </conditionalFormatting>
  <conditionalFormatting sqref="E3">
    <cfRule type="containsText" dxfId="480" priority="19" operator="containsText" text="Significant increase">
      <formula>NOT(ISERROR(SEARCH("Significant increase",E3)))</formula>
    </cfRule>
    <cfRule type="containsText" dxfId="479" priority="20" operator="containsText" text="Significant decrease">
      <formula>NOT(ISERROR(SEARCH("Significant decrease",E3)))</formula>
    </cfRule>
  </conditionalFormatting>
  <conditionalFormatting sqref="G3">
    <cfRule type="containsText" dxfId="478" priority="17" operator="containsText" text="Significant increase">
      <formula>NOT(ISERROR(SEARCH("Significant increase",G3)))</formula>
    </cfRule>
    <cfRule type="containsText" dxfId="477" priority="18" operator="containsText" text="Significant decrease">
      <formula>NOT(ISERROR(SEARCH("Significant decrease",G3)))</formula>
    </cfRule>
  </conditionalFormatting>
  <conditionalFormatting sqref="L3">
    <cfRule type="containsText" dxfId="476" priority="15" operator="containsText" text="Significant increase">
      <formula>NOT(ISERROR(SEARCH("Significant increase",L3)))</formula>
    </cfRule>
    <cfRule type="containsText" dxfId="475" priority="16" operator="containsText" text="Significant decrease">
      <formula>NOT(ISERROR(SEARCH("Significant decrease",L3)))</formula>
    </cfRule>
  </conditionalFormatting>
  <conditionalFormatting sqref="K3">
    <cfRule type="containsText" dxfId="474" priority="13" operator="containsText" text="Significant increase">
      <formula>NOT(ISERROR(SEARCH("Significant increase",K3)))</formula>
    </cfRule>
    <cfRule type="containsText" dxfId="473" priority="14" operator="containsText" text="Significant decrease">
      <formula>NOT(ISERROR(SEARCH("Significant decrease",K3)))</formula>
    </cfRule>
  </conditionalFormatting>
  <conditionalFormatting sqref="J3">
    <cfRule type="containsText" dxfId="472" priority="11" operator="containsText" text="Significant increase">
      <formula>NOT(ISERROR(SEARCH("Significant increase",J3)))</formula>
    </cfRule>
    <cfRule type="containsText" dxfId="471" priority="12" operator="containsText" text="Significant decrease">
      <formula>NOT(ISERROR(SEARCH("Significant decrease",J3)))</formula>
    </cfRule>
  </conditionalFormatting>
  <conditionalFormatting sqref="D3">
    <cfRule type="containsText" dxfId="470" priority="7" operator="containsText" text="Significant increase">
      <formula>NOT(ISERROR(SEARCH("Significant increase",D3)))</formula>
    </cfRule>
    <cfRule type="containsText" dxfId="469" priority="8" operator="containsText" text="Significant decrease">
      <formula>NOT(ISERROR(SEARCH("Significant decrease",D3)))</formula>
    </cfRule>
  </conditionalFormatting>
  <conditionalFormatting sqref="F3">
    <cfRule type="containsText" dxfId="468" priority="5" operator="containsText" text="Significant increase">
      <formula>NOT(ISERROR(SEARCH("Significant increase",F3)))</formula>
    </cfRule>
    <cfRule type="containsText" dxfId="467" priority="6" operator="containsText" text="Significant decrease">
      <formula>NOT(ISERROR(SEARCH("Significant decrease",F3)))</formula>
    </cfRule>
  </conditionalFormatting>
  <conditionalFormatting sqref="H3">
    <cfRule type="containsText" dxfId="466" priority="3" operator="containsText" text="Significant increase">
      <formula>NOT(ISERROR(SEARCH("Significant increase",H3)))</formula>
    </cfRule>
    <cfRule type="containsText" dxfId="465" priority="4" operator="containsText" text="Significant decrease">
      <formula>NOT(ISERROR(SEARCH("Significant decrease",H3)))</formula>
    </cfRule>
  </conditionalFormatting>
  <conditionalFormatting sqref="M3">
    <cfRule type="containsText" dxfId="464" priority="1" operator="containsText" text="Significant increase">
      <formula>NOT(ISERROR(SEARCH("Significant increase",M3)))</formula>
    </cfRule>
    <cfRule type="containsText" dxfId="463" priority="2" operator="containsText" text="Significant decrease">
      <formula>NOT(ISERROR(SEARCH("Significant decrease",M3)))</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23" operator="containsText" text="Significant increase" id="{16044A50-4509-47B2-B3D0-3F798957DE05}">
            <xm:f>NOT(ISERROR(SEARCH("Significant increase",'Bury CYP'!C4)))</xm:f>
            <x14:dxf>
              <font>
                <color rgb="FF006100"/>
              </font>
              <fill>
                <patternFill>
                  <fgColor indexed="64"/>
                  <bgColor rgb="FFC6EFCE"/>
                </patternFill>
              </fill>
            </x14:dxf>
          </x14:cfRule>
          <x14:cfRule type="containsText" priority="23" operator="containsText" text="Significant decrease" id="{737E2764-4D13-4466-9B84-22B7C6802B3E}">
            <xm:f>NOT(ISERROR(SEARCH("Significant decrease",'Bury CYP'!C4)))</xm:f>
            <x14:dxf>
              <font>
                <color rgb="FF9C0006"/>
              </font>
              <fill>
                <patternFill>
                  <fgColor indexed="64"/>
                  <bgColor rgb="FFFFC7CE"/>
                </patternFill>
              </fill>
            </x14:dxf>
          </x14:cfRule>
          <xm:sqref>C4:L4</xm:sqref>
        </x14:conditionalFormatting>
      </x14:conditionalFormatting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topLeftCell="H1" workbookViewId="0">
      <selection activeCell="M3" sqref="M3"/>
    </sheetView>
  </sheetViews>
  <sheetFormatPr defaultRowHeight="14.25" x14ac:dyDescent="0.2"/>
  <cols>
    <col min="1" max="1" width="10.19921875" customWidth="1"/>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s>
  <sheetData>
    <row r="2" spans="1:48" s="20" customFormat="1"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20" t="s">
        <v>285</v>
      </c>
      <c r="Q2" s="20" t="s">
        <v>286</v>
      </c>
      <c r="R2" s="20" t="s">
        <v>276</v>
      </c>
      <c r="S2" s="20" t="s">
        <v>277</v>
      </c>
      <c r="T2" s="20" t="s">
        <v>278</v>
      </c>
      <c r="U2" s="20" t="s">
        <v>279</v>
      </c>
      <c r="V2" s="20" t="s">
        <v>280</v>
      </c>
      <c r="W2" s="20" t="s">
        <v>281</v>
      </c>
      <c r="X2" s="20" t="s">
        <v>282</v>
      </c>
      <c r="Y2" s="20" t="s">
        <v>283</v>
      </c>
      <c r="Z2" s="20" t="s">
        <v>284</v>
      </c>
      <c r="AA2" s="20" t="s">
        <v>287</v>
      </c>
      <c r="AB2" s="20" t="s">
        <v>288</v>
      </c>
      <c r="AC2" s="20" t="s">
        <v>258</v>
      </c>
      <c r="AD2" s="20" t="s">
        <v>259</v>
      </c>
      <c r="AE2" s="20" t="s">
        <v>260</v>
      </c>
      <c r="AF2" s="20" t="s">
        <v>261</v>
      </c>
      <c r="AG2" s="20" t="s">
        <v>262</v>
      </c>
      <c r="AH2" s="20" t="s">
        <v>263</v>
      </c>
      <c r="AI2" s="20" t="s">
        <v>264</v>
      </c>
      <c r="AJ2" s="20" t="s">
        <v>265</v>
      </c>
      <c r="AK2" s="20" t="s">
        <v>266</v>
      </c>
      <c r="AL2" s="20" t="s">
        <v>289</v>
      </c>
      <c r="AM2" s="20" t="s">
        <v>290</v>
      </c>
      <c r="AN2" s="20" t="s">
        <v>267</v>
      </c>
      <c r="AO2" s="20" t="s">
        <v>268</v>
      </c>
      <c r="AP2" s="20" t="s">
        <v>269</v>
      </c>
      <c r="AQ2" s="20" t="s">
        <v>270</v>
      </c>
      <c r="AR2" s="20" t="s">
        <v>271</v>
      </c>
      <c r="AS2" s="20" t="s">
        <v>272</v>
      </c>
      <c r="AT2" s="20" t="s">
        <v>273</v>
      </c>
      <c r="AU2" s="20" t="s">
        <v>274</v>
      </c>
      <c r="AV2" s="20" t="s">
        <v>275</v>
      </c>
    </row>
    <row r="3" spans="1:48" s="64" customFormat="1" x14ac:dyDescent="0.2">
      <c r="A3" s="4" t="s">
        <v>113</v>
      </c>
      <c r="B3" s="4" t="s">
        <v>132</v>
      </c>
      <c r="C3" s="4">
        <v>0.38429999999999997</v>
      </c>
      <c r="D3" s="30">
        <v>11800</v>
      </c>
      <c r="E3" s="4">
        <v>0.2054</v>
      </c>
      <c r="F3" s="30">
        <v>6300</v>
      </c>
      <c r="G3" s="4">
        <v>0.4103</v>
      </c>
      <c r="H3" s="30">
        <v>12600</v>
      </c>
      <c r="I3" s="4">
        <v>0.16550000000000001</v>
      </c>
      <c r="J3" s="4">
        <v>0.29399999999999998</v>
      </c>
      <c r="K3" s="4">
        <v>0.45550000000000002</v>
      </c>
      <c r="L3" s="4">
        <v>0.34279999999999999</v>
      </c>
      <c r="M3" s="155">
        <v>0.42830000000000001</v>
      </c>
      <c r="N3" s="4">
        <f>RochdaleCYP[[#This Row],[Active]]+RochdaleCYP[[#This Row],[Fairly Active]]</f>
        <v>0.5897</v>
      </c>
      <c r="O3" s="30">
        <f>RochdaleCYP[[#This Row],[Active - Numbers]]+RochdaleCYP[[#This Row],[Fairly Active - Numbers]]</f>
        <v>18100</v>
      </c>
      <c r="P3" s="133">
        <v>0.40747966942585123</v>
      </c>
      <c r="Q3" s="133">
        <v>0.35419623172512715</v>
      </c>
      <c r="R3" s="133">
        <v>0.46490489212553343</v>
      </c>
      <c r="T3" s="133">
        <v>0.48355006576259368</v>
      </c>
      <c r="AC3" s="133">
        <v>0.14312130931670777</v>
      </c>
      <c r="AE3" s="133">
        <v>0.13283983312513506</v>
      </c>
      <c r="AL3" s="133">
        <v>0.45287008137253482</v>
      </c>
      <c r="AM3" s="133">
        <v>0.36732162987508216</v>
      </c>
      <c r="AN3" s="133">
        <v>0.39197379855775838</v>
      </c>
      <c r="AP3" s="133">
        <v>0.38361010111227128</v>
      </c>
    </row>
    <row r="4" spans="1:48" s="64" customFormat="1" x14ac:dyDescent="0.2">
      <c r="A4" s="4" t="s">
        <v>113</v>
      </c>
      <c r="B4" s="4" t="s">
        <v>133</v>
      </c>
      <c r="C4" s="4">
        <v>0.46870000000000001</v>
      </c>
      <c r="D4" s="30">
        <v>14600</v>
      </c>
      <c r="E4" s="4">
        <v>0.2535</v>
      </c>
      <c r="F4" s="30">
        <v>7900</v>
      </c>
      <c r="G4" s="4">
        <v>0.27779999999999999</v>
      </c>
      <c r="H4" s="30">
        <v>8600</v>
      </c>
      <c r="I4" s="4">
        <v>0.22639999999999999</v>
      </c>
      <c r="J4" s="4">
        <v>0.32150000000000001</v>
      </c>
      <c r="K4" s="4">
        <v>0.63819999999999999</v>
      </c>
      <c r="L4" s="4">
        <v>0.3493</v>
      </c>
      <c r="M4" s="4"/>
      <c r="N4" s="4">
        <f>RochdaleCYP[[#This Row],[Active]]+RochdaleCYP[[#This Row],[Fairly Active]]</f>
        <v>0.72219999999999995</v>
      </c>
      <c r="O4" s="30">
        <f>RochdaleCYP[[#This Row],[Active - Numbers]]+RochdaleCYP[[#This Row],[Fairly Active - Numbers]]</f>
        <v>22500</v>
      </c>
      <c r="P4" s="133">
        <v>0.54456031895015122</v>
      </c>
      <c r="Q4" s="133">
        <v>0.40166694394221808</v>
      </c>
      <c r="R4" s="133">
        <v>0.52399867992151195</v>
      </c>
      <c r="T4" s="133">
        <v>0.46078584854122284</v>
      </c>
      <c r="AB4" s="133">
        <v>0.29718053483359591</v>
      </c>
      <c r="AC4" s="133">
        <v>0.28857004141148357</v>
      </c>
      <c r="AE4" s="133">
        <v>0.42934908281302187</v>
      </c>
      <c r="AL4" s="133">
        <v>0.25502308114801492</v>
      </c>
      <c r="AM4" s="133">
        <v>0.30115252122418618</v>
      </c>
      <c r="AN4" s="133">
        <v>0.18743127866700404</v>
      </c>
      <c r="AP4" s="133">
        <v>0.10986506864575507</v>
      </c>
    </row>
  </sheetData>
  <conditionalFormatting sqref="I4">
    <cfRule type="containsText" dxfId="411" priority="9" operator="containsText" text="Significant increase">
      <formula>NOT(ISERROR(SEARCH("Significant increase",I4)))</formula>
    </cfRule>
    <cfRule type="containsText" dxfId="410" priority="10" operator="containsText" text="Significant decrease">
      <formula>NOT(ISERROR(SEARCH("Significant decrease",I4)))</formula>
    </cfRule>
  </conditionalFormatting>
  <conditionalFormatting sqref="C3">
    <cfRule type="containsText" dxfId="409" priority="35" operator="containsText" text="Significant increase">
      <formula>NOT(ISERROR(SEARCH("Significant increase",C3)))</formula>
    </cfRule>
    <cfRule type="containsText" dxfId="408" priority="36" operator="containsText" text="Significant decrease">
      <formula>NOT(ISERROR(SEARCH("Significant decrease",C3)))</formula>
    </cfRule>
  </conditionalFormatting>
  <conditionalFormatting sqref="E3">
    <cfRule type="containsText" dxfId="407" priority="33" operator="containsText" text="Significant increase">
      <formula>NOT(ISERROR(SEARCH("Significant increase",E3)))</formula>
    </cfRule>
    <cfRule type="containsText" dxfId="406" priority="34" operator="containsText" text="Significant decrease">
      <formula>NOT(ISERROR(SEARCH("Significant decrease",E3)))</formula>
    </cfRule>
  </conditionalFormatting>
  <conditionalFormatting sqref="G3">
    <cfRule type="containsText" dxfId="405" priority="31" operator="containsText" text="Significant increase">
      <formula>NOT(ISERROR(SEARCH("Significant increase",G3)))</formula>
    </cfRule>
    <cfRule type="containsText" dxfId="404" priority="32" operator="containsText" text="Significant decrease">
      <formula>NOT(ISERROR(SEARCH("Significant decrease",G3)))</formula>
    </cfRule>
  </conditionalFormatting>
  <conditionalFormatting sqref="C4">
    <cfRule type="containsText" dxfId="403" priority="29" operator="containsText" text="Significant increase">
      <formula>NOT(ISERROR(SEARCH("Significant increase",C4)))</formula>
    </cfRule>
    <cfRule type="containsText" dxfId="402" priority="30" operator="containsText" text="Significant decrease">
      <formula>NOT(ISERROR(SEARCH("Significant decrease",C4)))</formula>
    </cfRule>
  </conditionalFormatting>
  <conditionalFormatting sqref="E4">
    <cfRule type="containsText" dxfId="401" priority="27" operator="containsText" text="Significant increase">
      <formula>NOT(ISERROR(SEARCH("Significant increase",E4)))</formula>
    </cfRule>
    <cfRule type="containsText" dxfId="400" priority="28" operator="containsText" text="Significant decrease">
      <formula>NOT(ISERROR(SEARCH("Significant decrease",E4)))</formula>
    </cfRule>
  </conditionalFormatting>
  <conditionalFormatting sqref="G4">
    <cfRule type="containsText" dxfId="399" priority="25" operator="containsText" text="Significant increase">
      <formula>NOT(ISERROR(SEARCH("Significant increase",G4)))</formula>
    </cfRule>
    <cfRule type="containsText" dxfId="398" priority="26" operator="containsText" text="Significant decrease">
      <formula>NOT(ISERROR(SEARCH("Significant decrease",G4)))</formula>
    </cfRule>
  </conditionalFormatting>
  <conditionalFormatting sqref="L3">
    <cfRule type="containsText" dxfId="397" priority="23" operator="containsText" text="Significant increase">
      <formula>NOT(ISERROR(SEARCH("Significant increase",L3)))</formula>
    </cfRule>
    <cfRule type="containsText" dxfId="396" priority="24" operator="containsText" text="Significant decrease">
      <formula>NOT(ISERROR(SEARCH("Significant decrease",L3)))</formula>
    </cfRule>
  </conditionalFormatting>
  <conditionalFormatting sqref="L4">
    <cfRule type="containsText" dxfId="395" priority="21" operator="containsText" text="Significant increase">
      <formula>NOT(ISERROR(SEARCH("Significant increase",L4)))</formula>
    </cfRule>
    <cfRule type="containsText" dxfId="394" priority="22" operator="containsText" text="Significant decrease">
      <formula>NOT(ISERROR(SEARCH("Significant decrease",L4)))</formula>
    </cfRule>
  </conditionalFormatting>
  <conditionalFormatting sqref="K3">
    <cfRule type="containsText" dxfId="393" priority="19" operator="containsText" text="Significant increase">
      <formula>NOT(ISERROR(SEARCH("Significant increase",K3)))</formula>
    </cfRule>
    <cfRule type="containsText" dxfId="392" priority="20" operator="containsText" text="Significant decrease">
      <formula>NOT(ISERROR(SEARCH("Significant decrease",K3)))</formula>
    </cfRule>
  </conditionalFormatting>
  <conditionalFormatting sqref="K4">
    <cfRule type="containsText" dxfId="391" priority="17" operator="containsText" text="Significant increase">
      <formula>NOT(ISERROR(SEARCH("Significant increase",K4)))</formula>
    </cfRule>
    <cfRule type="containsText" dxfId="390" priority="18" operator="containsText" text="Significant decrease">
      <formula>NOT(ISERROR(SEARCH("Significant decrease",K4)))</formula>
    </cfRule>
  </conditionalFormatting>
  <conditionalFormatting sqref="J3">
    <cfRule type="containsText" dxfId="389" priority="15" operator="containsText" text="Significant increase">
      <formula>NOT(ISERROR(SEARCH("Significant increase",J3)))</formula>
    </cfRule>
    <cfRule type="containsText" dxfId="388" priority="16" operator="containsText" text="Significant decrease">
      <formula>NOT(ISERROR(SEARCH("Significant decrease",J3)))</formula>
    </cfRule>
  </conditionalFormatting>
  <conditionalFormatting sqref="J4">
    <cfRule type="containsText" dxfId="387" priority="13" operator="containsText" text="Significant increase">
      <formula>NOT(ISERROR(SEARCH("Significant increase",J4)))</formula>
    </cfRule>
    <cfRule type="containsText" dxfId="386" priority="14" operator="containsText" text="Significant decrease">
      <formula>NOT(ISERROR(SEARCH("Significant decrease",J4)))</formula>
    </cfRule>
  </conditionalFormatting>
  <conditionalFormatting sqref="I3">
    <cfRule type="containsText" dxfId="385" priority="11" operator="containsText" text="Significant increase">
      <formula>NOT(ISERROR(SEARCH("Significant increase",I3)))</formula>
    </cfRule>
    <cfRule type="containsText" dxfId="384" priority="12" operator="containsText" text="Significant decrease">
      <formula>NOT(ISERROR(SEARCH("Significant decrease",I3)))</formula>
    </cfRule>
  </conditionalFormatting>
  <conditionalFormatting sqref="D3:D4">
    <cfRule type="containsText" dxfId="383" priority="7" operator="containsText" text="Significant increase">
      <formula>NOT(ISERROR(SEARCH("Significant increase",D3)))</formula>
    </cfRule>
    <cfRule type="containsText" dxfId="382" priority="8" operator="containsText" text="Significant decrease">
      <formula>NOT(ISERROR(SEARCH("Significant decrease",D3)))</formula>
    </cfRule>
  </conditionalFormatting>
  <conditionalFormatting sqref="F3:F4">
    <cfRule type="containsText" dxfId="381" priority="5" operator="containsText" text="Significant increase">
      <formula>NOT(ISERROR(SEARCH("Significant increase",F3)))</formula>
    </cfRule>
    <cfRule type="containsText" dxfId="380" priority="6" operator="containsText" text="Significant decrease">
      <formula>NOT(ISERROR(SEARCH("Significant decrease",F3)))</formula>
    </cfRule>
  </conditionalFormatting>
  <conditionalFormatting sqref="H3:H4">
    <cfRule type="containsText" dxfId="379" priority="3" operator="containsText" text="Significant increase">
      <formula>NOT(ISERROR(SEARCH("Significant increase",H3)))</formula>
    </cfRule>
    <cfRule type="containsText" dxfId="378" priority="4" operator="containsText" text="Significant decrease">
      <formula>NOT(ISERROR(SEARCH("Significant decrease",H3)))</formula>
    </cfRule>
  </conditionalFormatting>
  <conditionalFormatting sqref="M3">
    <cfRule type="containsText" dxfId="377" priority="1" operator="containsText" text="Significant increase">
      <formula>NOT(ISERROR(SEARCH("Significant increase",M3)))</formula>
    </cfRule>
    <cfRule type="containsText" dxfId="376" priority="2" operator="containsText" text="Significant decrease">
      <formula>NOT(ISERROR(SEARCH("Significant decrease",M3)))</formula>
    </cfRule>
  </conditionalFormatting>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workbookViewId="0">
      <selection activeCell="M3" sqref="M3:M4"/>
    </sheetView>
  </sheetViews>
  <sheetFormatPr defaultRowHeight="14.25" x14ac:dyDescent="0.2"/>
  <cols>
    <col min="1" max="1" width="10.19921875" customWidth="1"/>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s>
  <sheetData>
    <row r="2" spans="1:48" s="20" customFormat="1"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20" t="s">
        <v>285</v>
      </c>
      <c r="Q2" s="20" t="s">
        <v>286</v>
      </c>
      <c r="R2" s="20" t="s">
        <v>276</v>
      </c>
      <c r="S2" s="20" t="s">
        <v>277</v>
      </c>
      <c r="T2" s="20" t="s">
        <v>278</v>
      </c>
      <c r="U2" s="20" t="s">
        <v>279</v>
      </c>
      <c r="V2" s="20" t="s">
        <v>280</v>
      </c>
      <c r="W2" s="20" t="s">
        <v>281</v>
      </c>
      <c r="X2" s="20" t="s">
        <v>282</v>
      </c>
      <c r="Y2" s="20" t="s">
        <v>283</v>
      </c>
      <c r="Z2" s="20" t="s">
        <v>284</v>
      </c>
      <c r="AA2" s="20" t="s">
        <v>287</v>
      </c>
      <c r="AB2" s="20" t="s">
        <v>288</v>
      </c>
      <c r="AC2" s="20" t="s">
        <v>258</v>
      </c>
      <c r="AD2" s="20" t="s">
        <v>259</v>
      </c>
      <c r="AE2" s="20" t="s">
        <v>260</v>
      </c>
      <c r="AF2" s="20" t="s">
        <v>261</v>
      </c>
      <c r="AG2" s="20" t="s">
        <v>262</v>
      </c>
      <c r="AH2" s="20" t="s">
        <v>263</v>
      </c>
      <c r="AI2" s="20" t="s">
        <v>264</v>
      </c>
      <c r="AJ2" s="20" t="s">
        <v>265</v>
      </c>
      <c r="AK2" s="20" t="s">
        <v>266</v>
      </c>
      <c r="AL2" s="20" t="s">
        <v>289</v>
      </c>
      <c r="AM2" s="20" t="s">
        <v>290</v>
      </c>
      <c r="AN2" s="20" t="s">
        <v>267</v>
      </c>
      <c r="AO2" s="20" t="s">
        <v>268</v>
      </c>
      <c r="AP2" s="20" t="s">
        <v>269</v>
      </c>
      <c r="AQ2" s="20" t="s">
        <v>270</v>
      </c>
      <c r="AR2" s="20" t="s">
        <v>271</v>
      </c>
      <c r="AS2" s="20" t="s">
        <v>272</v>
      </c>
      <c r="AT2" s="20" t="s">
        <v>273</v>
      </c>
      <c r="AU2" s="20" t="s">
        <v>274</v>
      </c>
      <c r="AV2" s="20" t="s">
        <v>275</v>
      </c>
    </row>
    <row r="3" spans="1:48" s="64" customFormat="1" x14ac:dyDescent="0.2">
      <c r="A3" s="4" t="s">
        <v>114</v>
      </c>
      <c r="B3" s="4" t="s">
        <v>132</v>
      </c>
      <c r="C3" s="4">
        <v>0.43630000000000002</v>
      </c>
      <c r="D3" s="30">
        <v>14000</v>
      </c>
      <c r="E3" s="4">
        <v>0.1857</v>
      </c>
      <c r="F3" s="30">
        <v>6000</v>
      </c>
      <c r="G3" s="4">
        <v>0.378</v>
      </c>
      <c r="H3" s="30">
        <v>12200</v>
      </c>
      <c r="I3" s="4">
        <v>0.19950000000000001</v>
      </c>
      <c r="J3" s="4">
        <v>0.30580000000000002</v>
      </c>
      <c r="K3" s="4">
        <v>0.51549999999999996</v>
      </c>
      <c r="L3" s="4">
        <v>0.36399999999999999</v>
      </c>
      <c r="M3" s="155">
        <v>0.40260000000000001</v>
      </c>
      <c r="N3" s="28">
        <f>SalfordCYP[[#This Row],[Active]]+SalfordCYP[[#This Row],[Fairly Active]]</f>
        <v>0.622</v>
      </c>
      <c r="O3" s="30">
        <f>SalfordCYP[[#This Row],[Active - Numbers]]+SalfordCYP[[#This Row],[Fairly Active - Numbers]]</f>
        <v>20000</v>
      </c>
      <c r="P3" s="133">
        <v>0.45737111173074063</v>
      </c>
      <c r="Q3" s="133">
        <v>0.42225909332666217</v>
      </c>
      <c r="R3" s="133">
        <v>0.37131378467248555</v>
      </c>
      <c r="T3" s="133">
        <v>0.55437341551054242</v>
      </c>
      <c r="AA3" s="133">
        <v>0.20046229395590762</v>
      </c>
      <c r="AE3" s="133">
        <v>0.1967226113052678</v>
      </c>
      <c r="AL3" s="133">
        <v>0.34216659431335228</v>
      </c>
      <c r="AM3" s="133">
        <v>0.39885693081163986</v>
      </c>
      <c r="AN3" s="133">
        <v>0.46790504331054644</v>
      </c>
      <c r="AP3" s="133">
        <v>0.24890397318418958</v>
      </c>
    </row>
    <row r="4" spans="1:48" s="64" customFormat="1" x14ac:dyDescent="0.2">
      <c r="A4" s="4" t="s">
        <v>114</v>
      </c>
      <c r="B4" s="4" t="s">
        <v>133</v>
      </c>
      <c r="C4" s="4">
        <v>0.46229999999999999</v>
      </c>
      <c r="D4" s="30">
        <v>15100</v>
      </c>
      <c r="E4" s="4">
        <v>0.17660000000000001</v>
      </c>
      <c r="F4" s="30">
        <v>5800</v>
      </c>
      <c r="G4" s="4">
        <v>0.36109999999999998</v>
      </c>
      <c r="H4" s="30">
        <v>11800</v>
      </c>
      <c r="I4" s="4">
        <v>0.22770000000000001</v>
      </c>
      <c r="J4" s="4">
        <v>0.36570000000000003</v>
      </c>
      <c r="K4" s="4">
        <v>0.51500000000000001</v>
      </c>
      <c r="L4" s="4">
        <v>0.41959999999999997</v>
      </c>
      <c r="M4" s="155">
        <v>0.35580000000000001</v>
      </c>
      <c r="N4" s="28">
        <f>SalfordCYP[[#This Row],[Active]]+SalfordCYP[[#This Row],[Fairly Active]]</f>
        <v>0.63890000000000002</v>
      </c>
      <c r="O4" s="30">
        <f>SalfordCYP[[#This Row],[Active - Numbers]]+SalfordCYP[[#This Row],[Fairly Active - Numbers]]</f>
        <v>20900</v>
      </c>
      <c r="P4" s="133">
        <v>0.5848084934233343</v>
      </c>
      <c r="Q4" s="133">
        <v>0.31759827407582247</v>
      </c>
      <c r="R4" s="133">
        <v>0.41598469714034003</v>
      </c>
      <c r="S4" s="133">
        <v>0.4691146195206331</v>
      </c>
      <c r="T4" s="133">
        <v>0.52923334807845257</v>
      </c>
      <c r="AA4" s="133">
        <v>0.16052847301497777</v>
      </c>
      <c r="AB4" s="133">
        <v>0.19797843470020371</v>
      </c>
      <c r="AC4" s="133">
        <v>0.1758070161157568</v>
      </c>
      <c r="AE4" s="133">
        <v>0.19162119448262985</v>
      </c>
      <c r="AL4" s="133">
        <v>0.2546630335616889</v>
      </c>
      <c r="AM4" s="133">
        <v>0.48442329122397487</v>
      </c>
      <c r="AN4" s="133">
        <v>0.40820828674390325</v>
      </c>
      <c r="AP4" s="133">
        <v>0.27914545743891789</v>
      </c>
    </row>
  </sheetData>
  <conditionalFormatting sqref="I4">
    <cfRule type="containsText" dxfId="329" priority="13" operator="containsText" text="Significant increase">
      <formula>NOT(ISERROR(SEARCH("Significant increase",I4)))</formula>
    </cfRule>
    <cfRule type="containsText" dxfId="328" priority="14" operator="containsText" text="Significant decrease">
      <formula>NOT(ISERROR(SEARCH("Significant decrease",I4)))</formula>
    </cfRule>
  </conditionalFormatting>
  <conditionalFormatting sqref="C3">
    <cfRule type="containsText" dxfId="327" priority="39" operator="containsText" text="Significant increase">
      <formula>NOT(ISERROR(SEARCH("Significant increase",C3)))</formula>
    </cfRule>
    <cfRule type="containsText" dxfId="326" priority="40" operator="containsText" text="Significant decrease">
      <formula>NOT(ISERROR(SEARCH("Significant decrease",C3)))</formula>
    </cfRule>
  </conditionalFormatting>
  <conditionalFormatting sqref="E3">
    <cfRule type="containsText" dxfId="325" priority="37" operator="containsText" text="Significant increase">
      <formula>NOT(ISERROR(SEARCH("Significant increase",E3)))</formula>
    </cfRule>
    <cfRule type="containsText" dxfId="324" priority="38" operator="containsText" text="Significant decrease">
      <formula>NOT(ISERROR(SEARCH("Significant decrease",E3)))</formula>
    </cfRule>
  </conditionalFormatting>
  <conditionalFormatting sqref="G3">
    <cfRule type="containsText" dxfId="323" priority="35" operator="containsText" text="Significant increase">
      <formula>NOT(ISERROR(SEARCH("Significant increase",G3)))</formula>
    </cfRule>
    <cfRule type="containsText" dxfId="322" priority="36" operator="containsText" text="Significant decrease">
      <formula>NOT(ISERROR(SEARCH("Significant decrease",G3)))</formula>
    </cfRule>
  </conditionalFormatting>
  <conditionalFormatting sqref="C4">
    <cfRule type="containsText" dxfId="321" priority="33" operator="containsText" text="Significant increase">
      <formula>NOT(ISERROR(SEARCH("Significant increase",C4)))</formula>
    </cfRule>
    <cfRule type="containsText" dxfId="320" priority="34" operator="containsText" text="Significant decrease">
      <formula>NOT(ISERROR(SEARCH("Significant decrease",C4)))</formula>
    </cfRule>
  </conditionalFormatting>
  <conditionalFormatting sqref="E4">
    <cfRule type="containsText" dxfId="319" priority="31" operator="containsText" text="Significant increase">
      <formula>NOT(ISERROR(SEARCH("Significant increase",E4)))</formula>
    </cfRule>
    <cfRule type="containsText" dxfId="318" priority="32" operator="containsText" text="Significant decrease">
      <formula>NOT(ISERROR(SEARCH("Significant decrease",E4)))</formula>
    </cfRule>
  </conditionalFormatting>
  <conditionalFormatting sqref="G4">
    <cfRule type="containsText" dxfId="317" priority="29" operator="containsText" text="Significant increase">
      <formula>NOT(ISERROR(SEARCH("Significant increase",G4)))</formula>
    </cfRule>
    <cfRule type="containsText" dxfId="316" priority="30" operator="containsText" text="Significant decrease">
      <formula>NOT(ISERROR(SEARCH("Significant decrease",G4)))</formula>
    </cfRule>
  </conditionalFormatting>
  <conditionalFormatting sqref="L3">
    <cfRule type="containsText" dxfId="315" priority="27" operator="containsText" text="Significant increase">
      <formula>NOT(ISERROR(SEARCH("Significant increase",L3)))</formula>
    </cfRule>
    <cfRule type="containsText" dxfId="314" priority="28" operator="containsText" text="Significant decrease">
      <formula>NOT(ISERROR(SEARCH("Significant decrease",L3)))</formula>
    </cfRule>
  </conditionalFormatting>
  <conditionalFormatting sqref="L4">
    <cfRule type="containsText" dxfId="313" priority="25" operator="containsText" text="Significant increase">
      <formula>NOT(ISERROR(SEARCH("Significant increase",L4)))</formula>
    </cfRule>
    <cfRule type="containsText" dxfId="312" priority="26" operator="containsText" text="Significant decrease">
      <formula>NOT(ISERROR(SEARCH("Significant decrease",L4)))</formula>
    </cfRule>
  </conditionalFormatting>
  <conditionalFormatting sqref="K3">
    <cfRule type="containsText" dxfId="311" priority="23" operator="containsText" text="Significant increase">
      <formula>NOT(ISERROR(SEARCH("Significant increase",K3)))</formula>
    </cfRule>
    <cfRule type="containsText" dxfId="310" priority="24" operator="containsText" text="Significant decrease">
      <formula>NOT(ISERROR(SEARCH("Significant decrease",K3)))</formula>
    </cfRule>
  </conditionalFormatting>
  <conditionalFormatting sqref="K4">
    <cfRule type="containsText" dxfId="309" priority="21" operator="containsText" text="Significant increase">
      <formula>NOT(ISERROR(SEARCH("Significant increase",K4)))</formula>
    </cfRule>
    <cfRule type="containsText" dxfId="308" priority="22" operator="containsText" text="Significant decrease">
      <formula>NOT(ISERROR(SEARCH("Significant decrease",K4)))</formula>
    </cfRule>
  </conditionalFormatting>
  <conditionalFormatting sqref="J3">
    <cfRule type="containsText" dxfId="307" priority="19" operator="containsText" text="Significant increase">
      <formula>NOT(ISERROR(SEARCH("Significant increase",J3)))</formula>
    </cfRule>
    <cfRule type="containsText" dxfId="306" priority="20" operator="containsText" text="Significant decrease">
      <formula>NOT(ISERROR(SEARCH("Significant decrease",J3)))</formula>
    </cfRule>
  </conditionalFormatting>
  <conditionalFormatting sqref="J4">
    <cfRule type="containsText" dxfId="305" priority="17" operator="containsText" text="Significant increase">
      <formula>NOT(ISERROR(SEARCH("Significant increase",J4)))</formula>
    </cfRule>
    <cfRule type="containsText" dxfId="304" priority="18" operator="containsText" text="Significant decrease">
      <formula>NOT(ISERROR(SEARCH("Significant decrease",J4)))</formula>
    </cfRule>
  </conditionalFormatting>
  <conditionalFormatting sqref="I3">
    <cfRule type="containsText" dxfId="303" priority="15" operator="containsText" text="Significant increase">
      <formula>NOT(ISERROR(SEARCH("Significant increase",I3)))</formula>
    </cfRule>
    <cfRule type="containsText" dxfId="302" priority="16" operator="containsText" text="Significant decrease">
      <formula>NOT(ISERROR(SEARCH("Significant decrease",I3)))</formula>
    </cfRule>
  </conditionalFormatting>
  <conditionalFormatting sqref="H3:H4">
    <cfRule type="containsText" dxfId="301" priority="5" operator="containsText" text="Significant increase">
      <formula>NOT(ISERROR(SEARCH("Significant increase",H3)))</formula>
    </cfRule>
    <cfRule type="containsText" dxfId="300" priority="6" operator="containsText" text="Significant decrease">
      <formula>NOT(ISERROR(SEARCH("Significant decrease",H3)))</formula>
    </cfRule>
  </conditionalFormatting>
  <conditionalFormatting sqref="D3:D4">
    <cfRule type="containsText" dxfId="299" priority="9" operator="containsText" text="Significant increase">
      <formula>NOT(ISERROR(SEARCH("Significant increase",D3)))</formula>
    </cfRule>
    <cfRule type="containsText" dxfId="298" priority="10" operator="containsText" text="Significant decrease">
      <formula>NOT(ISERROR(SEARCH("Significant decrease",D3)))</formula>
    </cfRule>
  </conditionalFormatting>
  <conditionalFormatting sqref="F3:F4">
    <cfRule type="containsText" dxfId="297" priority="7" operator="containsText" text="Significant increase">
      <formula>NOT(ISERROR(SEARCH("Significant increase",F3)))</formula>
    </cfRule>
    <cfRule type="containsText" dxfId="296" priority="8" operator="containsText" text="Significant decrease">
      <formula>NOT(ISERROR(SEARCH("Significant decrease",F3)))</formula>
    </cfRule>
  </conditionalFormatting>
  <conditionalFormatting sqref="M4">
    <cfRule type="containsText" dxfId="295" priority="3" operator="containsText" text="Significant increase">
      <formula>NOT(ISERROR(SEARCH("Significant increase",M4)))</formula>
    </cfRule>
    <cfRule type="containsText" dxfId="294" priority="4" operator="containsText" text="Significant decrease">
      <formula>NOT(ISERROR(SEARCH("Significant decrease",M4)))</formula>
    </cfRule>
  </conditionalFormatting>
  <conditionalFormatting sqref="M3">
    <cfRule type="containsText" dxfId="293" priority="1" operator="containsText" text="Significant increase">
      <formula>NOT(ISERROR(SEARCH("Significant increase",M3)))</formula>
    </cfRule>
    <cfRule type="containsText" dxfId="292" priority="2" operator="containsText" text="Significant decrease">
      <formula>NOT(ISERROR(SEARCH("Significant decrease",M3)))</formula>
    </cfRule>
  </conditionalFormatting>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workbookViewId="0">
      <selection activeCell="M3" sqref="M3:M4"/>
    </sheetView>
  </sheetViews>
  <sheetFormatPr defaultRowHeight="14.25" x14ac:dyDescent="0.2"/>
  <cols>
    <col min="1" max="1" width="10.19921875" customWidth="1"/>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s>
  <sheetData>
    <row r="2" spans="1:48"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137" t="s">
        <v>285</v>
      </c>
      <c r="Q2" s="137" t="s">
        <v>286</v>
      </c>
      <c r="R2" s="137" t="s">
        <v>276</v>
      </c>
      <c r="S2" s="137" t="s">
        <v>277</v>
      </c>
      <c r="T2" s="137" t="s">
        <v>278</v>
      </c>
      <c r="U2" s="137" t="s">
        <v>279</v>
      </c>
      <c r="V2" s="137" t="s">
        <v>280</v>
      </c>
      <c r="W2" s="137" t="s">
        <v>281</v>
      </c>
      <c r="X2" s="137" t="s">
        <v>282</v>
      </c>
      <c r="Y2" s="137" t="s">
        <v>283</v>
      </c>
      <c r="Z2" s="137" t="s">
        <v>284</v>
      </c>
      <c r="AA2" s="137" t="s">
        <v>287</v>
      </c>
      <c r="AB2" s="137" t="s">
        <v>288</v>
      </c>
      <c r="AC2" s="137" t="s">
        <v>258</v>
      </c>
      <c r="AD2" s="137" t="s">
        <v>259</v>
      </c>
      <c r="AE2" s="137" t="s">
        <v>260</v>
      </c>
      <c r="AF2" s="137" t="s">
        <v>261</v>
      </c>
      <c r="AG2" s="137" t="s">
        <v>262</v>
      </c>
      <c r="AH2" s="137" t="s">
        <v>263</v>
      </c>
      <c r="AI2" s="137" t="s">
        <v>264</v>
      </c>
      <c r="AJ2" s="137" t="s">
        <v>265</v>
      </c>
      <c r="AK2" s="137" t="s">
        <v>266</v>
      </c>
      <c r="AL2" s="137" t="s">
        <v>289</v>
      </c>
      <c r="AM2" s="137" t="s">
        <v>290</v>
      </c>
      <c r="AN2" s="137" t="s">
        <v>267</v>
      </c>
      <c r="AO2" s="137" t="s">
        <v>268</v>
      </c>
      <c r="AP2" s="137" t="s">
        <v>269</v>
      </c>
      <c r="AQ2" s="137" t="s">
        <v>270</v>
      </c>
      <c r="AR2" s="137" t="s">
        <v>271</v>
      </c>
      <c r="AS2" s="137" t="s">
        <v>272</v>
      </c>
      <c r="AT2" s="137" t="s">
        <v>273</v>
      </c>
      <c r="AU2" s="137" t="s">
        <v>274</v>
      </c>
      <c r="AV2" s="137" t="s">
        <v>275</v>
      </c>
    </row>
    <row r="3" spans="1:48" x14ac:dyDescent="0.2">
      <c r="A3" s="4" t="s">
        <v>115</v>
      </c>
      <c r="B3" s="4" t="s">
        <v>132</v>
      </c>
      <c r="C3" s="4">
        <v>0.45650000000000002</v>
      </c>
      <c r="D3" s="30">
        <v>17300</v>
      </c>
      <c r="E3" s="4">
        <v>0.222</v>
      </c>
      <c r="F3" s="30">
        <v>8400</v>
      </c>
      <c r="G3" s="4">
        <v>0.32150000000000001</v>
      </c>
      <c r="H3" s="30">
        <v>12200</v>
      </c>
      <c r="I3" s="4">
        <v>0.15679999999999999</v>
      </c>
      <c r="J3" s="4">
        <v>0.35189999999999999</v>
      </c>
      <c r="K3" s="4">
        <v>0.54310000000000003</v>
      </c>
      <c r="L3" s="4">
        <v>0.42980000000000002</v>
      </c>
      <c r="M3" s="155">
        <v>0.26700000000000002</v>
      </c>
      <c r="N3" s="28">
        <f>StockportCYP[[#This Row],[Active]]+StockportCYP[[#This Row],[Fairly Active]]</f>
        <v>0.67849999999999999</v>
      </c>
      <c r="O3" s="30">
        <f>StockportCYP[[#This Row],[Active - Numbers]]+StockportCYP[[#This Row],[Fairly Active - Numbers]]</f>
        <v>25700</v>
      </c>
      <c r="P3" s="138">
        <v>0.51537465625399226</v>
      </c>
      <c r="Q3" s="138">
        <v>0.4096496850006105</v>
      </c>
      <c r="R3" s="138">
        <v>0.35026971233241888</v>
      </c>
      <c r="S3" s="138">
        <v>0.44882854855975468</v>
      </c>
      <c r="T3" s="138">
        <v>0.52103791119590892</v>
      </c>
      <c r="U3" s="48"/>
      <c r="V3" s="48"/>
      <c r="W3" s="48"/>
      <c r="X3" s="48"/>
      <c r="Y3" s="48"/>
      <c r="Z3" s="48"/>
      <c r="AA3" s="48"/>
      <c r="AB3" s="138">
        <v>0.23771254062189351</v>
      </c>
      <c r="AC3" s="138">
        <v>0.20747998996133624</v>
      </c>
      <c r="AD3" s="48"/>
      <c r="AE3" s="138">
        <v>0.23746496401980641</v>
      </c>
      <c r="AF3" s="48"/>
      <c r="AG3" s="48"/>
      <c r="AH3" s="48"/>
      <c r="AI3" s="48"/>
      <c r="AJ3" s="48"/>
      <c r="AK3" s="48"/>
      <c r="AL3" s="138">
        <v>0.29082699291713288</v>
      </c>
      <c r="AM3" s="138">
        <v>0.35263777437749527</v>
      </c>
      <c r="AN3" s="138">
        <v>0.44225029770624502</v>
      </c>
      <c r="AO3" s="48"/>
      <c r="AP3" s="138">
        <v>0.24149712478428409</v>
      </c>
      <c r="AQ3" s="64"/>
      <c r="AR3" s="64"/>
      <c r="AS3" s="64"/>
      <c r="AT3" s="64"/>
      <c r="AU3" s="64"/>
      <c r="AV3" s="64"/>
    </row>
    <row r="4" spans="1:48" x14ac:dyDescent="0.2">
      <c r="A4" s="4" t="s">
        <v>115</v>
      </c>
      <c r="B4" s="4" t="s">
        <v>133</v>
      </c>
      <c r="C4" s="4">
        <v>0.45929999999999999</v>
      </c>
      <c r="D4" s="30">
        <v>17700</v>
      </c>
      <c r="E4" s="4">
        <v>0.26679999999999998</v>
      </c>
      <c r="F4" s="30">
        <v>10300</v>
      </c>
      <c r="G4" s="4">
        <v>0.27400000000000002</v>
      </c>
      <c r="H4" s="30">
        <v>10600</v>
      </c>
      <c r="I4" s="4">
        <v>0.1983</v>
      </c>
      <c r="J4" s="4">
        <v>0.37259999999999999</v>
      </c>
      <c r="K4" s="4">
        <v>0.58979999999999999</v>
      </c>
      <c r="L4" s="4">
        <v>0.43640000000000001</v>
      </c>
      <c r="M4" s="155">
        <v>0.38679999999999998</v>
      </c>
      <c r="N4" s="28">
        <f>StockportCYP[[#This Row],[Active]]+StockportCYP[[#This Row],[Fairly Active]]</f>
        <v>0.72609999999999997</v>
      </c>
      <c r="O4" s="30">
        <f>StockportCYP[[#This Row],[Active - Numbers]]+StockportCYP[[#This Row],[Fairly Active - Numbers]]</f>
        <v>28000</v>
      </c>
      <c r="P4" s="138">
        <v>0.48751522769131783</v>
      </c>
      <c r="Q4" s="138">
        <v>0.42087002022965903</v>
      </c>
      <c r="R4" s="138">
        <v>0.33394601939152269</v>
      </c>
      <c r="S4" s="138">
        <v>0.4482182602648257</v>
      </c>
      <c r="T4" s="138">
        <v>0.58857828900417852</v>
      </c>
      <c r="U4" s="48"/>
      <c r="V4" s="48"/>
      <c r="W4" s="48"/>
      <c r="X4" s="48"/>
      <c r="Y4" s="48"/>
      <c r="Z4" s="48"/>
      <c r="AA4" s="138">
        <v>0.27522454321229661</v>
      </c>
      <c r="AB4" s="138">
        <v>0.2754377362408546</v>
      </c>
      <c r="AC4" s="138">
        <v>0.20002976970563238</v>
      </c>
      <c r="AD4" s="48"/>
      <c r="AE4" s="138">
        <v>0.17381427356573748</v>
      </c>
      <c r="AF4" s="48"/>
      <c r="AG4" s="48"/>
      <c r="AH4" s="48"/>
      <c r="AI4" s="48"/>
      <c r="AJ4" s="48"/>
      <c r="AK4" s="48"/>
      <c r="AL4" s="138">
        <v>0.23726022909638611</v>
      </c>
      <c r="AM4" s="138">
        <v>0.30369224352948504</v>
      </c>
      <c r="AN4" s="138">
        <v>0.46602421090284557</v>
      </c>
      <c r="AO4" s="138">
        <v>0.24753983438756066</v>
      </c>
      <c r="AP4" s="138">
        <v>0.23760743743008489</v>
      </c>
      <c r="AQ4" s="64"/>
      <c r="AR4" s="64"/>
      <c r="AS4" s="64"/>
      <c r="AT4" s="64"/>
      <c r="AU4" s="64"/>
      <c r="AV4" s="64"/>
    </row>
  </sheetData>
  <conditionalFormatting sqref="I4">
    <cfRule type="containsText" dxfId="246" priority="11" operator="containsText" text="Significant increase">
      <formula>NOT(ISERROR(SEARCH("Significant increase",I4)))</formula>
    </cfRule>
    <cfRule type="containsText" dxfId="245" priority="12" operator="containsText" text="Significant decrease">
      <formula>NOT(ISERROR(SEARCH("Significant decrease",I4)))</formula>
    </cfRule>
  </conditionalFormatting>
  <conditionalFormatting sqref="C3">
    <cfRule type="containsText" dxfId="244" priority="37" operator="containsText" text="Significant increase">
      <formula>NOT(ISERROR(SEARCH("Significant increase",C3)))</formula>
    </cfRule>
    <cfRule type="containsText" dxfId="243" priority="38" operator="containsText" text="Significant decrease">
      <formula>NOT(ISERROR(SEARCH("Significant decrease",C3)))</formula>
    </cfRule>
  </conditionalFormatting>
  <conditionalFormatting sqref="E3">
    <cfRule type="containsText" dxfId="242" priority="35" operator="containsText" text="Significant increase">
      <formula>NOT(ISERROR(SEARCH("Significant increase",E3)))</formula>
    </cfRule>
    <cfRule type="containsText" dxfId="241" priority="36" operator="containsText" text="Significant decrease">
      <formula>NOT(ISERROR(SEARCH("Significant decrease",E3)))</formula>
    </cfRule>
  </conditionalFormatting>
  <conditionalFormatting sqref="G3">
    <cfRule type="containsText" dxfId="240" priority="33" operator="containsText" text="Significant increase">
      <formula>NOT(ISERROR(SEARCH("Significant increase",G3)))</formula>
    </cfRule>
    <cfRule type="containsText" dxfId="239" priority="34" operator="containsText" text="Significant decrease">
      <formula>NOT(ISERROR(SEARCH("Significant decrease",G3)))</formula>
    </cfRule>
  </conditionalFormatting>
  <conditionalFormatting sqref="C4">
    <cfRule type="containsText" dxfId="238" priority="31" operator="containsText" text="Significant increase">
      <formula>NOT(ISERROR(SEARCH("Significant increase",C4)))</formula>
    </cfRule>
    <cfRule type="containsText" dxfId="237" priority="32" operator="containsText" text="Significant decrease">
      <formula>NOT(ISERROR(SEARCH("Significant decrease",C4)))</formula>
    </cfRule>
  </conditionalFormatting>
  <conditionalFormatting sqref="E4">
    <cfRule type="containsText" dxfId="236" priority="29" operator="containsText" text="Significant increase">
      <formula>NOT(ISERROR(SEARCH("Significant increase",E4)))</formula>
    </cfRule>
    <cfRule type="containsText" dxfId="235" priority="30" operator="containsText" text="Significant decrease">
      <formula>NOT(ISERROR(SEARCH("Significant decrease",E4)))</formula>
    </cfRule>
  </conditionalFormatting>
  <conditionalFormatting sqref="G4">
    <cfRule type="containsText" dxfId="234" priority="27" operator="containsText" text="Significant increase">
      <formula>NOT(ISERROR(SEARCH("Significant increase",G4)))</formula>
    </cfRule>
    <cfRule type="containsText" dxfId="233" priority="28" operator="containsText" text="Significant decrease">
      <formula>NOT(ISERROR(SEARCH("Significant decrease",G4)))</formula>
    </cfRule>
  </conditionalFormatting>
  <conditionalFormatting sqref="L3">
    <cfRule type="containsText" dxfId="232" priority="25" operator="containsText" text="Significant increase">
      <formula>NOT(ISERROR(SEARCH("Significant increase",L3)))</formula>
    </cfRule>
    <cfRule type="containsText" dxfId="231" priority="26" operator="containsText" text="Significant decrease">
      <formula>NOT(ISERROR(SEARCH("Significant decrease",L3)))</formula>
    </cfRule>
  </conditionalFormatting>
  <conditionalFormatting sqref="L4">
    <cfRule type="containsText" dxfId="230" priority="23" operator="containsText" text="Significant increase">
      <formula>NOT(ISERROR(SEARCH("Significant increase",L4)))</formula>
    </cfRule>
    <cfRule type="containsText" dxfId="229" priority="24" operator="containsText" text="Significant decrease">
      <formula>NOT(ISERROR(SEARCH("Significant decrease",L4)))</formula>
    </cfRule>
  </conditionalFormatting>
  <conditionalFormatting sqref="K3">
    <cfRule type="containsText" dxfId="228" priority="21" operator="containsText" text="Significant increase">
      <formula>NOT(ISERROR(SEARCH("Significant increase",K3)))</formula>
    </cfRule>
    <cfRule type="containsText" dxfId="227" priority="22" operator="containsText" text="Significant decrease">
      <formula>NOT(ISERROR(SEARCH("Significant decrease",K3)))</formula>
    </cfRule>
  </conditionalFormatting>
  <conditionalFormatting sqref="K4">
    <cfRule type="containsText" dxfId="226" priority="19" operator="containsText" text="Significant increase">
      <formula>NOT(ISERROR(SEARCH("Significant increase",K4)))</formula>
    </cfRule>
    <cfRule type="containsText" dxfId="225" priority="20" operator="containsText" text="Significant decrease">
      <formula>NOT(ISERROR(SEARCH("Significant decrease",K4)))</formula>
    </cfRule>
  </conditionalFormatting>
  <conditionalFormatting sqref="J3">
    <cfRule type="containsText" dxfId="224" priority="17" operator="containsText" text="Significant increase">
      <formula>NOT(ISERROR(SEARCH("Significant increase",J3)))</formula>
    </cfRule>
    <cfRule type="containsText" dxfId="223" priority="18" operator="containsText" text="Significant decrease">
      <formula>NOT(ISERROR(SEARCH("Significant decrease",J3)))</formula>
    </cfRule>
  </conditionalFormatting>
  <conditionalFormatting sqref="J4">
    <cfRule type="containsText" dxfId="222" priority="15" operator="containsText" text="Significant increase">
      <formula>NOT(ISERROR(SEARCH("Significant increase",J4)))</formula>
    </cfRule>
    <cfRule type="containsText" dxfId="221" priority="16" operator="containsText" text="Significant decrease">
      <formula>NOT(ISERROR(SEARCH("Significant decrease",J4)))</formula>
    </cfRule>
  </conditionalFormatting>
  <conditionalFormatting sqref="I3">
    <cfRule type="containsText" dxfId="220" priority="13" operator="containsText" text="Significant increase">
      <formula>NOT(ISERROR(SEARCH("Significant increase",I3)))</formula>
    </cfRule>
    <cfRule type="containsText" dxfId="219" priority="14" operator="containsText" text="Significant decrease">
      <formula>NOT(ISERROR(SEARCH("Significant decrease",I3)))</formula>
    </cfRule>
  </conditionalFormatting>
  <conditionalFormatting sqref="D3:D4">
    <cfRule type="containsText" dxfId="218" priority="9" operator="containsText" text="Significant increase">
      <formula>NOT(ISERROR(SEARCH("Significant increase",D3)))</formula>
    </cfRule>
    <cfRule type="containsText" dxfId="217" priority="10" operator="containsText" text="Significant decrease">
      <formula>NOT(ISERROR(SEARCH("Significant decrease",D3)))</formula>
    </cfRule>
  </conditionalFormatting>
  <conditionalFormatting sqref="F3:F4">
    <cfRule type="containsText" dxfId="216" priority="7" operator="containsText" text="Significant increase">
      <formula>NOT(ISERROR(SEARCH("Significant increase",F3)))</formula>
    </cfRule>
    <cfRule type="containsText" dxfId="215" priority="8" operator="containsText" text="Significant decrease">
      <formula>NOT(ISERROR(SEARCH("Significant decrease",F3)))</formula>
    </cfRule>
  </conditionalFormatting>
  <conditionalFormatting sqref="H3:H4">
    <cfRule type="containsText" dxfId="214" priority="5" operator="containsText" text="Significant increase">
      <formula>NOT(ISERROR(SEARCH("Significant increase",H3)))</formula>
    </cfRule>
    <cfRule type="containsText" dxfId="213" priority="6" operator="containsText" text="Significant decrease">
      <formula>NOT(ISERROR(SEARCH("Significant decrease",H3)))</formula>
    </cfRule>
  </conditionalFormatting>
  <conditionalFormatting sqref="M4">
    <cfRule type="containsText" dxfId="212" priority="3" operator="containsText" text="Significant increase">
      <formula>NOT(ISERROR(SEARCH("Significant increase",M4)))</formula>
    </cfRule>
    <cfRule type="containsText" dxfId="211" priority="4" operator="containsText" text="Significant decrease">
      <formula>NOT(ISERROR(SEARCH("Significant decrease",M4)))</formula>
    </cfRule>
  </conditionalFormatting>
  <conditionalFormatting sqref="M3">
    <cfRule type="containsText" dxfId="210" priority="1" operator="containsText" text="Significant increase">
      <formula>NOT(ISERROR(SEARCH("Significant increase",M3)))</formula>
    </cfRule>
    <cfRule type="containsText" dxfId="209" priority="2" operator="containsText" text="Significant decrease">
      <formula>NOT(ISERROR(SEARCH("Significant decrease",M3)))</formula>
    </cfRule>
  </conditionalFormatting>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topLeftCell="J1" workbookViewId="0">
      <selection activeCell="M4" sqref="M4"/>
    </sheetView>
  </sheetViews>
  <sheetFormatPr defaultRowHeight="14.25" x14ac:dyDescent="0.2"/>
  <cols>
    <col min="1" max="1" width="10.19921875" customWidth="1"/>
    <col min="6" max="6" width="13.796875" customWidth="1"/>
    <col min="7" max="7" width="13.19921875" customWidth="1"/>
    <col min="8" max="8" width="14.5" style="29" customWidth="1"/>
    <col min="9" max="9" width="23.796875" customWidth="1"/>
    <col min="10" max="10" width="22.69921875" customWidth="1"/>
  </cols>
  <sheetData>
    <row r="2" spans="1:48"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137" t="s">
        <v>285</v>
      </c>
      <c r="Q2" s="137" t="s">
        <v>286</v>
      </c>
      <c r="R2" s="137" t="s">
        <v>276</v>
      </c>
      <c r="S2" s="137" t="s">
        <v>277</v>
      </c>
      <c r="T2" s="137" t="s">
        <v>278</v>
      </c>
      <c r="U2" s="137" t="s">
        <v>279</v>
      </c>
      <c r="V2" s="137" t="s">
        <v>280</v>
      </c>
      <c r="W2" s="137" t="s">
        <v>281</v>
      </c>
      <c r="X2" s="137" t="s">
        <v>282</v>
      </c>
      <c r="Y2" s="137" t="s">
        <v>283</v>
      </c>
      <c r="Z2" s="137" t="s">
        <v>284</v>
      </c>
      <c r="AA2" s="137" t="s">
        <v>287</v>
      </c>
      <c r="AB2" s="137" t="s">
        <v>288</v>
      </c>
      <c r="AC2" s="137" t="s">
        <v>258</v>
      </c>
      <c r="AD2" s="137" t="s">
        <v>259</v>
      </c>
      <c r="AE2" s="137" t="s">
        <v>260</v>
      </c>
      <c r="AF2" s="137" t="s">
        <v>261</v>
      </c>
      <c r="AG2" s="137" t="s">
        <v>262</v>
      </c>
      <c r="AH2" s="137" t="s">
        <v>263</v>
      </c>
      <c r="AI2" s="137" t="s">
        <v>264</v>
      </c>
      <c r="AJ2" s="137" t="s">
        <v>265</v>
      </c>
      <c r="AK2" s="137" t="s">
        <v>266</v>
      </c>
      <c r="AL2" s="137" t="s">
        <v>289</v>
      </c>
      <c r="AM2" s="137" t="s">
        <v>290</v>
      </c>
      <c r="AN2" s="137" t="s">
        <v>267</v>
      </c>
      <c r="AO2" s="137" t="s">
        <v>268</v>
      </c>
      <c r="AP2" s="137" t="s">
        <v>269</v>
      </c>
      <c r="AQ2" s="137" t="s">
        <v>270</v>
      </c>
      <c r="AR2" s="137" t="s">
        <v>271</v>
      </c>
      <c r="AS2" s="137" t="s">
        <v>272</v>
      </c>
      <c r="AT2" s="137" t="s">
        <v>273</v>
      </c>
      <c r="AU2" s="137" t="s">
        <v>274</v>
      </c>
      <c r="AV2" s="137" t="s">
        <v>275</v>
      </c>
    </row>
    <row r="3" spans="1:48" x14ac:dyDescent="0.2">
      <c r="A3" s="21" t="s">
        <v>116</v>
      </c>
      <c r="B3" s="4" t="s">
        <v>132</v>
      </c>
      <c r="C3" s="4">
        <v>0.36220000000000002</v>
      </c>
      <c r="D3" s="30">
        <v>11200</v>
      </c>
      <c r="E3" s="4">
        <v>0.2631</v>
      </c>
      <c r="F3" s="30">
        <v>8200</v>
      </c>
      <c r="G3" s="4">
        <v>0.37469999999999998</v>
      </c>
      <c r="H3" s="30">
        <v>11600</v>
      </c>
      <c r="I3" s="4" t="s">
        <v>100</v>
      </c>
      <c r="J3" s="4">
        <v>0.28460000000000002</v>
      </c>
      <c r="K3" s="4">
        <v>0.46589999999999998</v>
      </c>
      <c r="L3" s="4">
        <v>0.36699999999999999</v>
      </c>
      <c r="M3" s="4"/>
      <c r="N3" s="28">
        <f>TamesideCYP[[#This Row],[Active]]+TamesideCYP[[#This Row],[Fairly Active]]</f>
        <v>0.62529999999999997</v>
      </c>
      <c r="O3" s="30">
        <f>TamesideCYP[[#This Row],[Active - Numbers]]+TamesideCYP[[#This Row],[Fairly Active - Numbers]]</f>
        <v>19400</v>
      </c>
      <c r="P3" s="48"/>
      <c r="Q3" s="138">
        <v>0.28837040907087835</v>
      </c>
      <c r="R3" s="133">
        <v>0.32000610157132547</v>
      </c>
      <c r="S3" s="48"/>
      <c r="T3" s="133">
        <v>0.46744459695161239</v>
      </c>
      <c r="U3" s="48"/>
      <c r="V3" s="48"/>
      <c r="W3" s="48"/>
      <c r="X3" s="48"/>
      <c r="Y3" s="48"/>
      <c r="Z3" s="48"/>
      <c r="AA3" s="48"/>
      <c r="AB3" s="138"/>
      <c r="AC3" s="138"/>
      <c r="AD3" s="48"/>
      <c r="AE3" s="138">
        <v>0.24196347420727524</v>
      </c>
      <c r="AF3" s="48"/>
      <c r="AG3" s="48"/>
      <c r="AH3" s="48"/>
      <c r="AI3" s="48"/>
      <c r="AJ3" s="48"/>
      <c r="AK3" s="48"/>
      <c r="AL3" s="48"/>
      <c r="AM3" s="138">
        <v>0.38073504555931914</v>
      </c>
      <c r="AN3" s="138">
        <v>0.39111521388103848</v>
      </c>
      <c r="AO3" s="48"/>
      <c r="AP3" s="138">
        <v>0.29059192884111201</v>
      </c>
      <c r="AQ3" s="64"/>
      <c r="AR3" s="64"/>
      <c r="AS3" s="64"/>
      <c r="AT3" s="64"/>
      <c r="AU3" s="64"/>
      <c r="AV3" s="64"/>
    </row>
    <row r="4" spans="1:48" x14ac:dyDescent="0.2">
      <c r="A4" s="21" t="s">
        <v>116</v>
      </c>
      <c r="B4" s="4" t="s">
        <v>133</v>
      </c>
      <c r="C4" s="4">
        <v>0.44319999999999998</v>
      </c>
      <c r="D4" s="30">
        <v>13900</v>
      </c>
      <c r="E4" s="4">
        <v>0.22420000000000001</v>
      </c>
      <c r="F4" s="30">
        <v>7000</v>
      </c>
      <c r="G4" s="4">
        <v>0.33260000000000001</v>
      </c>
      <c r="H4" s="30">
        <v>10400</v>
      </c>
      <c r="I4" s="4">
        <v>0.1996</v>
      </c>
      <c r="J4" s="4">
        <v>0.28549999999999998</v>
      </c>
      <c r="K4" s="4">
        <v>0.57399999999999995</v>
      </c>
      <c r="L4" s="4">
        <v>0.33279999999999998</v>
      </c>
      <c r="M4" s="155">
        <v>0.36759999999999998</v>
      </c>
      <c r="N4" s="28">
        <f>TamesideCYP[[#This Row],[Active]]+TamesideCYP[[#This Row],[Fairly Active]]</f>
        <v>0.66739999999999999</v>
      </c>
      <c r="O4" s="30">
        <f>TamesideCYP[[#This Row],[Active - Numbers]]+TamesideCYP[[#This Row],[Fairly Active - Numbers]]</f>
        <v>20900</v>
      </c>
      <c r="P4" s="138">
        <v>0.44630940928386115</v>
      </c>
      <c r="Q4" s="138">
        <v>0.43210907937774962</v>
      </c>
      <c r="R4" s="133">
        <v>0.32824157504273699</v>
      </c>
      <c r="S4" s="133">
        <v>0.47395808282000101</v>
      </c>
      <c r="T4" s="133">
        <v>0.59785289882087289</v>
      </c>
      <c r="U4" s="48"/>
      <c r="V4" s="48"/>
      <c r="W4" s="48"/>
      <c r="X4" s="48"/>
      <c r="Y4" s="48"/>
      <c r="Z4" s="48"/>
      <c r="AA4" s="138">
        <v>0.205204709737109</v>
      </c>
      <c r="AB4" s="138">
        <v>0.25436465969894567</v>
      </c>
      <c r="AC4" s="138">
        <v>0.27753155589074896</v>
      </c>
      <c r="AD4" s="48"/>
      <c r="AE4" s="138">
        <v>0.24897494059295375</v>
      </c>
      <c r="AF4" s="48"/>
      <c r="AG4" s="48"/>
      <c r="AH4" s="48"/>
      <c r="AI4" s="48"/>
      <c r="AJ4" s="48"/>
      <c r="AK4" s="48"/>
      <c r="AL4" s="138">
        <v>0.34848588097902905</v>
      </c>
      <c r="AM4" s="138">
        <v>0.31352626092330421</v>
      </c>
      <c r="AN4" s="138">
        <v>0.39422686906651394</v>
      </c>
      <c r="AO4" s="48"/>
      <c r="AP4" s="138">
        <v>0.15317216058617325</v>
      </c>
      <c r="AQ4" s="64"/>
      <c r="AR4" s="64"/>
      <c r="AS4" s="64"/>
      <c r="AT4" s="64"/>
      <c r="AU4" s="64"/>
      <c r="AV4" s="64"/>
    </row>
  </sheetData>
  <conditionalFormatting sqref="I4">
    <cfRule type="containsText" dxfId="190" priority="9" operator="containsText" text="Significant increase">
      <formula>NOT(ISERROR(SEARCH("Significant increase",I4)))</formula>
    </cfRule>
    <cfRule type="containsText" dxfId="189" priority="10" operator="containsText" text="Significant decrease">
      <formula>NOT(ISERROR(SEARCH("Significant decrease",I4)))</formula>
    </cfRule>
  </conditionalFormatting>
  <conditionalFormatting sqref="C3">
    <cfRule type="containsText" dxfId="188" priority="33" operator="containsText" text="Significant increase">
      <formula>NOT(ISERROR(SEARCH("Significant increase",C3)))</formula>
    </cfRule>
    <cfRule type="containsText" dxfId="187" priority="34" operator="containsText" text="Significant decrease">
      <formula>NOT(ISERROR(SEARCH("Significant decrease",C3)))</formula>
    </cfRule>
  </conditionalFormatting>
  <conditionalFormatting sqref="E3">
    <cfRule type="containsText" dxfId="186" priority="31" operator="containsText" text="Significant increase">
      <formula>NOT(ISERROR(SEARCH("Significant increase",E3)))</formula>
    </cfRule>
    <cfRule type="containsText" dxfId="185" priority="32" operator="containsText" text="Significant decrease">
      <formula>NOT(ISERROR(SEARCH("Significant decrease",E3)))</formula>
    </cfRule>
  </conditionalFormatting>
  <conditionalFormatting sqref="G3">
    <cfRule type="containsText" dxfId="184" priority="29" operator="containsText" text="Significant increase">
      <formula>NOT(ISERROR(SEARCH("Significant increase",G3)))</formula>
    </cfRule>
    <cfRule type="containsText" dxfId="183" priority="30" operator="containsText" text="Significant decrease">
      <formula>NOT(ISERROR(SEARCH("Significant decrease",G3)))</formula>
    </cfRule>
  </conditionalFormatting>
  <conditionalFormatting sqref="C4">
    <cfRule type="containsText" dxfId="182" priority="27" operator="containsText" text="Significant increase">
      <formula>NOT(ISERROR(SEARCH("Significant increase",C4)))</formula>
    </cfRule>
    <cfRule type="containsText" dxfId="181" priority="28" operator="containsText" text="Significant decrease">
      <formula>NOT(ISERROR(SEARCH("Significant decrease",C4)))</formula>
    </cfRule>
  </conditionalFormatting>
  <conditionalFormatting sqref="E4">
    <cfRule type="containsText" dxfId="180" priority="25" operator="containsText" text="Significant increase">
      <formula>NOT(ISERROR(SEARCH("Significant increase",E4)))</formula>
    </cfRule>
    <cfRule type="containsText" dxfId="179" priority="26" operator="containsText" text="Significant decrease">
      <formula>NOT(ISERROR(SEARCH("Significant decrease",E4)))</formula>
    </cfRule>
  </conditionalFormatting>
  <conditionalFormatting sqref="G4">
    <cfRule type="containsText" dxfId="178" priority="23" operator="containsText" text="Significant increase">
      <formula>NOT(ISERROR(SEARCH("Significant increase",G4)))</formula>
    </cfRule>
    <cfRule type="containsText" dxfId="177" priority="24" operator="containsText" text="Significant decrease">
      <formula>NOT(ISERROR(SEARCH("Significant decrease",G4)))</formula>
    </cfRule>
  </conditionalFormatting>
  <conditionalFormatting sqref="L3">
    <cfRule type="containsText" dxfId="176" priority="21" operator="containsText" text="Significant increase">
      <formula>NOT(ISERROR(SEARCH("Significant increase",L3)))</formula>
    </cfRule>
    <cfRule type="containsText" dxfId="175" priority="22" operator="containsText" text="Significant decrease">
      <formula>NOT(ISERROR(SEARCH("Significant decrease",L3)))</formula>
    </cfRule>
  </conditionalFormatting>
  <conditionalFormatting sqref="L4">
    <cfRule type="containsText" dxfId="174" priority="19" operator="containsText" text="Significant increase">
      <formula>NOT(ISERROR(SEARCH("Significant increase",L4)))</formula>
    </cfRule>
    <cfRule type="containsText" dxfId="173" priority="20" operator="containsText" text="Significant decrease">
      <formula>NOT(ISERROR(SEARCH("Significant decrease",L4)))</formula>
    </cfRule>
  </conditionalFormatting>
  <conditionalFormatting sqref="K3">
    <cfRule type="containsText" dxfId="172" priority="17" operator="containsText" text="Significant increase">
      <formula>NOT(ISERROR(SEARCH("Significant increase",K3)))</formula>
    </cfRule>
    <cfRule type="containsText" dxfId="171" priority="18" operator="containsText" text="Significant decrease">
      <formula>NOT(ISERROR(SEARCH("Significant decrease",K3)))</formula>
    </cfRule>
  </conditionalFormatting>
  <conditionalFormatting sqref="K4">
    <cfRule type="containsText" dxfId="170" priority="15" operator="containsText" text="Significant increase">
      <formula>NOT(ISERROR(SEARCH("Significant increase",K4)))</formula>
    </cfRule>
    <cfRule type="containsText" dxfId="169" priority="16" operator="containsText" text="Significant decrease">
      <formula>NOT(ISERROR(SEARCH("Significant decrease",K4)))</formula>
    </cfRule>
  </conditionalFormatting>
  <conditionalFormatting sqref="J3">
    <cfRule type="containsText" dxfId="168" priority="13" operator="containsText" text="Significant increase">
      <formula>NOT(ISERROR(SEARCH("Significant increase",J3)))</formula>
    </cfRule>
    <cfRule type="containsText" dxfId="167" priority="14" operator="containsText" text="Significant decrease">
      <formula>NOT(ISERROR(SEARCH("Significant decrease",J3)))</formula>
    </cfRule>
  </conditionalFormatting>
  <conditionalFormatting sqref="J4">
    <cfRule type="containsText" dxfId="166" priority="11" operator="containsText" text="Significant increase">
      <formula>NOT(ISERROR(SEARCH("Significant increase",J4)))</formula>
    </cfRule>
    <cfRule type="containsText" dxfId="165" priority="12" operator="containsText" text="Significant decrease">
      <formula>NOT(ISERROR(SEARCH("Significant decrease",J4)))</formula>
    </cfRule>
  </conditionalFormatting>
  <conditionalFormatting sqref="D3:D4">
    <cfRule type="containsText" dxfId="164" priority="7" operator="containsText" text="Significant increase">
      <formula>NOT(ISERROR(SEARCH("Significant increase",D3)))</formula>
    </cfRule>
    <cfRule type="containsText" dxfId="163" priority="8" operator="containsText" text="Significant decrease">
      <formula>NOT(ISERROR(SEARCH("Significant decrease",D3)))</formula>
    </cfRule>
  </conditionalFormatting>
  <conditionalFormatting sqref="F3:F4">
    <cfRule type="containsText" dxfId="162" priority="5" operator="containsText" text="Significant increase">
      <formula>NOT(ISERROR(SEARCH("Significant increase",F3)))</formula>
    </cfRule>
    <cfRule type="containsText" dxfId="161" priority="6" operator="containsText" text="Significant decrease">
      <formula>NOT(ISERROR(SEARCH("Significant decrease",F3)))</formula>
    </cfRule>
  </conditionalFormatting>
  <conditionalFormatting sqref="H3:H4">
    <cfRule type="containsText" dxfId="160" priority="3" operator="containsText" text="Significant increase">
      <formula>NOT(ISERROR(SEARCH("Significant increase",H3)))</formula>
    </cfRule>
    <cfRule type="containsText" dxfId="159" priority="4" operator="containsText" text="Significant decrease">
      <formula>NOT(ISERROR(SEARCH("Significant decrease",H3)))</formula>
    </cfRule>
  </conditionalFormatting>
  <conditionalFormatting sqref="M4">
    <cfRule type="containsText" dxfId="158" priority="1" operator="containsText" text="Significant increase">
      <formula>NOT(ISERROR(SEARCH("Significant increase",M4)))</formula>
    </cfRule>
    <cfRule type="containsText" dxfId="157" priority="2" operator="containsText" text="Significant decrease">
      <formula>NOT(ISERROR(SEARCH("Significant decrease",M4)))</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35" operator="containsText" text="Significant increase" id="{DC7DEF64-B431-48FC-9916-4D1BC34DDD88}">
            <xm:f>NOT(ISERROR(SEARCH("Significant increase",'Stockport CYP'!I3)))</xm:f>
            <x14:dxf>
              <font>
                <color rgb="FF006100"/>
              </font>
              <fill>
                <patternFill>
                  <fgColor indexed="64"/>
                  <bgColor rgb="FFC6EFCE"/>
                </patternFill>
              </fill>
            </x14:dxf>
          </x14:cfRule>
          <x14:cfRule type="containsText" priority="36" operator="containsText" text="Significant decrease" id="{5178A1F7-F87D-4D9B-98A3-1805F37B061E}">
            <xm:f>NOT(ISERROR(SEARCH("Significant decrease",'Stockport CYP'!I3)))</xm:f>
            <x14:dxf>
              <font>
                <color rgb="FF9C0006"/>
              </font>
              <fill>
                <patternFill>
                  <fgColor indexed="64"/>
                  <bgColor rgb="FFFFC7CE"/>
                </patternFill>
              </fill>
            </x14:dxf>
          </x14:cfRule>
          <xm:sqref>I3</xm:sqref>
        </x14:conditionalFormatting>
      </x14:conditionalFormatting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topLeftCell="L1" workbookViewId="0">
      <selection activeCell="M3" sqref="M3:M4"/>
    </sheetView>
  </sheetViews>
  <sheetFormatPr defaultRowHeight="14.25" x14ac:dyDescent="0.2"/>
  <cols>
    <col min="1" max="1" width="10.19921875" customWidth="1"/>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s>
  <sheetData>
    <row r="2" spans="1:48"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137" t="s">
        <v>285</v>
      </c>
      <c r="Q2" s="137" t="s">
        <v>286</v>
      </c>
      <c r="R2" s="137" t="s">
        <v>276</v>
      </c>
      <c r="S2" s="137" t="s">
        <v>277</v>
      </c>
      <c r="T2" s="137" t="s">
        <v>278</v>
      </c>
      <c r="U2" s="137" t="s">
        <v>279</v>
      </c>
      <c r="V2" s="137" t="s">
        <v>280</v>
      </c>
      <c r="W2" s="137" t="s">
        <v>281</v>
      </c>
      <c r="X2" s="137" t="s">
        <v>282</v>
      </c>
      <c r="Y2" s="137" t="s">
        <v>283</v>
      </c>
      <c r="Z2" s="137" t="s">
        <v>284</v>
      </c>
      <c r="AA2" s="137" t="s">
        <v>287</v>
      </c>
      <c r="AB2" s="137" t="s">
        <v>288</v>
      </c>
      <c r="AC2" s="137" t="s">
        <v>258</v>
      </c>
      <c r="AD2" s="137" t="s">
        <v>259</v>
      </c>
      <c r="AE2" s="137" t="s">
        <v>260</v>
      </c>
      <c r="AF2" s="137" t="s">
        <v>261</v>
      </c>
      <c r="AG2" s="137" t="s">
        <v>262</v>
      </c>
      <c r="AH2" s="137" t="s">
        <v>263</v>
      </c>
      <c r="AI2" s="137" t="s">
        <v>264</v>
      </c>
      <c r="AJ2" s="137" t="s">
        <v>265</v>
      </c>
      <c r="AK2" s="137" t="s">
        <v>266</v>
      </c>
      <c r="AL2" s="137" t="s">
        <v>289</v>
      </c>
      <c r="AM2" s="137" t="s">
        <v>290</v>
      </c>
      <c r="AN2" s="137" t="s">
        <v>267</v>
      </c>
      <c r="AO2" s="137" t="s">
        <v>268</v>
      </c>
      <c r="AP2" s="137" t="s">
        <v>269</v>
      </c>
      <c r="AQ2" s="137" t="s">
        <v>270</v>
      </c>
      <c r="AR2" s="137" t="s">
        <v>271</v>
      </c>
      <c r="AS2" s="137" t="s">
        <v>272</v>
      </c>
      <c r="AT2" s="137" t="s">
        <v>273</v>
      </c>
      <c r="AU2" s="137" t="s">
        <v>274</v>
      </c>
      <c r="AV2" s="137" t="s">
        <v>275</v>
      </c>
    </row>
    <row r="3" spans="1:48" x14ac:dyDescent="0.2">
      <c r="A3" t="s">
        <v>117</v>
      </c>
      <c r="B3" t="s">
        <v>132</v>
      </c>
      <c r="C3" s="4">
        <v>0.41439999999999999</v>
      </c>
      <c r="D3" s="30">
        <v>14300</v>
      </c>
      <c r="E3" s="4">
        <v>0.29099999999999998</v>
      </c>
      <c r="F3" s="30">
        <v>10100</v>
      </c>
      <c r="G3" s="4">
        <v>0.29459999999999997</v>
      </c>
      <c r="H3" s="30">
        <v>10200</v>
      </c>
      <c r="I3" s="4">
        <v>0.16300000000000001</v>
      </c>
      <c r="J3" s="4">
        <v>0.35</v>
      </c>
      <c r="K3" s="4">
        <v>0.4788</v>
      </c>
      <c r="L3" s="4">
        <v>0.46539999999999998</v>
      </c>
      <c r="M3" s="155">
        <v>0.34260000000000002</v>
      </c>
      <c r="N3" s="28">
        <f>TraffordCYP[[#This Row],[Active]]+TraffordCYP[[#This Row],[Fairly Active]]</f>
        <v>0.70540000000000003</v>
      </c>
      <c r="O3" s="30">
        <f>TraffordCYP[[#This Row],[Active - Numbers]]+TraffordCYP[[#This Row],[Fairly Active - Numbers]]</f>
        <v>24400</v>
      </c>
      <c r="P3" s="138">
        <v>0.49727986710548377</v>
      </c>
      <c r="Q3" s="138">
        <v>0.36310977184799059</v>
      </c>
      <c r="R3" s="138">
        <v>0.43644893044060373</v>
      </c>
      <c r="S3" s="138">
        <v>0.37430335465041731</v>
      </c>
      <c r="T3" s="138">
        <v>0.49571216234709586</v>
      </c>
      <c r="U3" s="48"/>
      <c r="V3" s="48"/>
      <c r="W3" s="48"/>
      <c r="X3" s="48"/>
      <c r="Y3" s="48"/>
      <c r="Z3" s="48"/>
      <c r="AA3" s="138">
        <v>0.26584682578641899</v>
      </c>
      <c r="AB3" s="138">
        <v>0.30068251049101613</v>
      </c>
      <c r="AC3" s="138">
        <v>0.35905252276845856</v>
      </c>
      <c r="AD3" s="48"/>
      <c r="AE3" s="138">
        <v>0.18511547193799996</v>
      </c>
      <c r="AF3" s="48"/>
      <c r="AG3" s="48"/>
      <c r="AH3" s="48"/>
      <c r="AI3" s="48"/>
      <c r="AJ3" s="48"/>
      <c r="AK3" s="48"/>
      <c r="AL3" s="138">
        <v>0.2368733071080972</v>
      </c>
      <c r="AM3" s="138">
        <v>0.33620771766099222</v>
      </c>
      <c r="AN3" s="138">
        <v>0.20449854679093779</v>
      </c>
      <c r="AO3" s="48"/>
      <c r="AP3" s="138">
        <v>0.31917236571490459</v>
      </c>
      <c r="AQ3" s="48"/>
      <c r="AR3" s="48"/>
      <c r="AS3" s="48"/>
      <c r="AT3" s="48"/>
      <c r="AU3" s="48"/>
      <c r="AV3" s="48"/>
    </row>
    <row r="4" spans="1:48" x14ac:dyDescent="0.2">
      <c r="A4" t="s">
        <v>117</v>
      </c>
      <c r="B4" t="s">
        <v>133</v>
      </c>
      <c r="C4" s="4">
        <v>0.47539999999999999</v>
      </c>
      <c r="D4" s="30">
        <v>16700</v>
      </c>
      <c r="E4" s="4">
        <v>0.23380000000000001</v>
      </c>
      <c r="F4" s="30">
        <v>8200</v>
      </c>
      <c r="G4" s="4">
        <v>0.2908</v>
      </c>
      <c r="H4" s="30">
        <v>10200</v>
      </c>
      <c r="I4" s="4">
        <v>0.18559999999999999</v>
      </c>
      <c r="J4" s="4">
        <v>0.36059999999999998</v>
      </c>
      <c r="K4" s="4">
        <v>0.58709999999999996</v>
      </c>
      <c r="L4" s="4">
        <v>0.40279999999999999</v>
      </c>
      <c r="M4" s="155">
        <v>0.46870000000000001</v>
      </c>
      <c r="N4" s="28">
        <f>TraffordCYP[[#This Row],[Active]]+TraffordCYP[[#This Row],[Fairly Active]]</f>
        <v>0.70920000000000005</v>
      </c>
      <c r="O4" s="30">
        <f>TraffordCYP[[#This Row],[Active - Numbers]]+TraffordCYP[[#This Row],[Fairly Active - Numbers]]</f>
        <v>24900</v>
      </c>
      <c r="P4" s="138">
        <v>0.5979852995887186</v>
      </c>
      <c r="Q4" s="138">
        <v>0.38205018144356961</v>
      </c>
      <c r="R4" s="138">
        <v>0.27280505798058374</v>
      </c>
      <c r="S4" s="138">
        <v>0.49029902819974552</v>
      </c>
      <c r="T4" s="138">
        <v>0.63769932762892001</v>
      </c>
      <c r="U4" s="48"/>
      <c r="V4" s="48"/>
      <c r="W4" s="48"/>
      <c r="X4" s="48"/>
      <c r="Y4" s="48"/>
      <c r="Z4" s="48"/>
      <c r="AA4" s="48"/>
      <c r="AB4" s="138">
        <v>0.30938066868975678</v>
      </c>
      <c r="AC4" s="138">
        <v>0.31064876090906773</v>
      </c>
      <c r="AD4" s="48"/>
      <c r="AE4" s="138">
        <v>0.16525048482891297</v>
      </c>
      <c r="AF4" s="48"/>
      <c r="AG4" s="48"/>
      <c r="AH4" s="48"/>
      <c r="AI4" s="48"/>
      <c r="AJ4" s="48"/>
      <c r="AK4" s="48"/>
      <c r="AL4" s="138">
        <v>0.2574305909881921</v>
      </c>
      <c r="AM4" s="138">
        <v>0.30856914986667061</v>
      </c>
      <c r="AN4" s="138">
        <v>0.41654618111034869</v>
      </c>
      <c r="AO4" s="138">
        <v>0.28158218638876015</v>
      </c>
      <c r="AP4" s="138">
        <v>0.19705018754216785</v>
      </c>
      <c r="AQ4" s="48"/>
      <c r="AR4" s="48"/>
      <c r="AS4" s="48"/>
      <c r="AT4" s="48"/>
      <c r="AU4" s="48"/>
      <c r="AV4" s="48"/>
    </row>
  </sheetData>
  <conditionalFormatting sqref="I4">
    <cfRule type="containsText" dxfId="135" priority="11" operator="containsText" text="Significant increase">
      <formula>NOT(ISERROR(SEARCH("Significant increase",I4)))</formula>
    </cfRule>
    <cfRule type="containsText" dxfId="134" priority="12" operator="containsText" text="Significant decrease">
      <formula>NOT(ISERROR(SEARCH("Significant decrease",I4)))</formula>
    </cfRule>
  </conditionalFormatting>
  <conditionalFormatting sqref="C3">
    <cfRule type="containsText" dxfId="133" priority="37" operator="containsText" text="Significant increase">
      <formula>NOT(ISERROR(SEARCH("Significant increase",C3)))</formula>
    </cfRule>
    <cfRule type="containsText" dxfId="132" priority="38" operator="containsText" text="Significant decrease">
      <formula>NOT(ISERROR(SEARCH("Significant decrease",C3)))</formula>
    </cfRule>
  </conditionalFormatting>
  <conditionalFormatting sqref="E3">
    <cfRule type="containsText" dxfId="131" priority="35" operator="containsText" text="Significant increase">
      <formula>NOT(ISERROR(SEARCH("Significant increase",E3)))</formula>
    </cfRule>
    <cfRule type="containsText" dxfId="130" priority="36" operator="containsText" text="Significant decrease">
      <formula>NOT(ISERROR(SEARCH("Significant decrease",E3)))</formula>
    </cfRule>
  </conditionalFormatting>
  <conditionalFormatting sqref="G3">
    <cfRule type="containsText" dxfId="129" priority="33" operator="containsText" text="Significant increase">
      <formula>NOT(ISERROR(SEARCH("Significant increase",G3)))</formula>
    </cfRule>
    <cfRule type="containsText" dxfId="128" priority="34" operator="containsText" text="Significant decrease">
      <formula>NOT(ISERROR(SEARCH("Significant decrease",G3)))</formula>
    </cfRule>
  </conditionalFormatting>
  <conditionalFormatting sqref="C4">
    <cfRule type="containsText" dxfId="127" priority="31" operator="containsText" text="Significant increase">
      <formula>NOT(ISERROR(SEARCH("Significant increase",C4)))</formula>
    </cfRule>
    <cfRule type="containsText" dxfId="126" priority="32" operator="containsText" text="Significant decrease">
      <formula>NOT(ISERROR(SEARCH("Significant decrease",C4)))</formula>
    </cfRule>
  </conditionalFormatting>
  <conditionalFormatting sqref="E4">
    <cfRule type="containsText" dxfId="125" priority="29" operator="containsText" text="Significant increase">
      <formula>NOT(ISERROR(SEARCH("Significant increase",E4)))</formula>
    </cfRule>
    <cfRule type="containsText" dxfId="124" priority="30" operator="containsText" text="Significant decrease">
      <formula>NOT(ISERROR(SEARCH("Significant decrease",E4)))</formula>
    </cfRule>
  </conditionalFormatting>
  <conditionalFormatting sqref="G4">
    <cfRule type="containsText" dxfId="123" priority="27" operator="containsText" text="Significant increase">
      <formula>NOT(ISERROR(SEARCH("Significant increase",G4)))</formula>
    </cfRule>
    <cfRule type="containsText" dxfId="122" priority="28" operator="containsText" text="Significant decrease">
      <formula>NOT(ISERROR(SEARCH("Significant decrease",G4)))</formula>
    </cfRule>
  </conditionalFormatting>
  <conditionalFormatting sqref="L3">
    <cfRule type="containsText" dxfId="121" priority="25" operator="containsText" text="Significant increase">
      <formula>NOT(ISERROR(SEARCH("Significant increase",L3)))</formula>
    </cfRule>
    <cfRule type="containsText" dxfId="120" priority="26" operator="containsText" text="Significant decrease">
      <formula>NOT(ISERROR(SEARCH("Significant decrease",L3)))</formula>
    </cfRule>
  </conditionalFormatting>
  <conditionalFormatting sqref="L4">
    <cfRule type="containsText" dxfId="119" priority="23" operator="containsText" text="Significant increase">
      <formula>NOT(ISERROR(SEARCH("Significant increase",L4)))</formula>
    </cfRule>
    <cfRule type="containsText" dxfId="118" priority="24" operator="containsText" text="Significant decrease">
      <formula>NOT(ISERROR(SEARCH("Significant decrease",L4)))</formula>
    </cfRule>
  </conditionalFormatting>
  <conditionalFormatting sqref="K3">
    <cfRule type="containsText" dxfId="117" priority="21" operator="containsText" text="Significant increase">
      <formula>NOT(ISERROR(SEARCH("Significant increase",K3)))</formula>
    </cfRule>
    <cfRule type="containsText" dxfId="116" priority="22" operator="containsText" text="Significant decrease">
      <formula>NOT(ISERROR(SEARCH("Significant decrease",K3)))</formula>
    </cfRule>
  </conditionalFormatting>
  <conditionalFormatting sqref="K4">
    <cfRule type="containsText" dxfId="115" priority="19" operator="containsText" text="Significant increase">
      <formula>NOT(ISERROR(SEARCH("Significant increase",K4)))</formula>
    </cfRule>
    <cfRule type="containsText" dxfId="114" priority="20" operator="containsText" text="Significant decrease">
      <formula>NOT(ISERROR(SEARCH("Significant decrease",K4)))</formula>
    </cfRule>
  </conditionalFormatting>
  <conditionalFormatting sqref="J3">
    <cfRule type="containsText" dxfId="113" priority="17" operator="containsText" text="Significant increase">
      <formula>NOT(ISERROR(SEARCH("Significant increase",J3)))</formula>
    </cfRule>
    <cfRule type="containsText" dxfId="112" priority="18" operator="containsText" text="Significant decrease">
      <formula>NOT(ISERROR(SEARCH("Significant decrease",J3)))</formula>
    </cfRule>
  </conditionalFormatting>
  <conditionalFormatting sqref="J4">
    <cfRule type="containsText" dxfId="111" priority="15" operator="containsText" text="Significant increase">
      <formula>NOT(ISERROR(SEARCH("Significant increase",J4)))</formula>
    </cfRule>
    <cfRule type="containsText" dxfId="110" priority="16" operator="containsText" text="Significant decrease">
      <formula>NOT(ISERROR(SEARCH("Significant decrease",J4)))</formula>
    </cfRule>
  </conditionalFormatting>
  <conditionalFormatting sqref="I3">
    <cfRule type="containsText" dxfId="109" priority="13" operator="containsText" text="Significant increase">
      <formula>NOT(ISERROR(SEARCH("Significant increase",I3)))</formula>
    </cfRule>
    <cfRule type="containsText" dxfId="108" priority="14" operator="containsText" text="Significant decrease">
      <formula>NOT(ISERROR(SEARCH("Significant decrease",I3)))</formula>
    </cfRule>
  </conditionalFormatting>
  <conditionalFormatting sqref="D3:D4">
    <cfRule type="containsText" dxfId="107" priority="9" operator="containsText" text="Significant increase">
      <formula>NOT(ISERROR(SEARCH("Significant increase",D3)))</formula>
    </cfRule>
    <cfRule type="containsText" dxfId="106" priority="10" operator="containsText" text="Significant decrease">
      <formula>NOT(ISERROR(SEARCH("Significant decrease",D3)))</formula>
    </cfRule>
  </conditionalFormatting>
  <conditionalFormatting sqref="F3:F4">
    <cfRule type="containsText" dxfId="105" priority="7" operator="containsText" text="Significant increase">
      <formula>NOT(ISERROR(SEARCH("Significant increase",F3)))</formula>
    </cfRule>
    <cfRule type="containsText" dxfId="104" priority="8" operator="containsText" text="Significant decrease">
      <formula>NOT(ISERROR(SEARCH("Significant decrease",F3)))</formula>
    </cfRule>
  </conditionalFormatting>
  <conditionalFormatting sqref="H3:H4">
    <cfRule type="containsText" dxfId="103" priority="5" operator="containsText" text="Significant increase">
      <formula>NOT(ISERROR(SEARCH("Significant increase",H3)))</formula>
    </cfRule>
    <cfRule type="containsText" dxfId="102" priority="6" operator="containsText" text="Significant decrease">
      <formula>NOT(ISERROR(SEARCH("Significant decrease",H3)))</formula>
    </cfRule>
  </conditionalFormatting>
  <conditionalFormatting sqref="M4">
    <cfRule type="containsText" dxfId="101" priority="3" operator="containsText" text="Significant increase">
      <formula>NOT(ISERROR(SEARCH("Significant increase",M4)))</formula>
    </cfRule>
    <cfRule type="containsText" dxfId="100" priority="4" operator="containsText" text="Significant decrease">
      <formula>NOT(ISERROR(SEARCH("Significant decrease",M4)))</formula>
    </cfRule>
  </conditionalFormatting>
  <conditionalFormatting sqref="M3">
    <cfRule type="containsText" dxfId="99" priority="1" operator="containsText" text="Significant increase">
      <formula>NOT(ISERROR(SEARCH("Significant increase",M3)))</formula>
    </cfRule>
    <cfRule type="containsText" dxfId="98" priority="2" operator="containsText" text="Significant decrease">
      <formula>NOT(ISERROR(SEARCH("Significant decrease",M3)))</formula>
    </cfRule>
  </conditionalFormatting>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5"/>
  <sheetViews>
    <sheetView topLeftCell="I1" workbookViewId="0">
      <selection activeCell="M3" sqref="M3:M4"/>
    </sheetView>
  </sheetViews>
  <sheetFormatPr defaultRowHeight="14.25" x14ac:dyDescent="0.2"/>
  <cols>
    <col min="1" max="1" width="10.19921875" customWidth="1"/>
    <col min="4" max="4" width="8.69921875" style="29"/>
    <col min="6" max="6" width="8.69921875" style="29"/>
    <col min="8" max="8" width="8.69921875" style="29"/>
    <col min="9" max="9" width="13.796875" customWidth="1"/>
    <col min="10" max="10" width="29" customWidth="1"/>
    <col min="11" max="11" width="23.796875" customWidth="1"/>
    <col min="12" max="12" width="22.69921875" customWidth="1"/>
  </cols>
  <sheetData>
    <row r="2" spans="1:48" x14ac:dyDescent="0.2">
      <c r="A2" s="6" t="s">
        <v>106</v>
      </c>
      <c r="B2" s="5" t="s">
        <v>0</v>
      </c>
      <c r="C2" s="29" t="s">
        <v>121</v>
      </c>
      <c r="D2" s="29" t="s">
        <v>157</v>
      </c>
      <c r="E2" s="29" t="s">
        <v>120</v>
      </c>
      <c r="F2" s="29" t="s">
        <v>158</v>
      </c>
      <c r="G2" s="29" t="s">
        <v>126</v>
      </c>
      <c r="H2" s="29" t="s">
        <v>160</v>
      </c>
      <c r="I2" s="20" t="s">
        <v>127</v>
      </c>
      <c r="J2" s="20" t="s">
        <v>128</v>
      </c>
      <c r="K2" s="20" t="s">
        <v>129</v>
      </c>
      <c r="L2" s="20" t="s">
        <v>130</v>
      </c>
      <c r="M2" s="20" t="s">
        <v>131</v>
      </c>
      <c r="N2" s="20" t="s">
        <v>99</v>
      </c>
      <c r="O2" s="20" t="s">
        <v>165</v>
      </c>
      <c r="P2" s="137" t="s">
        <v>285</v>
      </c>
      <c r="Q2" s="137" t="s">
        <v>286</v>
      </c>
      <c r="R2" s="137" t="s">
        <v>276</v>
      </c>
      <c r="S2" s="137" t="s">
        <v>277</v>
      </c>
      <c r="T2" s="137" t="s">
        <v>278</v>
      </c>
      <c r="U2" s="137" t="s">
        <v>279</v>
      </c>
      <c r="V2" s="137" t="s">
        <v>280</v>
      </c>
      <c r="W2" s="137" t="s">
        <v>281</v>
      </c>
      <c r="X2" s="137" t="s">
        <v>282</v>
      </c>
      <c r="Y2" s="137" t="s">
        <v>283</v>
      </c>
      <c r="Z2" s="137" t="s">
        <v>284</v>
      </c>
      <c r="AA2" s="137" t="s">
        <v>287</v>
      </c>
      <c r="AB2" s="137" t="s">
        <v>288</v>
      </c>
      <c r="AC2" s="137" t="s">
        <v>258</v>
      </c>
      <c r="AD2" s="137" t="s">
        <v>259</v>
      </c>
      <c r="AE2" s="137" t="s">
        <v>260</v>
      </c>
      <c r="AF2" s="137" t="s">
        <v>261</v>
      </c>
      <c r="AG2" s="137" t="s">
        <v>262</v>
      </c>
      <c r="AH2" s="137" t="s">
        <v>263</v>
      </c>
      <c r="AI2" s="137" t="s">
        <v>264</v>
      </c>
      <c r="AJ2" s="137" t="s">
        <v>265</v>
      </c>
      <c r="AK2" s="137" t="s">
        <v>266</v>
      </c>
      <c r="AL2" s="137" t="s">
        <v>289</v>
      </c>
      <c r="AM2" s="137" t="s">
        <v>290</v>
      </c>
      <c r="AN2" s="137" t="s">
        <v>267</v>
      </c>
      <c r="AO2" s="137" t="s">
        <v>268</v>
      </c>
      <c r="AP2" s="137" t="s">
        <v>269</v>
      </c>
      <c r="AQ2" s="137" t="s">
        <v>270</v>
      </c>
      <c r="AR2" s="137" t="s">
        <v>271</v>
      </c>
      <c r="AS2" s="137" t="s">
        <v>272</v>
      </c>
      <c r="AT2" s="137" t="s">
        <v>273</v>
      </c>
      <c r="AU2" s="137" t="s">
        <v>274</v>
      </c>
      <c r="AV2" s="137" t="s">
        <v>275</v>
      </c>
    </row>
    <row r="3" spans="1:48" x14ac:dyDescent="0.2">
      <c r="A3" s="4" t="s">
        <v>118</v>
      </c>
      <c r="B3" s="4" t="s">
        <v>132</v>
      </c>
      <c r="C3" s="4">
        <v>0.39529999999999998</v>
      </c>
      <c r="D3" s="30">
        <v>15800</v>
      </c>
      <c r="E3" s="4">
        <v>0.2447</v>
      </c>
      <c r="F3" s="30">
        <v>9800</v>
      </c>
      <c r="G3" s="4">
        <v>0.36</v>
      </c>
      <c r="H3" s="30">
        <v>14400</v>
      </c>
      <c r="I3" s="4">
        <v>0.1762</v>
      </c>
      <c r="J3" s="4">
        <v>0.28970000000000001</v>
      </c>
      <c r="K3" s="4">
        <v>0.49969999999999998</v>
      </c>
      <c r="L3" s="4">
        <v>0.3639</v>
      </c>
      <c r="M3" s="155">
        <v>0.36359999999999998</v>
      </c>
      <c r="N3" s="28">
        <f>WiganCYP[[#This Row],[Active]]+WiganCYP[[#This Row],[Fairly Active]]</f>
        <v>0.64</v>
      </c>
      <c r="O3" s="30">
        <f>WiganCYP[[#This Row],[Active - Numbers]]+WiganCYP[[#This Row],[Fairly Active - Numbers]]</f>
        <v>25600</v>
      </c>
      <c r="P3" s="133">
        <v>0.41686634949292589</v>
      </c>
      <c r="Q3" s="133">
        <v>0.35293867790818345</v>
      </c>
      <c r="R3" s="133">
        <v>0.34740116624019202</v>
      </c>
      <c r="S3" s="133">
        <v>0.35852219246978723</v>
      </c>
      <c r="T3" s="133">
        <v>0.55510559766718115</v>
      </c>
      <c r="U3" s="64"/>
      <c r="V3" s="64"/>
      <c r="W3" s="64"/>
      <c r="X3" s="64"/>
      <c r="Y3" s="64"/>
      <c r="Z3" s="48"/>
      <c r="AA3" s="138">
        <v>0.19540731871384981</v>
      </c>
      <c r="AB3" s="138">
        <v>0.30208357310796319</v>
      </c>
      <c r="AC3" s="138">
        <v>0.22356622138500101</v>
      </c>
      <c r="AD3" s="138">
        <v>0.25281562944465041</v>
      </c>
      <c r="AE3" s="138">
        <v>0.25740301707178603</v>
      </c>
      <c r="AF3" s="48"/>
      <c r="AG3" s="48"/>
      <c r="AH3" s="48"/>
      <c r="AI3" s="48"/>
      <c r="AJ3" s="48"/>
      <c r="AK3" s="48"/>
      <c r="AL3" s="138">
        <v>0.38772633179322374</v>
      </c>
      <c r="AM3" s="138">
        <v>0.34497774898384814</v>
      </c>
      <c r="AN3" s="138">
        <v>0.42903261237480694</v>
      </c>
      <c r="AO3" s="48"/>
      <c r="AP3" s="138">
        <v>0.18749138526103354</v>
      </c>
      <c r="AQ3" s="64"/>
      <c r="AR3" s="64"/>
      <c r="AS3" s="64"/>
      <c r="AT3" s="64"/>
      <c r="AU3" s="64"/>
      <c r="AV3" s="64"/>
    </row>
    <row r="4" spans="1:48" x14ac:dyDescent="0.2">
      <c r="A4" s="4" t="s">
        <v>118</v>
      </c>
      <c r="B4" s="4" t="s">
        <v>133</v>
      </c>
      <c r="C4" s="4">
        <v>0.4844</v>
      </c>
      <c r="D4" s="30">
        <v>19700</v>
      </c>
      <c r="E4" s="4">
        <v>0.19939999999999999</v>
      </c>
      <c r="F4" s="30">
        <v>8100</v>
      </c>
      <c r="G4" s="4">
        <v>0.31619999999999998</v>
      </c>
      <c r="H4" s="30">
        <v>12900</v>
      </c>
      <c r="I4" s="4">
        <v>0.20119999999999999</v>
      </c>
      <c r="J4" s="4">
        <v>0.36399999999999999</v>
      </c>
      <c r="K4" s="4">
        <v>0.59840000000000004</v>
      </c>
      <c r="L4" s="4">
        <v>0.40160000000000001</v>
      </c>
      <c r="M4" s="155">
        <v>0.32169999999999999</v>
      </c>
      <c r="N4" s="28">
        <f>WiganCYP[[#This Row],[Active]]+WiganCYP[[#This Row],[Fairly Active]]</f>
        <v>0.68379999999999996</v>
      </c>
      <c r="O4" s="30">
        <f>WiganCYP[[#This Row],[Active - Numbers]]+WiganCYP[[#This Row],[Fairly Active - Numbers]]</f>
        <v>27800</v>
      </c>
      <c r="P4" s="133">
        <v>0.55280015628525103</v>
      </c>
      <c r="Q4" s="133">
        <v>0.40215093428570059</v>
      </c>
      <c r="R4" s="133">
        <v>0.51500461140798004</v>
      </c>
      <c r="S4" s="133">
        <v>0.45795754461823945</v>
      </c>
      <c r="T4" s="133">
        <v>0.52314119153648209</v>
      </c>
      <c r="U4" s="64"/>
      <c r="V4" s="64"/>
      <c r="W4" s="64"/>
      <c r="X4" s="64"/>
      <c r="Y4" s="64"/>
      <c r="Z4" s="48"/>
      <c r="AA4" s="138">
        <v>0.17123197312449526</v>
      </c>
      <c r="AB4" s="138">
        <v>0.23715158909107859</v>
      </c>
      <c r="AC4" s="138">
        <v>0.16777125409517485</v>
      </c>
      <c r="AD4" s="48"/>
      <c r="AE4" s="138">
        <v>0.22858123688059087</v>
      </c>
      <c r="AF4" s="48"/>
      <c r="AG4" s="48"/>
      <c r="AH4" s="48"/>
      <c r="AI4" s="48"/>
      <c r="AJ4" s="48"/>
      <c r="AK4" s="48"/>
      <c r="AL4" s="138">
        <v>0.27596787059025391</v>
      </c>
      <c r="AM4" s="138">
        <v>0.3606974766232216</v>
      </c>
      <c r="AN4" s="138">
        <v>0.31722413449684522</v>
      </c>
      <c r="AO4" s="48"/>
      <c r="AP4" s="138">
        <v>0.24827757158292804</v>
      </c>
      <c r="AQ4" s="64"/>
      <c r="AR4" s="64"/>
      <c r="AS4" s="64"/>
      <c r="AT4" s="64"/>
      <c r="AU4" s="64"/>
      <c r="AV4" s="64"/>
    </row>
    <row r="5" spans="1:48" x14ac:dyDescent="0.2">
      <c r="Z5" s="48"/>
      <c r="AA5" s="48"/>
      <c r="AB5" s="48"/>
      <c r="AC5" s="48"/>
      <c r="AD5" s="48"/>
      <c r="AE5" s="48"/>
      <c r="AF5" s="48"/>
      <c r="AG5" s="48"/>
      <c r="AH5" s="48"/>
      <c r="AI5" s="48"/>
      <c r="AJ5" s="48"/>
      <c r="AK5" s="48"/>
      <c r="AL5" s="48"/>
      <c r="AM5" s="48"/>
      <c r="AN5" s="48"/>
      <c r="AO5" s="48"/>
      <c r="AP5" s="48"/>
    </row>
  </sheetData>
  <conditionalFormatting sqref="I4">
    <cfRule type="containsText" dxfId="88" priority="11" operator="containsText" text="Significant increase">
      <formula>NOT(ISERROR(SEARCH("Significant increase",I4)))</formula>
    </cfRule>
    <cfRule type="containsText" dxfId="87" priority="12" operator="containsText" text="Significant decrease">
      <formula>NOT(ISERROR(SEARCH("Significant decrease",I4)))</formula>
    </cfRule>
  </conditionalFormatting>
  <conditionalFormatting sqref="C3">
    <cfRule type="containsText" dxfId="86" priority="37" operator="containsText" text="Significant increase">
      <formula>NOT(ISERROR(SEARCH("Significant increase",C3)))</formula>
    </cfRule>
    <cfRule type="containsText" dxfId="85" priority="38" operator="containsText" text="Significant decrease">
      <formula>NOT(ISERROR(SEARCH("Significant decrease",C3)))</formula>
    </cfRule>
  </conditionalFormatting>
  <conditionalFormatting sqref="E3">
    <cfRule type="containsText" dxfId="84" priority="35" operator="containsText" text="Significant increase">
      <formula>NOT(ISERROR(SEARCH("Significant increase",E3)))</formula>
    </cfRule>
    <cfRule type="containsText" dxfId="83" priority="36" operator="containsText" text="Significant decrease">
      <formula>NOT(ISERROR(SEARCH("Significant decrease",E3)))</formula>
    </cfRule>
  </conditionalFormatting>
  <conditionalFormatting sqref="G3">
    <cfRule type="containsText" dxfId="82" priority="33" operator="containsText" text="Significant increase">
      <formula>NOT(ISERROR(SEARCH("Significant increase",G3)))</formula>
    </cfRule>
    <cfRule type="containsText" dxfId="81" priority="34" operator="containsText" text="Significant decrease">
      <formula>NOT(ISERROR(SEARCH("Significant decrease",G3)))</formula>
    </cfRule>
  </conditionalFormatting>
  <conditionalFormatting sqref="C4">
    <cfRule type="containsText" dxfId="80" priority="31" operator="containsText" text="Significant increase">
      <formula>NOT(ISERROR(SEARCH("Significant increase",C4)))</formula>
    </cfRule>
    <cfRule type="containsText" dxfId="79" priority="32" operator="containsText" text="Significant decrease">
      <formula>NOT(ISERROR(SEARCH("Significant decrease",C4)))</formula>
    </cfRule>
  </conditionalFormatting>
  <conditionalFormatting sqref="E4">
    <cfRule type="containsText" dxfId="78" priority="29" operator="containsText" text="Significant increase">
      <formula>NOT(ISERROR(SEARCH("Significant increase",E4)))</formula>
    </cfRule>
    <cfRule type="containsText" dxfId="77" priority="30" operator="containsText" text="Significant decrease">
      <formula>NOT(ISERROR(SEARCH("Significant decrease",E4)))</formula>
    </cfRule>
  </conditionalFormatting>
  <conditionalFormatting sqref="G4">
    <cfRule type="containsText" dxfId="76" priority="27" operator="containsText" text="Significant increase">
      <formula>NOT(ISERROR(SEARCH("Significant increase",G4)))</formula>
    </cfRule>
    <cfRule type="containsText" dxfId="75" priority="28" operator="containsText" text="Significant decrease">
      <formula>NOT(ISERROR(SEARCH("Significant decrease",G4)))</formula>
    </cfRule>
  </conditionalFormatting>
  <conditionalFormatting sqref="L3">
    <cfRule type="containsText" dxfId="74" priority="25" operator="containsText" text="Significant increase">
      <formula>NOT(ISERROR(SEARCH("Significant increase",L3)))</formula>
    </cfRule>
    <cfRule type="containsText" dxfId="73" priority="26" operator="containsText" text="Significant decrease">
      <formula>NOT(ISERROR(SEARCH("Significant decrease",L3)))</formula>
    </cfRule>
  </conditionalFormatting>
  <conditionalFormatting sqref="L4">
    <cfRule type="containsText" dxfId="72" priority="23" operator="containsText" text="Significant increase">
      <formula>NOT(ISERROR(SEARCH("Significant increase",L4)))</formula>
    </cfRule>
    <cfRule type="containsText" dxfId="71" priority="24" operator="containsText" text="Significant decrease">
      <formula>NOT(ISERROR(SEARCH("Significant decrease",L4)))</formula>
    </cfRule>
  </conditionalFormatting>
  <conditionalFormatting sqref="K3">
    <cfRule type="containsText" dxfId="70" priority="21" operator="containsText" text="Significant increase">
      <formula>NOT(ISERROR(SEARCH("Significant increase",K3)))</formula>
    </cfRule>
    <cfRule type="containsText" dxfId="69" priority="22" operator="containsText" text="Significant decrease">
      <formula>NOT(ISERROR(SEARCH("Significant decrease",K3)))</formula>
    </cfRule>
  </conditionalFormatting>
  <conditionalFormatting sqref="K4">
    <cfRule type="containsText" dxfId="68" priority="19" operator="containsText" text="Significant increase">
      <formula>NOT(ISERROR(SEARCH("Significant increase",K4)))</formula>
    </cfRule>
    <cfRule type="containsText" dxfId="67" priority="20" operator="containsText" text="Significant decrease">
      <formula>NOT(ISERROR(SEARCH("Significant decrease",K4)))</formula>
    </cfRule>
  </conditionalFormatting>
  <conditionalFormatting sqref="J3">
    <cfRule type="containsText" dxfId="66" priority="17" operator="containsText" text="Significant increase">
      <formula>NOT(ISERROR(SEARCH("Significant increase",J3)))</formula>
    </cfRule>
    <cfRule type="containsText" dxfId="65" priority="18" operator="containsText" text="Significant decrease">
      <formula>NOT(ISERROR(SEARCH("Significant decrease",J3)))</formula>
    </cfRule>
  </conditionalFormatting>
  <conditionalFormatting sqref="J4">
    <cfRule type="containsText" dxfId="64" priority="15" operator="containsText" text="Significant increase">
      <formula>NOT(ISERROR(SEARCH("Significant increase",J4)))</formula>
    </cfRule>
    <cfRule type="containsText" dxfId="63" priority="16" operator="containsText" text="Significant decrease">
      <formula>NOT(ISERROR(SEARCH("Significant decrease",J4)))</formula>
    </cfRule>
  </conditionalFormatting>
  <conditionalFormatting sqref="I3">
    <cfRule type="containsText" dxfId="62" priority="13" operator="containsText" text="Significant increase">
      <formula>NOT(ISERROR(SEARCH("Significant increase",I3)))</formula>
    </cfRule>
    <cfRule type="containsText" dxfId="61" priority="14" operator="containsText" text="Significant decrease">
      <formula>NOT(ISERROR(SEARCH("Significant decrease",I3)))</formula>
    </cfRule>
  </conditionalFormatting>
  <conditionalFormatting sqref="D3:D4">
    <cfRule type="containsText" dxfId="60" priority="9" operator="containsText" text="Significant increase">
      <formula>NOT(ISERROR(SEARCH("Significant increase",D3)))</formula>
    </cfRule>
    <cfRule type="containsText" dxfId="59" priority="10" operator="containsText" text="Significant decrease">
      <formula>NOT(ISERROR(SEARCH("Significant decrease",D3)))</formula>
    </cfRule>
  </conditionalFormatting>
  <conditionalFormatting sqref="F3:F4">
    <cfRule type="containsText" dxfId="58" priority="7" operator="containsText" text="Significant increase">
      <formula>NOT(ISERROR(SEARCH("Significant increase",F3)))</formula>
    </cfRule>
    <cfRule type="containsText" dxfId="57" priority="8" operator="containsText" text="Significant decrease">
      <formula>NOT(ISERROR(SEARCH("Significant decrease",F3)))</formula>
    </cfRule>
  </conditionalFormatting>
  <conditionalFormatting sqref="H3:H4">
    <cfRule type="containsText" dxfId="56" priority="5" operator="containsText" text="Significant increase">
      <formula>NOT(ISERROR(SEARCH("Significant increase",H3)))</formula>
    </cfRule>
    <cfRule type="containsText" dxfId="55" priority="6" operator="containsText" text="Significant decrease">
      <formula>NOT(ISERROR(SEARCH("Significant decrease",H3)))</formula>
    </cfRule>
  </conditionalFormatting>
  <conditionalFormatting sqref="M4">
    <cfRule type="containsText" dxfId="54" priority="3" operator="containsText" text="Significant increase">
      <formula>NOT(ISERROR(SEARCH("Significant increase",M4)))</formula>
    </cfRule>
    <cfRule type="containsText" dxfId="53" priority="4" operator="containsText" text="Significant decrease">
      <formula>NOT(ISERROR(SEARCH("Significant decrease",M4)))</formula>
    </cfRule>
  </conditionalFormatting>
  <conditionalFormatting sqref="M3">
    <cfRule type="containsText" dxfId="52" priority="1" operator="containsText" text="Significant increase">
      <formula>NOT(ISERROR(SEARCH("Significant increase",M3)))</formula>
    </cfRule>
    <cfRule type="containsText" dxfId="51" priority="2" operator="containsText" text="Significant decrease">
      <formula>NOT(ISERROR(SEARCH("Significant decrease",M3)))</formula>
    </cfRule>
  </conditionalFormatting>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K41" sqref="K41"/>
    </sheetView>
  </sheetViews>
  <sheetFormatPr defaultRowHeight="14.25" x14ac:dyDescent="0.2"/>
  <cols>
    <col min="2" max="2" width="10.19921875" bestFit="1" customWidth="1"/>
    <col min="3" max="3" width="9.19921875" bestFit="1" customWidth="1"/>
    <col min="4" max="4" width="10.19921875" bestFit="1" customWidth="1"/>
    <col min="5" max="6" width="10.09765625" bestFit="1" customWidth="1"/>
    <col min="7" max="7" width="9.09765625" bestFit="1" customWidth="1"/>
    <col min="8" max="9" width="10.09765625" bestFit="1" customWidth="1"/>
    <col min="10" max="11" width="10.09765625" style="29" customWidth="1"/>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2014</v>
      </c>
      <c r="B3" s="30">
        <v>54316618</v>
      </c>
      <c r="C3" s="30">
        <v>7507475</v>
      </c>
      <c r="D3" s="30">
        <v>13601046</v>
      </c>
      <c r="E3" s="30">
        <v>14706879</v>
      </c>
      <c r="F3" s="30">
        <v>11245064</v>
      </c>
      <c r="G3" s="30">
        <v>4374835</v>
      </c>
      <c r="H3" s="30">
        <v>28307925</v>
      </c>
      <c r="I3" s="30">
        <v>15638220</v>
      </c>
      <c r="J3" s="30"/>
      <c r="K3" s="30"/>
      <c r="L3" s="30"/>
      <c r="M3" s="30"/>
      <c r="N3" s="30"/>
      <c r="O3" s="30"/>
      <c r="P3" s="30"/>
      <c r="Q3" s="30"/>
      <c r="R3" s="30"/>
      <c r="S3" s="30"/>
      <c r="T3" s="30"/>
      <c r="U3" s="30"/>
      <c r="V3" s="30"/>
      <c r="W3" s="30"/>
      <c r="X3" s="30"/>
      <c r="Y3" s="30"/>
      <c r="Z3" s="30"/>
      <c r="AA3" s="30"/>
      <c r="AB3" s="30"/>
      <c r="AC3" s="30"/>
      <c r="AD3" s="30"/>
      <c r="AE3" s="30"/>
    </row>
    <row r="4" spans="1:31" x14ac:dyDescent="0.2">
      <c r="A4" s="29">
        <v>2015</v>
      </c>
      <c r="B4" s="30">
        <v>54786327</v>
      </c>
      <c r="C4" s="30">
        <v>7602069</v>
      </c>
      <c r="D4" s="30">
        <v>13643370</v>
      </c>
      <c r="E4" s="30">
        <v>14774531</v>
      </c>
      <c r="F4" s="30">
        <v>11449737</v>
      </c>
      <c r="G4" s="30">
        <v>4425817</v>
      </c>
      <c r="H4" s="30">
        <v>28417901</v>
      </c>
      <c r="I4" s="30">
        <v>15894615</v>
      </c>
      <c r="J4" s="30"/>
      <c r="K4" s="30"/>
      <c r="L4" s="30"/>
      <c r="M4" s="30"/>
      <c r="N4" s="30"/>
      <c r="O4" s="30"/>
      <c r="P4" s="30"/>
      <c r="Q4" s="30"/>
      <c r="R4" s="30"/>
      <c r="S4" s="30"/>
      <c r="T4" s="30"/>
      <c r="U4" s="30"/>
      <c r="V4" s="30"/>
      <c r="W4" s="30"/>
      <c r="X4" s="30"/>
      <c r="Y4" s="30"/>
      <c r="Z4" s="30"/>
      <c r="AA4" s="30"/>
      <c r="AB4" s="30"/>
      <c r="AC4" s="30"/>
      <c r="AD4" s="30"/>
      <c r="AE4" s="30"/>
    </row>
    <row r="5" spans="1:31" x14ac:dyDescent="0.2">
      <c r="A5" s="29">
        <v>2016</v>
      </c>
      <c r="B5" s="30">
        <v>55268067</v>
      </c>
      <c r="C5" s="30">
        <v>7717757</v>
      </c>
      <c r="D5" s="30">
        <v>13664498</v>
      </c>
      <c r="E5" s="30">
        <v>14814734</v>
      </c>
      <c r="F5" s="30">
        <v>11702135</v>
      </c>
      <c r="G5" s="30">
        <v>4469497</v>
      </c>
      <c r="H5" s="30">
        <v>28479232</v>
      </c>
      <c r="I5" s="30">
        <v>16191474</v>
      </c>
      <c r="J5" s="30"/>
      <c r="K5" s="30"/>
      <c r="L5" s="30"/>
      <c r="M5" s="30"/>
      <c r="N5" s="30"/>
      <c r="O5" s="30"/>
      <c r="P5" s="30"/>
      <c r="Q5" s="30"/>
      <c r="R5" s="30"/>
      <c r="S5" s="30"/>
      <c r="T5" s="30"/>
      <c r="U5" s="30"/>
      <c r="V5" s="30"/>
      <c r="W5" s="30"/>
      <c r="X5" s="30"/>
      <c r="Y5" s="30"/>
      <c r="Z5" s="30"/>
      <c r="AA5" s="30"/>
      <c r="AB5" s="30"/>
      <c r="AC5" s="30"/>
      <c r="AD5" s="30"/>
      <c r="AE5" s="30"/>
    </row>
    <row r="6" spans="1:31" x14ac:dyDescent="0.2">
      <c r="A6" s="29">
        <v>2017</v>
      </c>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row>
    <row r="7" spans="1:31" x14ac:dyDescent="0.2">
      <c r="A7" s="29">
        <v>2018</v>
      </c>
      <c r="B7" s="30">
        <v>55977178</v>
      </c>
      <c r="C7" s="30">
        <v>7995686</v>
      </c>
      <c r="D7" s="30">
        <v>13609004</v>
      </c>
      <c r="E7" s="30">
        <v>14822760</v>
      </c>
      <c r="F7" s="30">
        <v>12165096</v>
      </c>
      <c r="G7" s="30">
        <v>4631860</v>
      </c>
      <c r="H7" s="30">
        <v>28431764</v>
      </c>
      <c r="I7" s="30">
        <v>16796956</v>
      </c>
      <c r="J7" s="30"/>
      <c r="K7" s="30"/>
      <c r="L7" s="30"/>
      <c r="M7" s="30"/>
      <c r="N7" s="30"/>
      <c r="O7" s="30"/>
      <c r="P7" s="30"/>
      <c r="Q7" s="30"/>
      <c r="R7" s="30"/>
      <c r="S7" s="30"/>
      <c r="T7" s="30"/>
      <c r="U7" s="30"/>
      <c r="V7" s="30"/>
      <c r="W7" s="30"/>
      <c r="X7" s="30"/>
      <c r="Y7" s="30"/>
      <c r="Z7" s="30"/>
      <c r="AA7" s="30"/>
      <c r="AB7" s="30"/>
      <c r="AC7" s="30"/>
      <c r="AD7" s="30"/>
      <c r="AE7" s="30"/>
    </row>
    <row r="8" spans="1:31" x14ac:dyDescent="0.2">
      <c r="A8" s="29">
        <v>2019</v>
      </c>
      <c r="B8" s="30">
        <v>56343072</v>
      </c>
      <c r="C8" s="30">
        <v>8132984</v>
      </c>
      <c r="D8" s="30">
        <v>16584305</v>
      </c>
      <c r="E8" s="30">
        <v>14789067</v>
      </c>
      <c r="F8" s="30">
        <v>12372183</v>
      </c>
      <c r="G8" s="30">
        <v>4774193</v>
      </c>
      <c r="H8" s="30">
        <v>28373372</v>
      </c>
      <c r="I8" s="30">
        <v>17146376</v>
      </c>
      <c r="J8" s="30"/>
      <c r="K8" s="30"/>
      <c r="L8" s="30"/>
      <c r="M8" s="30"/>
      <c r="N8" s="30"/>
      <c r="O8" s="30"/>
      <c r="P8" s="30"/>
      <c r="Q8" s="30"/>
      <c r="R8" s="30"/>
      <c r="S8" s="30"/>
      <c r="T8" s="30"/>
      <c r="U8" s="30"/>
      <c r="V8" s="30"/>
      <c r="W8" s="30"/>
      <c r="X8" s="30"/>
      <c r="Y8" s="30"/>
      <c r="Z8" s="30"/>
      <c r="AA8" s="30"/>
      <c r="AB8" s="30"/>
      <c r="AC8" s="30"/>
      <c r="AD8" s="30"/>
      <c r="AE8" s="30"/>
    </row>
    <row r="9" spans="1:31" x14ac:dyDescent="0.2">
      <c r="A9" s="29">
        <v>2020</v>
      </c>
      <c r="B9" s="27"/>
      <c r="C9" s="29"/>
      <c r="D9" s="29"/>
      <c r="E9" s="29"/>
      <c r="F9" s="29"/>
      <c r="G9" s="29"/>
      <c r="H9" s="29"/>
      <c r="I9" s="29"/>
      <c r="L9" s="29"/>
      <c r="M9" s="29"/>
      <c r="N9" s="29"/>
      <c r="O9" s="29"/>
      <c r="P9" s="29"/>
      <c r="Q9" s="29"/>
      <c r="R9" s="29"/>
      <c r="S9" s="29"/>
      <c r="T9" s="29"/>
      <c r="U9" s="29"/>
      <c r="V9" s="29"/>
      <c r="W9" s="29"/>
      <c r="X9" s="29"/>
      <c r="Y9" s="29"/>
      <c r="Z9" s="29"/>
      <c r="AA9" s="29"/>
      <c r="AB9" s="29"/>
      <c r="AC9" s="29"/>
      <c r="AD9" s="29"/>
      <c r="AE9" s="29"/>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K18" sqref="K18"/>
    </sheetView>
  </sheetViews>
  <sheetFormatPr defaultRowHeight="14.25" x14ac:dyDescent="0.2"/>
  <cols>
    <col min="1" max="1" width="18.8984375" customWidth="1"/>
    <col min="2" max="2" width="17.296875" customWidth="1"/>
    <col min="8" max="8" width="9.8984375" customWidth="1"/>
    <col min="10" max="10" width="9" style="29" customWidth="1"/>
    <col min="11" max="11" width="9.69921875" style="29" customWidth="1"/>
    <col min="12" max="12" width="14.3984375" customWidth="1"/>
    <col min="13" max="13" width="13.5" customWidth="1"/>
    <col min="14" max="14" width="13.3984375" customWidth="1"/>
    <col min="16" max="16" width="9.59765625" customWidth="1"/>
    <col min="18" max="18" width="20" customWidth="1"/>
    <col min="19" max="19" width="21" customWidth="1"/>
    <col min="20" max="20" width="24" customWidth="1"/>
    <col min="21" max="21" width="32.796875" customWidth="1"/>
    <col min="22" max="22" width="32.69921875" customWidth="1"/>
    <col min="23" max="23" width="32.296875" customWidth="1"/>
    <col min="24" max="24" width="29.5" customWidth="1"/>
    <col min="25" max="25" width="25.09765625" customWidth="1"/>
    <col min="26" max="26" width="13.8984375" customWidth="1"/>
    <col min="27" max="27" width="21.796875" customWidth="1"/>
    <col min="28" max="28" width="42" customWidth="1"/>
    <col min="29" max="29" width="39.5" customWidth="1"/>
    <col min="30" max="30" width="24.59765625" customWidth="1"/>
    <col min="31" max="31" width="21.8984375" customWidth="1"/>
  </cols>
  <sheetData>
    <row r="2" spans="1:31" x14ac:dyDescent="0.2">
      <c r="A2" t="s">
        <v>251</v>
      </c>
      <c r="B2" t="s">
        <v>164</v>
      </c>
      <c r="C2" s="126" t="s">
        <v>249</v>
      </c>
      <c r="D2" t="s">
        <v>3</v>
      </c>
      <c r="E2" t="s">
        <v>4</v>
      </c>
      <c r="F2" t="s">
        <v>5</v>
      </c>
      <c r="G2" t="s">
        <v>6</v>
      </c>
      <c r="H2" t="s">
        <v>7</v>
      </c>
      <c r="I2"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v>2014</v>
      </c>
      <c r="B3" s="27">
        <f>SUM('Bury Demographics'!B3,'Bolton Demographics'!B3,'Manchester Demographics'!B3, 'Oldham Demographics'!B3, 'Rochdale Demographics'!B3, 'Salford Demographics'!B3, 'Stockport Demographics'!B3, 'Tameside Demographics'!B3, 'Trafford Demographics'!B3, 'Wigan Demographics'!B3)</f>
        <v>2409009</v>
      </c>
      <c r="C3" s="27">
        <f>SUM('Bury Demographics'!C3,'Bolton Demographics'!C3,'Manchester Demographics'!C3, 'Oldham Demographics'!C3, 'Rochdale Demographics'!C3, 'Salford Demographics'!C3, 'Stockport Demographics'!C3, 'Tameside Demographics'!C3, 'Trafford Demographics'!C3, 'Wigan Demographics'!C3)</f>
        <v>351054</v>
      </c>
      <c r="D3" s="27">
        <f>SUM('Bury Demographics'!D3,'Bolton Demographics'!D3,'Manchester Demographics'!D3, 'Oldham Demographics'!D3, 'Rochdale Demographics'!D3, 'Salford Demographics'!D3, 'Stockport Demographics'!D3, 'Tameside Demographics'!D3, 'Trafford Demographics'!D3, 'Wigan Demographics'!D3)</f>
        <v>662071</v>
      </c>
      <c r="E3" s="27">
        <f>SUM('Bury Demographics'!E3,'Bolton Demographics'!E3,'Manchester Demographics'!E3, 'Oldham Demographics'!E3, 'Rochdale Demographics'!E3, 'Salford Demographics'!E3, 'Stockport Demographics'!E3, 'Tameside Demographics'!E3, 'Trafford Demographics'!E3, 'Wigan Demographics'!E3)</f>
        <v>640286</v>
      </c>
      <c r="F3" s="27">
        <f>SUM('Bury Demographics'!F3,'Bolton Demographics'!F3,'Manchester Demographics'!F3, 'Oldham Demographics'!F3, 'Rochdale Demographics'!F3, 'Salford Demographics'!F3, 'Stockport Demographics'!F3, 'Tameside Demographics'!F3, 'Trafford Demographics'!F3, 'Wigan Demographics'!F3)</f>
        <v>452414</v>
      </c>
      <c r="G3" s="27">
        <f>SUM('Bury Demographics'!G3,'Bolton Demographics'!G3,'Manchester Demographics'!G3, 'Oldham Demographics'!G3, 'Rochdale Demographics'!G3, 'Salford Demographics'!G3, 'Stockport Demographics'!G3, 'Tameside Demographics'!G3, 'Trafford Demographics'!G3, 'Wigan Demographics'!G3)</f>
        <v>164953</v>
      </c>
      <c r="H3" s="27">
        <f>SUM('Bury Demographics'!H3,'Bolton Demographics'!H3,'Manchester Demographics'!H3, 'Oldham Demographics'!H3, 'Rochdale Demographics'!H3, 'Salford Demographics'!H3, 'Stockport Demographics'!H3, 'Tameside Demographics'!H3, 'Trafford Demographics'!H3, 'Wigan Demographics'!H3)</f>
        <v>1302357</v>
      </c>
      <c r="I3" s="27">
        <f>SUM('Bury Demographics'!I3,'Bolton Demographics'!I3,'Manchester Demographics'!I3, 'Oldham Demographics'!I3, 'Rochdale Demographics'!I3, 'Salford Demographics'!I3, 'Stockport Demographics'!I3, 'Tameside Demographics'!I3, 'Trafford Demographics'!I3, 'Wigan Demographics'!I3)</f>
        <v>617367</v>
      </c>
      <c r="J3" s="27">
        <f>SUM('Bury Demographics'!J3,'Bolton Demographics'!J3,'Manchester Demographics'!J3, 'Oldham Demographics'!J3, 'Rochdale Demographics'!J3, 'Salford Demographics'!J3, 'Stockport Demographics'!J3, 'Tameside Demographics'!J3, 'Trafford Demographics'!J3, 'Wigan Demographics'!J3)</f>
        <v>1192137</v>
      </c>
      <c r="K3" s="27">
        <f>SUM('Bury Demographics'!K3,'Bolton Demographics'!K3,'Manchester Demographics'!K3, 'Oldham Demographics'!K3, 'Rochdale Demographics'!K3, 'Salford Demographics'!K3, 'Stockport Demographics'!K3, 'Tameside Demographics'!K3, 'Trafford Demographics'!K3, 'Wigan Demographics'!K3)</f>
        <v>1216872</v>
      </c>
    </row>
    <row r="4" spans="1:31" x14ac:dyDescent="0.2">
      <c r="A4" s="29">
        <v>2015</v>
      </c>
      <c r="B4" s="27">
        <f>SUM('Bury Demographics'!B4,'Bolton Demographics'!B4,'Manchester Demographics'!B4, 'Oldham Demographics'!B4, 'Rochdale Demographics'!B4, 'Salford Demographics'!B4, 'Stockport Demographics'!B4, 'Tameside Demographics'!B4, 'Trafford Demographics'!B4, 'Wigan Demographics'!B4)</f>
        <v>2752887</v>
      </c>
      <c r="C4" s="27">
        <f>SUM('Bury Demographics'!C4,'Bolton Demographics'!C4,'Manchester Demographics'!C4, 'Oldham Demographics'!C4, 'Rochdale Demographics'!C4, 'Salford Demographics'!C4, 'Stockport Demographics'!C4, 'Tameside Demographics'!C4, 'Trafford Demographics'!C4, 'Wigan Demographics'!C4)</f>
        <v>401459</v>
      </c>
      <c r="D4" s="27">
        <f>SUM('Bury Demographics'!D4,'Bolton Demographics'!D4,'Manchester Demographics'!D4, 'Oldham Demographics'!D4, 'Rochdale Demographics'!D4, 'Salford Demographics'!D4, 'Stockport Demographics'!D4, 'Tameside Demographics'!D4, 'Trafford Demographics'!D4, 'Wigan Demographics'!D4)</f>
        <v>741270</v>
      </c>
      <c r="E4" s="27">
        <f>SUM('Bury Demographics'!E4,'Bolton Demographics'!E4,'Manchester Demographics'!E4, 'Oldham Demographics'!E4, 'Rochdale Demographics'!E4, 'Salford Demographics'!E4, 'Stockport Demographics'!E4, 'Tameside Demographics'!E4, 'Trafford Demographics'!E4, 'Wigan Demographics'!E4)</f>
        <v>734614</v>
      </c>
      <c r="F4" s="27">
        <f>SUM('Bury Demographics'!F4,'Bolton Demographics'!F4,'Manchester Demographics'!F4, 'Oldham Demographics'!F4, 'Rochdale Demographics'!F4, 'Salford Demographics'!F4, 'Stockport Demographics'!F4, 'Tameside Demographics'!F4, 'Trafford Demographics'!F4, 'Wigan Demographics'!F4)</f>
        <v>531158</v>
      </c>
      <c r="G4" s="27">
        <f>SUM('Bury Demographics'!G4,'Bolton Demographics'!G4,'Manchester Demographics'!G4, 'Oldham Demographics'!G4, 'Rochdale Demographics'!G4, 'Salford Demographics'!G4, 'Stockport Demographics'!G4, 'Tameside Demographics'!G4, 'Trafford Demographics'!G4, 'Wigan Demographics'!G4)</f>
        <v>189550</v>
      </c>
      <c r="H4" s="27">
        <f>SUM('Bury Demographics'!H4,'Bolton Demographics'!H4,'Manchester Demographics'!H4, 'Oldham Demographics'!H4, 'Rochdale Demographics'!H4, 'Salford Demographics'!H4, 'Stockport Demographics'!H4, 'Tameside Demographics'!H4, 'Trafford Demographics'!H4, 'Wigan Demographics'!H4)</f>
        <v>1475884</v>
      </c>
      <c r="I4" s="27">
        <f>SUM('Bury Demographics'!I4,'Bolton Demographics'!I4,'Manchester Demographics'!I4, 'Oldham Demographics'!I4, 'Rochdale Demographics'!I4, 'Salford Demographics'!I4, 'Stockport Demographics'!I4, 'Tameside Demographics'!I4, 'Trafford Demographics'!I4, 'Wigan Demographics'!I4)</f>
        <v>720708</v>
      </c>
      <c r="J4" s="27">
        <f>SUM('Bury Demographics'!J4,'Bolton Demographics'!J4,'Manchester Demographics'!J4, 'Oldham Demographics'!J4, 'Rochdale Demographics'!J4, 'Salford Demographics'!J4, 'Stockport Demographics'!J4, 'Tameside Demographics'!J4, 'Trafford Demographics'!J4, 'Wigan Demographics'!J4)</f>
        <v>1364090</v>
      </c>
      <c r="K4" s="27">
        <f>SUM('Bury Demographics'!K4,'Bolton Demographics'!K4,'Manchester Demographics'!K4, 'Oldham Demographics'!K4, 'Rochdale Demographics'!K4, 'Salford Demographics'!K4, 'Stockport Demographics'!K4, 'Tameside Demographics'!K4, 'Trafford Demographics'!K4, 'Wigan Demographics'!K4)</f>
        <v>1388797</v>
      </c>
    </row>
    <row r="5" spans="1:31" x14ac:dyDescent="0.2">
      <c r="A5" s="29">
        <v>2016</v>
      </c>
      <c r="B5" s="27">
        <f>SUM('Bury Demographics'!B5,'Bolton Demographics'!B5,'Manchester Demographics'!B5, 'Oldham Demographics'!B5, 'Rochdale Demographics'!B5, 'Salford Demographics'!B5, 'Stockport Demographics'!B5, 'Tameside Demographics'!B5, 'Trafford Demographics'!B5, 'Wigan Demographics'!B5)</f>
        <v>2779562</v>
      </c>
      <c r="C5" s="27">
        <f>SUM('Bury Demographics'!C5,'Bolton Demographics'!C5,'Manchester Demographics'!C5, 'Oldham Demographics'!C5, 'Rochdale Demographics'!C5, 'Salford Demographics'!C5, 'Stockport Demographics'!C5, 'Tameside Demographics'!C5, 'Trafford Demographics'!C5, 'Wigan Demographics'!C5)</f>
        <v>408575</v>
      </c>
      <c r="D5" s="27">
        <f>SUM('Bury Demographics'!D5,'Bolton Demographics'!D5,'Manchester Demographics'!D5, 'Oldham Demographics'!D5, 'Rochdale Demographics'!D5, 'Salford Demographics'!D5, 'Stockport Demographics'!D5, 'Tameside Demographics'!D5, 'Trafford Demographics'!D5, 'Wigan Demographics'!D5)</f>
        <v>747040</v>
      </c>
      <c r="E5" s="27">
        <f>SUM('Bury Demographics'!E5,'Bolton Demographics'!E5,'Manchester Demographics'!E5, 'Oldham Demographics'!E5, 'Rochdale Demographics'!E5, 'Salford Demographics'!E5, 'Stockport Demographics'!E5, 'Tameside Demographics'!E5, 'Trafford Demographics'!E5, 'Wigan Demographics'!E5)</f>
        <v>736774</v>
      </c>
      <c r="F5" s="27">
        <f>SUM('Bury Demographics'!F5,'Bolton Demographics'!F5,'Manchester Demographics'!F5, 'Oldham Demographics'!F5, 'Rochdale Demographics'!F5, 'Salford Demographics'!F5, 'Stockport Demographics'!F5, 'Tameside Demographics'!F5, 'Trafford Demographics'!F5, 'Wigan Demographics'!F5)</f>
        <v>540028</v>
      </c>
      <c r="G5" s="27">
        <f>SUM('Bury Demographics'!G5,'Bolton Demographics'!G5,'Manchester Demographics'!G5, 'Oldham Demographics'!G5, 'Rochdale Demographics'!G5, 'Salford Demographics'!G5, 'Stockport Demographics'!G5, 'Tameside Demographics'!G5, 'Trafford Demographics'!G5, 'Wigan Demographics'!G5)</f>
        <v>191273</v>
      </c>
      <c r="H5" s="27">
        <f>SUM('Bury Demographics'!H5,'Bolton Demographics'!H5,'Manchester Demographics'!H5, 'Oldham Demographics'!H5, 'Rochdale Demographics'!H5, 'Salford Demographics'!H5, 'Stockport Demographics'!H5, 'Tameside Demographics'!H5, 'Trafford Demographics'!H5, 'Wigan Demographics'!H5)</f>
        <v>1483814</v>
      </c>
      <c r="I5" s="27">
        <f>SUM('Bury Demographics'!I5,'Bolton Demographics'!I5,'Manchester Demographics'!I5, 'Oldham Demographics'!I5, 'Rochdale Demographics'!I5, 'Salford Demographics'!I5, 'Stockport Demographics'!I5, 'Tameside Demographics'!I5, 'Trafford Demographics'!I5, 'Wigan Demographics'!I5)</f>
        <v>731301</v>
      </c>
      <c r="J5" s="27">
        <f>SUM('Bury Demographics'!J5,'Bolton Demographics'!J5,'Manchester Demographics'!J5, 'Oldham Demographics'!J5, 'Rochdale Demographics'!J5, 'Salford Demographics'!J5, 'Stockport Demographics'!J5, 'Tameside Demographics'!J5, 'Trafford Demographics'!J5, 'Wigan Demographics'!J5)</f>
        <v>1378905</v>
      </c>
      <c r="K5" s="27">
        <f>SUM('Bury Demographics'!K5,'Bolton Demographics'!K5,'Manchester Demographics'!K5, 'Oldham Demographics'!K5, 'Rochdale Demographics'!K5, 'Salford Demographics'!K5, 'Stockport Demographics'!K5, 'Tameside Demographics'!K5, 'Trafford Demographics'!K5, 'Wigan Demographics'!K5)</f>
        <v>1400657</v>
      </c>
    </row>
    <row r="6" spans="1:31" x14ac:dyDescent="0.2">
      <c r="A6" s="29">
        <v>2017</v>
      </c>
      <c r="B6" s="27">
        <f>SUM('Bury Demographics'!B6,'Bolton Demographics'!B6,'Manchester Demographics'!B6, 'Oldham Demographics'!B6, 'Rochdale Demographics'!B6, 'Salford Demographics'!B6, 'Stockport Demographics'!B6, 'Tameside Demographics'!B6, 'Trafford Demographics'!B6, 'Wigan Demographics'!B6)</f>
        <v>2797675</v>
      </c>
      <c r="C6" s="27">
        <f>SUM('Bury Demographics'!C6,'Bolton Demographics'!C6,'Manchester Demographics'!C6, 'Oldham Demographics'!C6, 'Rochdale Demographics'!C6, 'Salford Demographics'!C6, 'Stockport Demographics'!C6, 'Tameside Demographics'!C6, 'Trafford Demographics'!C6, 'Wigan Demographics'!C6)</f>
        <v>416464</v>
      </c>
      <c r="D6" s="27">
        <f>SUM('Bury Demographics'!D6,'Bolton Demographics'!D6,'Manchester Demographics'!D6, 'Oldham Demographics'!D6, 'Rochdale Demographics'!D6, 'Salford Demographics'!D6, 'Stockport Demographics'!D6, 'Tameside Demographics'!D6, 'Trafford Demographics'!D6, 'Wigan Demographics'!D6)</f>
        <v>747154</v>
      </c>
      <c r="E6" s="27">
        <f>SUM('Bury Demographics'!E6,'Bolton Demographics'!E6,'Manchester Demographics'!E6, 'Oldham Demographics'!E6, 'Rochdale Demographics'!E6, 'Salford Demographics'!E6, 'Stockport Demographics'!E6, 'Tameside Demographics'!E6, 'Trafford Demographics'!E6, 'Wigan Demographics'!E6)</f>
        <v>736719</v>
      </c>
      <c r="F6" s="27">
        <f>SUM('Bury Demographics'!F6,'Bolton Demographics'!F6,'Manchester Demographics'!F6, 'Oldham Demographics'!F6, 'Rochdale Demographics'!F6, 'Salford Demographics'!F6, 'Stockport Demographics'!F6, 'Tameside Demographics'!F6, 'Trafford Demographics'!F6, 'Wigan Demographics'!F6)</f>
        <v>549003</v>
      </c>
      <c r="G6" s="27">
        <f>SUM('Bury Demographics'!G6,'Bolton Demographics'!G6,'Manchester Demographics'!G6, 'Oldham Demographics'!G6, 'Rochdale Demographics'!G6, 'Salford Demographics'!G6, 'Stockport Demographics'!G6, 'Tameside Demographics'!G6, 'Trafford Demographics'!G6, 'Wigan Demographics'!G6)</f>
        <v>193374</v>
      </c>
      <c r="H6" s="27">
        <f>SUM('Bury Demographics'!H6,'Bolton Demographics'!H6,'Manchester Demographics'!H6, 'Oldham Demographics'!H6, 'Rochdale Demographics'!H6, 'Salford Demographics'!H6, 'Stockport Demographics'!H6, 'Tameside Demographics'!H6, 'Trafford Demographics'!H6, 'Wigan Demographics'!H6)</f>
        <v>1483873</v>
      </c>
      <c r="I6" s="27">
        <f>SUM('Bury Demographics'!I6,'Bolton Demographics'!I6,'Manchester Demographics'!I6, 'Oldham Demographics'!I6, 'Rochdale Demographics'!I6, 'Salford Demographics'!I6, 'Stockport Demographics'!I6, 'Tameside Demographics'!I6, 'Trafford Demographics'!I6, 'Wigan Demographics'!I6)</f>
        <v>742377</v>
      </c>
      <c r="J6" s="27">
        <f>SUM('Bury Demographics'!J6,'Bolton Demographics'!J6,'Manchester Demographics'!J6, 'Oldham Demographics'!J6, 'Rochdale Demographics'!J6, 'Salford Demographics'!J6, 'Stockport Demographics'!J6, 'Tameside Demographics'!J6, 'Trafford Demographics'!J6, 'Wigan Demographics'!J6)</f>
        <v>1389007</v>
      </c>
      <c r="K6" s="27">
        <f>SUM('Bury Demographics'!K6,'Bolton Demographics'!K6,'Manchester Demographics'!K6, 'Oldham Demographics'!K6, 'Rochdale Demographics'!K6, 'Salford Demographics'!K6, 'Stockport Demographics'!K6, 'Tameside Demographics'!K6, 'Trafford Demographics'!K6, 'Wigan Demographics'!K6)</f>
        <v>1408668</v>
      </c>
    </row>
    <row r="7" spans="1:31" x14ac:dyDescent="0.2">
      <c r="A7" s="29">
        <v>2018</v>
      </c>
      <c r="B7" s="27">
        <f>SUM('Bury Demographics'!B7,'Bolton Demographics'!B7,'Manchester Demographics'!B7, 'Oldham Demographics'!B7, 'Rochdale Demographics'!B7, 'Salford Demographics'!B7, 'Stockport Demographics'!B7, 'Tameside Demographics'!B7, 'Trafford Demographics'!B7, 'Wigan Demographics'!B7)</f>
        <v>2811131</v>
      </c>
      <c r="C7" s="27">
        <f>SUM('Bury Demographics'!C7,'Bolton Demographics'!C7,'Manchester Demographics'!C7, 'Oldham Demographics'!C7, 'Rochdale Demographics'!C7, 'Salford Demographics'!C7, 'Stockport Demographics'!C7, 'Tameside Demographics'!C7, 'Trafford Demographics'!C7, 'Wigan Demographics'!C7)</f>
        <v>423857</v>
      </c>
      <c r="D7" s="27">
        <f>SUM('Bury Demographics'!D7,'Bolton Demographics'!D7,'Manchester Demographics'!D7, 'Oldham Demographics'!D7, 'Rochdale Demographics'!D7, 'Salford Demographics'!D7, 'Stockport Demographics'!D7, 'Tameside Demographics'!D7, 'Trafford Demographics'!D7, 'Wigan Demographics'!D7)</f>
        <v>745831</v>
      </c>
      <c r="E7" s="27">
        <f>SUM('Bury Demographics'!E7,'Bolton Demographics'!E7,'Manchester Demographics'!E7, 'Oldham Demographics'!E7, 'Rochdale Demographics'!E7, 'Salford Demographics'!E7, 'Stockport Demographics'!E7, 'Tameside Demographics'!E7, 'Trafford Demographics'!E7, 'Wigan Demographics'!E7)</f>
        <v>736397</v>
      </c>
      <c r="F7" s="27">
        <f>SUM('Bury Demographics'!F7,'Bolton Demographics'!F7,'Manchester Demographics'!F7, 'Oldham Demographics'!F7, 'Rochdale Demographics'!F7, 'Salford Demographics'!F7, 'Stockport Demographics'!F7, 'Tameside Demographics'!F7, 'Trafford Demographics'!F7, 'Wigan Demographics'!F7)</f>
        <v>556077</v>
      </c>
      <c r="G7" s="27">
        <f>SUM('Bury Demographics'!G7,'Bolton Demographics'!G7,'Manchester Demographics'!G7, 'Oldham Demographics'!G7, 'Rochdale Demographics'!G7, 'Salford Demographics'!G7, 'Stockport Demographics'!G7, 'Tameside Demographics'!G7, 'Trafford Demographics'!G7, 'Wigan Demographics'!G7)</f>
        <v>196465</v>
      </c>
      <c r="H7" s="27">
        <f>SUM('Bury Demographics'!H7,'Bolton Demographics'!H7,'Manchester Demographics'!H7, 'Oldham Demographics'!H7, 'Rochdale Demographics'!H7, 'Salford Demographics'!H7, 'Stockport Demographics'!H7, 'Tameside Demographics'!H7, 'Trafford Demographics'!H7, 'Wigan Demographics'!H7)</f>
        <v>1482228</v>
      </c>
      <c r="I7" s="27">
        <f>SUM('Bury Demographics'!I7,'Bolton Demographics'!I7,'Manchester Demographics'!I7, 'Oldham Demographics'!I7, 'Rochdale Demographics'!I7, 'Salford Demographics'!I7, 'Stockport Demographics'!I7, 'Tameside Demographics'!I7, 'Trafford Demographics'!I7, 'Wigan Demographics'!I7)</f>
        <v>752542</v>
      </c>
      <c r="J7" s="27">
        <f>SUM('Bury Demographics'!J7,'Bolton Demographics'!J7,'Manchester Demographics'!J7, 'Oldham Demographics'!J7, 'Rochdale Demographics'!J7, 'Salford Demographics'!J7, 'Stockport Demographics'!J7, 'Tameside Demographics'!J7, 'Trafford Demographics'!J7, 'Wigan Demographics'!J7)</f>
        <v>1396552</v>
      </c>
      <c r="K7" s="27">
        <f>SUM('Bury Demographics'!K7,'Bolton Demographics'!K7,'Manchester Demographics'!K7, 'Oldham Demographics'!K7, 'Rochdale Demographics'!K7, 'Salford Demographics'!K7, 'Stockport Demographics'!K7, 'Tameside Demographics'!K7, 'Trafford Demographics'!K7, 'Wigan Demographics'!K7)</f>
        <v>1414579</v>
      </c>
    </row>
    <row r="8" spans="1:31" x14ac:dyDescent="0.2">
      <c r="A8" s="29">
        <v>2019</v>
      </c>
      <c r="B8" s="27">
        <f>SUM('Bury Demographics'!B8,'Bolton Demographics'!B8,'Manchester Demographics'!B8, 'Oldham Demographics'!B8, 'Rochdale Demographics'!B8, 'Salford Demographics'!B8, 'Stockport Demographics'!B8, 'Tameside Demographics'!B8, 'Trafford Demographics'!B8, 'Wigan Demographics'!B8)</f>
        <v>2833112</v>
      </c>
      <c r="C8" s="27">
        <f>SUM('Bury Demographics'!C8,'Bolton Demographics'!C8,'Manchester Demographics'!C8, 'Oldham Demographics'!C8, 'Rochdale Demographics'!C8, 'Salford Demographics'!C8, 'Stockport Demographics'!C8, 'Tameside Demographics'!C8, 'Trafford Demographics'!C8, 'Wigan Demographics'!C8)</f>
        <v>430913</v>
      </c>
      <c r="D8" s="27">
        <f>SUM('Bury Demographics'!D8,'Bolton Demographics'!D8,'Manchester Demographics'!D8, 'Oldham Demographics'!D8, 'Rochdale Demographics'!D8, 'Salford Demographics'!D8, 'Stockport Demographics'!D8, 'Tameside Demographics'!D8, 'Trafford Demographics'!D8, 'Wigan Demographics'!D8)</f>
        <v>751045</v>
      </c>
      <c r="E8" s="27">
        <f>SUM('Bury Demographics'!E8,'Bolton Demographics'!E8,'Manchester Demographics'!E8, 'Oldham Demographics'!E8, 'Rochdale Demographics'!E8, 'Salford Demographics'!E8, 'Stockport Demographics'!E8, 'Tameside Demographics'!E8, 'Trafford Demographics'!E8, 'Wigan Demographics'!E8)</f>
        <v>736346</v>
      </c>
      <c r="F8" s="27">
        <f>SUM('Bury Demographics'!F8,'Bolton Demographics'!F8,'Manchester Demographics'!F8, 'Oldham Demographics'!F8, 'Rochdale Demographics'!F8, 'Salford Demographics'!F8, 'Stockport Demographics'!F8, 'Tameside Demographics'!F8, 'Trafford Demographics'!F8, 'Wigan Demographics'!F8)</f>
        <v>563238</v>
      </c>
      <c r="G8" s="27">
        <f>SUM('Bury Demographics'!G8,'Bolton Demographics'!G8,'Manchester Demographics'!G8, 'Oldham Demographics'!G8, 'Rochdale Demographics'!G8, 'Salford Demographics'!G8, 'Stockport Demographics'!G8, 'Tameside Demographics'!G8, 'Trafford Demographics'!G8, 'Wigan Demographics'!G8)</f>
        <v>201280</v>
      </c>
      <c r="H8" s="27">
        <f>SUM('Bury Demographics'!H8,'Bolton Demographics'!H8,'Manchester Demographics'!H8, 'Oldham Demographics'!H8, 'Rochdale Demographics'!H8, 'Salford Demographics'!H8, 'Stockport Demographics'!H8, 'Tameside Demographics'!H8, 'Trafford Demographics'!H8, 'Wigan Demographics'!H8)</f>
        <v>1487391</v>
      </c>
      <c r="I8" s="27">
        <f>SUM('Bury Demographics'!I8,'Bolton Demographics'!I8,'Manchester Demographics'!I8, 'Oldham Demographics'!I8, 'Rochdale Demographics'!I8, 'Salford Demographics'!I8, 'Stockport Demographics'!I8, 'Tameside Demographics'!I8, 'Trafford Demographics'!I8, 'Wigan Demographics'!I8)</f>
        <v>764518</v>
      </c>
      <c r="J8" s="27">
        <f>SUM('Bury Demographics'!J8,'Bolton Demographics'!J8,'Manchester Demographics'!J8, 'Oldham Demographics'!J8, 'Rochdale Demographics'!J8, 'Salford Demographics'!J8, 'Stockport Demographics'!J8, 'Tameside Demographics'!J8, 'Trafford Demographics'!J8, 'Wigan Demographics'!J8)</f>
        <v>1408832</v>
      </c>
      <c r="K8" s="27">
        <f>SUM('Bury Demographics'!K8,'Bolton Demographics'!K8,'Manchester Demographics'!K8, 'Oldham Demographics'!K8, 'Rochdale Demographics'!K8, 'Salford Demographics'!K8, 'Stockport Demographics'!K8, 'Tameside Demographics'!K8, 'Trafford Demographics'!K8, 'Wigan Demographics'!K8)</f>
        <v>1424280</v>
      </c>
    </row>
    <row r="9" spans="1:31" x14ac:dyDescent="0.2">
      <c r="A9" s="29">
        <v>2020</v>
      </c>
      <c r="B9" s="27"/>
      <c r="J9" s="27"/>
      <c r="K9" s="27"/>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12"/>
  <sheetViews>
    <sheetView workbookViewId="0">
      <selection activeCell="L15" sqref="L15"/>
    </sheetView>
  </sheetViews>
  <sheetFormatPr defaultColWidth="8.69921875" defaultRowHeight="14.25" x14ac:dyDescent="0.2"/>
  <cols>
    <col min="1" max="1" width="18.8984375" style="29" customWidth="1"/>
    <col min="2" max="2" width="17.296875" style="29" customWidth="1"/>
    <col min="3" max="11" width="8.69921875" style="29"/>
    <col min="12" max="12" width="14.3984375" style="29" customWidth="1"/>
    <col min="13" max="13" width="13.5" style="29" customWidth="1"/>
    <col min="14" max="14" width="13.3984375" style="29" customWidth="1"/>
    <col min="15" max="15" width="8.69921875" style="29"/>
    <col min="16" max="16" width="9.59765625" style="29" customWidth="1"/>
    <col min="17" max="17" width="8.69921875" style="29"/>
    <col min="18" max="18" width="20" style="29" customWidth="1"/>
    <col min="19" max="19" width="21" style="29" customWidth="1"/>
    <col min="20" max="20" width="24" style="29" customWidth="1"/>
    <col min="21" max="21" width="32.796875" style="29" customWidth="1"/>
    <col min="22" max="22" width="32.69921875" style="29" customWidth="1"/>
    <col min="23" max="23" width="32.296875" style="29" customWidth="1"/>
    <col min="24" max="24" width="29.5" style="29" customWidth="1"/>
    <col min="25" max="25" width="25.09765625" style="29" customWidth="1"/>
    <col min="26" max="26" width="13.8984375" style="29" customWidth="1"/>
    <col min="27" max="27" width="21.796875" style="29" customWidth="1"/>
    <col min="28" max="28" width="42" style="29" customWidth="1"/>
    <col min="29" max="29" width="39.5" style="29" customWidth="1"/>
    <col min="30" max="30" width="24.59765625" style="29" customWidth="1"/>
    <col min="31" max="31" width="21.8984375" style="29" customWidth="1"/>
    <col min="32"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2014</v>
      </c>
      <c r="B3" s="30">
        <v>280788</v>
      </c>
      <c r="C3" s="29">
        <v>42441</v>
      </c>
      <c r="D3" s="29">
        <v>68790</v>
      </c>
      <c r="E3" s="29">
        <v>75812</v>
      </c>
      <c r="F3" s="29">
        <v>57849</v>
      </c>
      <c r="G3" s="29">
        <v>20025</v>
      </c>
      <c r="H3" s="29">
        <v>144602</v>
      </c>
      <c r="I3" s="29">
        <v>77874</v>
      </c>
      <c r="J3" s="30">
        <v>138897</v>
      </c>
      <c r="K3" s="30">
        <v>141891</v>
      </c>
    </row>
    <row r="4" spans="1:31" x14ac:dyDescent="0.2">
      <c r="A4" s="29">
        <v>2015</v>
      </c>
      <c r="B4" s="30">
        <v>281828</v>
      </c>
      <c r="C4" s="29">
        <v>42995</v>
      </c>
      <c r="D4" s="29">
        <v>68465</v>
      </c>
      <c r="E4" s="29">
        <v>75862</v>
      </c>
      <c r="F4" s="29">
        <v>58437</v>
      </c>
      <c r="G4" s="29">
        <v>20233</v>
      </c>
      <c r="H4" s="29">
        <v>144327</v>
      </c>
      <c r="I4" s="29">
        <v>78670</v>
      </c>
      <c r="J4" s="30">
        <v>139426</v>
      </c>
      <c r="K4" s="30">
        <v>142402</v>
      </c>
    </row>
    <row r="5" spans="1:31" x14ac:dyDescent="0.2">
      <c r="A5" s="29">
        <v>2016</v>
      </c>
      <c r="B5" s="30">
        <v>283536</v>
      </c>
      <c r="C5" s="29">
        <v>43527</v>
      </c>
      <c r="D5" s="29">
        <v>68784</v>
      </c>
      <c r="E5" s="29">
        <v>75491</v>
      </c>
      <c r="F5" s="29">
        <v>59191</v>
      </c>
      <c r="G5" s="29">
        <v>20505</v>
      </c>
      <c r="H5" s="29">
        <v>144275</v>
      </c>
      <c r="I5" s="29">
        <v>79696</v>
      </c>
      <c r="J5" s="30">
        <v>140440</v>
      </c>
      <c r="K5" s="30">
        <v>143096</v>
      </c>
    </row>
    <row r="6" spans="1:31" x14ac:dyDescent="0.2">
      <c r="A6" s="29">
        <v>2017</v>
      </c>
      <c r="B6" s="30">
        <v>284813</v>
      </c>
      <c r="C6" s="29">
        <v>44450</v>
      </c>
      <c r="D6" s="29">
        <v>68124</v>
      </c>
      <c r="E6" s="29">
        <v>75332</v>
      </c>
      <c r="F6" s="29">
        <v>60027</v>
      </c>
      <c r="G6" s="29">
        <v>20814</v>
      </c>
      <c r="H6" s="29">
        <v>143456</v>
      </c>
      <c r="I6" s="29">
        <v>80841</v>
      </c>
      <c r="J6" s="30">
        <v>141208</v>
      </c>
      <c r="K6" s="30">
        <v>143605</v>
      </c>
    </row>
    <row r="7" spans="1:31" x14ac:dyDescent="0.2">
      <c r="A7" s="29">
        <v>2018</v>
      </c>
      <c r="B7" s="30">
        <v>285372</v>
      </c>
      <c r="C7" s="29">
        <v>44966</v>
      </c>
      <c r="D7" s="29">
        <v>67809</v>
      </c>
      <c r="E7" s="29">
        <v>74785</v>
      </c>
      <c r="F7" s="29">
        <v>60467</v>
      </c>
      <c r="G7" s="29">
        <v>21400</v>
      </c>
      <c r="H7" s="29">
        <v>142594</v>
      </c>
      <c r="I7" s="29">
        <v>81867</v>
      </c>
      <c r="J7" s="30">
        <v>141579</v>
      </c>
      <c r="K7" s="30">
        <v>143793</v>
      </c>
    </row>
    <row r="8" spans="1:31" x14ac:dyDescent="0.2">
      <c r="A8" s="29">
        <v>2019</v>
      </c>
      <c r="B8" s="30">
        <v>287550</v>
      </c>
      <c r="C8" s="29">
        <v>45850</v>
      </c>
      <c r="D8" s="29">
        <v>67845</v>
      </c>
      <c r="E8" s="29">
        <v>74690</v>
      </c>
      <c r="F8" s="29">
        <v>61209</v>
      </c>
      <c r="G8" s="29">
        <v>22119</v>
      </c>
      <c r="H8" s="29">
        <v>142535</v>
      </c>
      <c r="I8" s="29">
        <v>83328</v>
      </c>
      <c r="J8" s="30">
        <v>142817</v>
      </c>
      <c r="K8" s="30">
        <v>144733</v>
      </c>
    </row>
    <row r="9" spans="1:31" x14ac:dyDescent="0.2">
      <c r="A9" s="29">
        <v>2020</v>
      </c>
    </row>
    <row r="12" spans="1:31" x14ac:dyDescent="0.2">
      <c r="B12" s="29" t="s">
        <v>252</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K9"/>
    </sheetView>
  </sheetViews>
  <sheetFormatPr defaultColWidth="8.69921875" defaultRowHeight="14.25" x14ac:dyDescent="0.2"/>
  <cols>
    <col min="1" max="1" width="18.8984375" style="29" customWidth="1"/>
    <col min="2" max="2" width="17.296875" style="29" customWidth="1"/>
    <col min="3" max="11" width="8.69921875" style="29"/>
    <col min="12" max="12" width="14.3984375" style="29" customWidth="1"/>
    <col min="13" max="13" width="13.5" style="29" customWidth="1"/>
    <col min="14" max="14" width="13.3984375" style="29" customWidth="1"/>
    <col min="15" max="15" width="8.69921875" style="29"/>
    <col min="16" max="16" width="9.59765625" style="29" customWidth="1"/>
    <col min="17" max="17" width="8.69921875" style="29"/>
    <col min="18" max="18" width="20" style="29" customWidth="1"/>
    <col min="19" max="19" width="21" style="29" customWidth="1"/>
    <col min="20" max="20" width="24" style="29" customWidth="1"/>
    <col min="21" max="21" width="32.796875" style="29" customWidth="1"/>
    <col min="22" max="22" width="32.69921875" style="29" customWidth="1"/>
    <col min="23" max="23" width="32.296875" style="29" customWidth="1"/>
    <col min="24" max="24" width="29.5" style="29" customWidth="1"/>
    <col min="25" max="25" width="25.09765625" style="29" customWidth="1"/>
    <col min="26" max="26" width="13.8984375" style="29" customWidth="1"/>
    <col min="27" max="27" width="21.796875" style="29" customWidth="1"/>
    <col min="28" max="28" width="42" style="29" customWidth="1"/>
    <col min="29" max="29" width="39.5" style="29" customWidth="1"/>
    <col min="30" max="30" width="24.59765625" style="29" customWidth="1"/>
    <col min="31" max="31" width="21.8984375" style="29" customWidth="1"/>
    <col min="32"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2014</v>
      </c>
      <c r="B3" s="30">
        <v>187287</v>
      </c>
      <c r="C3" s="30">
        <v>27709</v>
      </c>
      <c r="D3" s="30">
        <v>42947</v>
      </c>
      <c r="E3" s="30">
        <v>52196</v>
      </c>
      <c r="F3" s="30">
        <v>40016</v>
      </c>
      <c r="G3" s="30">
        <v>14277</v>
      </c>
      <c r="H3" s="30">
        <v>95143</v>
      </c>
      <c r="I3" s="30">
        <v>54293</v>
      </c>
      <c r="J3" s="30">
        <v>91583</v>
      </c>
      <c r="K3" s="30">
        <v>95704</v>
      </c>
    </row>
    <row r="4" spans="1:31" x14ac:dyDescent="0.2">
      <c r="A4" s="29">
        <v>2015</v>
      </c>
      <c r="B4" s="30">
        <v>187788</v>
      </c>
      <c r="C4" s="30">
        <v>27863</v>
      </c>
      <c r="D4" s="30">
        <v>42897</v>
      </c>
      <c r="E4" s="30">
        <v>51830</v>
      </c>
      <c r="F4" s="30">
        <v>40550</v>
      </c>
      <c r="G4" s="30">
        <v>14490</v>
      </c>
      <c r="H4" s="30">
        <v>94727</v>
      </c>
      <c r="I4" s="30">
        <v>55040</v>
      </c>
      <c r="J4" s="30">
        <v>91892</v>
      </c>
      <c r="K4" s="30">
        <v>95896</v>
      </c>
    </row>
    <row r="5" spans="1:31" x14ac:dyDescent="0.2">
      <c r="A5" s="29">
        <v>2016</v>
      </c>
      <c r="B5" s="30">
        <v>188503</v>
      </c>
      <c r="C5" s="30">
        <v>28221</v>
      </c>
      <c r="D5" s="30">
        <v>42834</v>
      </c>
      <c r="E5" s="30">
        <v>51617</v>
      </c>
      <c r="F5" s="30">
        <v>41109</v>
      </c>
      <c r="G5" s="30">
        <v>14587</v>
      </c>
      <c r="H5" s="30">
        <v>94451</v>
      </c>
      <c r="I5" s="30">
        <v>55696</v>
      </c>
      <c r="J5" s="30">
        <v>92399</v>
      </c>
      <c r="K5" s="30">
        <v>96104</v>
      </c>
    </row>
    <row r="6" spans="1:31" x14ac:dyDescent="0.2">
      <c r="A6" s="29">
        <v>2017</v>
      </c>
      <c r="B6" s="30">
        <v>189628</v>
      </c>
      <c r="C6" s="30">
        <v>28824</v>
      </c>
      <c r="D6" s="30">
        <v>42940</v>
      </c>
      <c r="E6" s="30">
        <v>51387</v>
      </c>
      <c r="F6" s="30">
        <v>41674</v>
      </c>
      <c r="G6" s="30">
        <v>14854</v>
      </c>
      <c r="H6" s="30">
        <v>94327</v>
      </c>
      <c r="I6" s="30">
        <v>56528</v>
      </c>
      <c r="J6" s="30">
        <v>92943</v>
      </c>
      <c r="K6" s="30">
        <v>96685</v>
      </c>
    </row>
    <row r="7" spans="1:31" x14ac:dyDescent="0.2">
      <c r="A7" s="29">
        <v>2018</v>
      </c>
      <c r="B7" s="30">
        <v>190108</v>
      </c>
      <c r="C7" s="30">
        <v>29175</v>
      </c>
      <c r="D7" s="30">
        <v>43000</v>
      </c>
      <c r="E7" s="30">
        <v>50896</v>
      </c>
      <c r="F7" s="30">
        <v>42189</v>
      </c>
      <c r="G7" s="30">
        <v>15198</v>
      </c>
      <c r="H7" s="30">
        <v>93896</v>
      </c>
      <c r="I7" s="30">
        <v>57387</v>
      </c>
      <c r="J7" s="30">
        <v>93204</v>
      </c>
      <c r="K7" s="30">
        <v>96904</v>
      </c>
    </row>
    <row r="8" spans="1:31" x14ac:dyDescent="0.2">
      <c r="A8" s="29">
        <v>2019</v>
      </c>
      <c r="B8" s="30">
        <v>190990</v>
      </c>
      <c r="C8" s="30">
        <v>29434</v>
      </c>
      <c r="D8" s="30">
        <v>43339</v>
      </c>
      <c r="E8" s="30">
        <v>50527</v>
      </c>
      <c r="F8" s="30">
        <v>42463</v>
      </c>
      <c r="G8" s="30">
        <v>15773</v>
      </c>
      <c r="H8" s="30">
        <v>93866</v>
      </c>
      <c r="I8" s="30">
        <v>58236</v>
      </c>
      <c r="J8" s="30">
        <v>93732</v>
      </c>
      <c r="K8" s="30">
        <v>97258</v>
      </c>
    </row>
    <row r="9" spans="1:31" x14ac:dyDescent="0.2">
      <c r="A9" s="29">
        <v>2020</v>
      </c>
      <c r="B9" s="30"/>
      <c r="C9" s="30"/>
      <c r="D9" s="30"/>
      <c r="E9" s="30"/>
      <c r="F9" s="30"/>
      <c r="G9" s="30"/>
      <c r="H9" s="30"/>
      <c r="I9" s="30"/>
      <c r="J9" s="30"/>
      <c r="K9" s="30"/>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69921875" defaultRowHeight="14.25" x14ac:dyDescent="0.2"/>
  <cols>
    <col min="1" max="1" width="18.8984375" style="29" customWidth="1"/>
    <col min="2" max="2" width="17.296875" style="29" customWidth="1"/>
    <col min="3" max="11" width="8.69921875" style="29"/>
    <col min="12" max="12" width="14.3984375" style="29" customWidth="1"/>
    <col min="13" max="13" width="13.5" style="29" customWidth="1"/>
    <col min="14" max="14" width="13.3984375" style="29" customWidth="1"/>
    <col min="15" max="15" width="8.69921875" style="29"/>
    <col min="16" max="16" width="9.59765625" style="29" customWidth="1"/>
    <col min="17" max="17" width="8.69921875" style="29"/>
    <col min="18" max="18" width="20" style="29" customWidth="1"/>
    <col min="19" max="19" width="21" style="29" customWidth="1"/>
    <col min="20" max="20" width="24" style="29" customWidth="1"/>
    <col min="21" max="21" width="32.796875" style="29" customWidth="1"/>
    <col min="22" max="22" width="32.69921875" style="29" customWidth="1"/>
    <col min="23" max="23" width="32.296875" style="29" customWidth="1"/>
    <col min="24" max="24" width="29.5" style="29" customWidth="1"/>
    <col min="25" max="25" width="25.09765625" style="29" customWidth="1"/>
    <col min="26" max="26" width="13.8984375" style="29" customWidth="1"/>
    <col min="27" max="27" width="21.796875" style="29" customWidth="1"/>
    <col min="28" max="28" width="42" style="29" customWidth="1"/>
    <col min="29" max="29" width="39.5" style="29" customWidth="1"/>
    <col min="30" max="30" width="24.59765625" style="29" customWidth="1"/>
    <col min="31" max="31" width="21.8984375" style="29" customWidth="1"/>
    <col min="32"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2014</v>
      </c>
      <c r="B3" s="30">
        <v>518834</v>
      </c>
      <c r="C3" s="30">
        <v>70793</v>
      </c>
      <c r="D3" s="30">
        <v>203385</v>
      </c>
      <c r="E3" s="30">
        <v>123388</v>
      </c>
      <c r="F3" s="30">
        <v>65689</v>
      </c>
      <c r="G3" s="30">
        <v>22745</v>
      </c>
      <c r="H3" s="30">
        <v>326773</v>
      </c>
      <c r="I3" s="30">
        <v>88434</v>
      </c>
      <c r="J3" s="30">
        <v>261614</v>
      </c>
      <c r="K3" s="30">
        <v>257220</v>
      </c>
      <c r="L3" s="30"/>
      <c r="M3" s="30"/>
      <c r="N3" s="30"/>
      <c r="O3" s="30"/>
      <c r="P3" s="30"/>
      <c r="Q3" s="30"/>
      <c r="R3" s="30"/>
      <c r="S3" s="30"/>
      <c r="T3" s="30"/>
      <c r="U3" s="30"/>
      <c r="V3" s="30"/>
      <c r="W3" s="30"/>
      <c r="X3" s="30"/>
      <c r="Y3" s="30"/>
      <c r="Z3" s="30"/>
      <c r="AA3" s="30"/>
      <c r="AB3" s="30"/>
      <c r="AC3" s="30"/>
      <c r="AD3" s="30"/>
      <c r="AE3" s="30"/>
    </row>
    <row r="4" spans="1:31" x14ac:dyDescent="0.2">
      <c r="A4" s="29">
        <v>2015</v>
      </c>
      <c r="B4" s="30">
        <v>529809</v>
      </c>
      <c r="C4" s="30">
        <v>72947</v>
      </c>
      <c r="D4" s="30">
        <v>208083</v>
      </c>
      <c r="E4" s="30">
        <v>125809</v>
      </c>
      <c r="F4" s="30">
        <v>67104</v>
      </c>
      <c r="G4" s="30">
        <v>22617</v>
      </c>
      <c r="H4" s="30">
        <v>333892</v>
      </c>
      <c r="I4" s="30">
        <v>89721</v>
      </c>
      <c r="J4" s="30">
        <v>267438</v>
      </c>
      <c r="K4" s="30">
        <v>262371</v>
      </c>
      <c r="L4" s="30"/>
      <c r="M4" s="30"/>
      <c r="N4" s="30"/>
      <c r="O4" s="30"/>
      <c r="P4" s="30"/>
      <c r="Q4" s="30"/>
      <c r="R4" s="30"/>
      <c r="S4" s="30"/>
      <c r="T4" s="30"/>
      <c r="U4" s="30"/>
      <c r="V4" s="30"/>
      <c r="W4" s="30"/>
      <c r="X4" s="30"/>
      <c r="Y4" s="30"/>
      <c r="Z4" s="30"/>
      <c r="AA4" s="30"/>
      <c r="AB4" s="30"/>
      <c r="AC4" s="30"/>
      <c r="AD4" s="30"/>
      <c r="AE4" s="30"/>
    </row>
    <row r="5" spans="1:31" x14ac:dyDescent="0.2">
      <c r="A5" s="29">
        <v>2016</v>
      </c>
      <c r="B5" s="30">
        <v>541319</v>
      </c>
      <c r="C5" s="30">
        <v>75012</v>
      </c>
      <c r="D5" s="30">
        <v>213346</v>
      </c>
      <c r="E5" s="30">
        <v>127991</v>
      </c>
      <c r="F5" s="30">
        <v>68541</v>
      </c>
      <c r="G5" s="30">
        <v>22664</v>
      </c>
      <c r="H5" s="30">
        <v>341337</v>
      </c>
      <c r="I5" s="30">
        <v>91205</v>
      </c>
      <c r="J5" s="30">
        <v>274020</v>
      </c>
      <c r="K5" s="30">
        <v>267299</v>
      </c>
      <c r="L5" s="30"/>
      <c r="M5" s="30"/>
      <c r="N5" s="30"/>
      <c r="O5" s="30"/>
      <c r="P5" s="30"/>
      <c r="Q5" s="30"/>
      <c r="R5" s="30"/>
      <c r="S5" s="30"/>
      <c r="T5" s="30"/>
      <c r="U5" s="30"/>
      <c r="V5" s="30"/>
      <c r="W5" s="30"/>
      <c r="X5" s="30"/>
      <c r="Y5" s="30"/>
      <c r="Z5" s="30"/>
      <c r="AA5" s="30"/>
      <c r="AB5" s="30"/>
      <c r="AC5" s="30"/>
      <c r="AD5" s="30"/>
      <c r="AE5" s="30"/>
    </row>
    <row r="6" spans="1:31" x14ac:dyDescent="0.2">
      <c r="A6" s="29">
        <v>2017</v>
      </c>
      <c r="B6" s="30">
        <v>545501</v>
      </c>
      <c r="C6" s="30">
        <v>77079</v>
      </c>
      <c r="D6" s="30">
        <v>213860</v>
      </c>
      <c r="E6" s="30">
        <v>128924</v>
      </c>
      <c r="F6" s="30">
        <v>70055</v>
      </c>
      <c r="G6" s="30">
        <v>22524</v>
      </c>
      <c r="H6" s="30">
        <v>342784</v>
      </c>
      <c r="I6" s="30">
        <v>92579</v>
      </c>
      <c r="J6" s="30">
        <v>276213</v>
      </c>
      <c r="K6" s="30">
        <v>269288</v>
      </c>
      <c r="L6" s="30"/>
      <c r="M6" s="30"/>
      <c r="N6" s="30"/>
      <c r="O6" s="30"/>
      <c r="P6" s="30"/>
      <c r="Q6" s="30"/>
      <c r="R6" s="30"/>
      <c r="S6" s="30"/>
      <c r="T6" s="30"/>
      <c r="U6" s="30"/>
      <c r="V6" s="30"/>
      <c r="W6" s="30"/>
      <c r="X6" s="30"/>
      <c r="Y6" s="30"/>
      <c r="Z6" s="30"/>
      <c r="AA6" s="30"/>
      <c r="AB6" s="30"/>
      <c r="AC6" s="30"/>
      <c r="AD6" s="30"/>
      <c r="AE6" s="30"/>
    </row>
    <row r="7" spans="1:31" x14ac:dyDescent="0.2">
      <c r="A7" s="29">
        <v>2018</v>
      </c>
      <c r="B7" s="30">
        <v>547627</v>
      </c>
      <c r="C7" s="30">
        <v>78679</v>
      </c>
      <c r="D7" s="30">
        <v>212975</v>
      </c>
      <c r="E7" s="30">
        <v>129703</v>
      </c>
      <c r="F7" s="30">
        <v>71505</v>
      </c>
      <c r="G7" s="30">
        <v>22378</v>
      </c>
      <c r="H7" s="30">
        <v>342678</v>
      </c>
      <c r="I7" s="30">
        <v>93883</v>
      </c>
      <c r="J7" s="30">
        <v>277477</v>
      </c>
      <c r="K7" s="30">
        <v>270150</v>
      </c>
      <c r="L7" s="30"/>
      <c r="M7" s="30"/>
      <c r="N7" s="30"/>
      <c r="O7" s="30"/>
      <c r="P7" s="30"/>
      <c r="Q7" s="30"/>
      <c r="R7" s="30"/>
      <c r="S7" s="30"/>
      <c r="T7" s="30"/>
      <c r="U7" s="30"/>
      <c r="V7" s="30"/>
      <c r="W7" s="30"/>
      <c r="X7" s="30"/>
      <c r="Y7" s="30"/>
      <c r="Z7" s="30"/>
      <c r="AA7" s="30"/>
      <c r="AB7" s="30"/>
      <c r="AC7" s="30"/>
      <c r="AD7" s="30"/>
      <c r="AE7" s="30"/>
    </row>
    <row r="8" spans="1:31" x14ac:dyDescent="0.2">
      <c r="A8" s="29">
        <v>2019</v>
      </c>
      <c r="B8" s="30">
        <v>552858</v>
      </c>
      <c r="C8" s="30">
        <v>80327</v>
      </c>
      <c r="D8" s="30">
        <v>214992</v>
      </c>
      <c r="E8" s="30">
        <v>130598</v>
      </c>
      <c r="F8" s="30">
        <v>73001</v>
      </c>
      <c r="G8" s="30">
        <v>22496</v>
      </c>
      <c r="H8" s="30">
        <v>345590</v>
      </c>
      <c r="I8" s="30">
        <v>95497</v>
      </c>
      <c r="J8" s="30">
        <v>280396</v>
      </c>
      <c r="K8" s="30">
        <v>272462</v>
      </c>
      <c r="L8" s="30"/>
      <c r="M8" s="30"/>
      <c r="N8" s="30"/>
      <c r="O8" s="30"/>
      <c r="P8" s="30"/>
      <c r="Q8" s="30"/>
      <c r="R8" s="30"/>
      <c r="S8" s="30"/>
      <c r="T8" s="30"/>
      <c r="U8" s="30"/>
      <c r="V8" s="30"/>
      <c r="W8" s="30"/>
      <c r="X8" s="30"/>
      <c r="Y8" s="30"/>
      <c r="Z8" s="30"/>
      <c r="AA8" s="30"/>
      <c r="AB8" s="30"/>
      <c r="AC8" s="30"/>
      <c r="AD8" s="30"/>
      <c r="AE8" s="30"/>
    </row>
    <row r="9" spans="1:31" x14ac:dyDescent="0.2">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69921875" defaultRowHeight="14.25" x14ac:dyDescent="0.2"/>
  <cols>
    <col min="1" max="1" width="18.8984375" style="29" customWidth="1"/>
    <col min="2" max="2" width="17.296875" style="29" customWidth="1"/>
    <col min="3" max="11" width="8.69921875" style="29"/>
    <col min="12" max="12" width="14.3984375" style="29" customWidth="1"/>
    <col min="13" max="13" width="13.5" style="29" customWidth="1"/>
    <col min="14" max="14" width="13.3984375" style="29" customWidth="1"/>
    <col min="15" max="15" width="8.69921875" style="29"/>
    <col min="16" max="16" width="9.59765625" style="29" customWidth="1"/>
    <col min="17" max="17" width="8.69921875" style="29"/>
    <col min="18" max="18" width="20" style="29" customWidth="1"/>
    <col min="19" max="19" width="21" style="29" customWidth="1"/>
    <col min="20" max="20" width="24" style="29" customWidth="1"/>
    <col min="21" max="21" width="32.796875" style="29" customWidth="1"/>
    <col min="22" max="22" width="32.69921875" style="29" customWidth="1"/>
    <col min="23" max="23" width="32.296875" style="29" customWidth="1"/>
    <col min="24" max="24" width="29.5" style="29" customWidth="1"/>
    <col min="25" max="25" width="25.09765625" style="29" customWidth="1"/>
    <col min="26" max="26" width="13.8984375" style="29" customWidth="1"/>
    <col min="27" max="27" width="21.796875" style="29" customWidth="1"/>
    <col min="28" max="28" width="42" style="29" customWidth="1"/>
    <col min="29" max="29" width="39.5" style="29" customWidth="1"/>
    <col min="30" max="30" width="24.59765625" style="29" customWidth="1"/>
    <col min="31" max="31" width="21.8984375" style="29" customWidth="1"/>
    <col min="32"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2014</v>
      </c>
      <c r="B3" s="30">
        <v>228182</v>
      </c>
      <c r="C3" s="30">
        <v>37771</v>
      </c>
      <c r="D3" s="30">
        <v>56519</v>
      </c>
      <c r="E3" s="30">
        <v>59784</v>
      </c>
      <c r="F3" s="30">
        <v>44811</v>
      </c>
      <c r="G3" s="30">
        <v>15656</v>
      </c>
      <c r="H3" s="30">
        <v>116303</v>
      </c>
      <c r="I3" s="30">
        <v>60467</v>
      </c>
      <c r="J3" s="30">
        <v>111903</v>
      </c>
      <c r="K3" s="30">
        <v>116279</v>
      </c>
      <c r="L3" s="30"/>
      <c r="M3" s="30"/>
      <c r="N3" s="30"/>
      <c r="O3" s="30"/>
      <c r="P3" s="30"/>
      <c r="Q3" s="30"/>
      <c r="R3" s="30"/>
      <c r="S3" s="30"/>
      <c r="T3" s="30"/>
      <c r="U3" s="30"/>
      <c r="V3" s="30"/>
      <c r="W3" s="30"/>
      <c r="X3" s="30"/>
      <c r="Y3" s="30"/>
      <c r="Z3" s="30"/>
      <c r="AA3" s="30"/>
      <c r="AB3" s="30"/>
      <c r="AC3" s="30"/>
      <c r="AD3" s="30"/>
      <c r="AE3" s="30"/>
    </row>
    <row r="4" spans="1:31" x14ac:dyDescent="0.2">
      <c r="A4" s="29">
        <v>2015</v>
      </c>
      <c r="B4" s="30">
        <v>230197</v>
      </c>
      <c r="C4" s="30">
        <v>38347</v>
      </c>
      <c r="D4" s="30">
        <v>56898</v>
      </c>
      <c r="E4" s="30">
        <v>60042</v>
      </c>
      <c r="F4" s="30">
        <v>45348</v>
      </c>
      <c r="G4" s="30">
        <v>15790</v>
      </c>
      <c r="H4" s="30">
        <v>116940</v>
      </c>
      <c r="I4" s="30">
        <v>61138</v>
      </c>
      <c r="J4" s="30">
        <v>113067</v>
      </c>
      <c r="K4" s="30">
        <v>117130</v>
      </c>
      <c r="L4" s="30"/>
      <c r="M4" s="30"/>
      <c r="N4" s="30"/>
      <c r="O4" s="30"/>
      <c r="P4" s="30"/>
      <c r="Q4" s="30"/>
      <c r="R4" s="30"/>
      <c r="S4" s="30"/>
      <c r="T4" s="30"/>
      <c r="U4" s="30"/>
      <c r="V4" s="30"/>
      <c r="W4" s="30"/>
      <c r="X4" s="30"/>
      <c r="Y4" s="30"/>
      <c r="Z4" s="30"/>
      <c r="AA4" s="30"/>
      <c r="AB4" s="30"/>
      <c r="AC4" s="30"/>
      <c r="AD4" s="30"/>
      <c r="AE4" s="30"/>
    </row>
    <row r="5" spans="1:31" x14ac:dyDescent="0.2">
      <c r="A5" s="29">
        <v>2016</v>
      </c>
      <c r="B5" s="30">
        <v>232349</v>
      </c>
      <c r="C5" s="30">
        <v>38785</v>
      </c>
      <c r="D5" s="30">
        <v>57454</v>
      </c>
      <c r="E5" s="30">
        <v>60171</v>
      </c>
      <c r="F5" s="30">
        <v>46156</v>
      </c>
      <c r="G5" s="30">
        <v>15922</v>
      </c>
      <c r="H5" s="30">
        <v>117625</v>
      </c>
      <c r="I5" s="30">
        <v>62078</v>
      </c>
      <c r="J5" s="30">
        <v>114295</v>
      </c>
      <c r="K5" s="30">
        <v>118054</v>
      </c>
      <c r="L5" s="30"/>
      <c r="M5" s="30"/>
      <c r="N5" s="30"/>
      <c r="O5" s="30"/>
      <c r="P5" s="30"/>
      <c r="Q5" s="30"/>
      <c r="R5" s="30"/>
      <c r="S5" s="30"/>
      <c r="T5" s="30"/>
      <c r="U5" s="30"/>
      <c r="V5" s="30"/>
      <c r="W5" s="30"/>
      <c r="X5" s="30"/>
      <c r="Y5" s="30"/>
      <c r="Z5" s="30"/>
      <c r="AA5" s="30"/>
      <c r="AB5" s="30"/>
      <c r="AC5" s="30"/>
      <c r="AD5" s="30"/>
      <c r="AE5" s="30"/>
    </row>
    <row r="6" spans="1:31" x14ac:dyDescent="0.2">
      <c r="A6" s="29">
        <v>2017</v>
      </c>
      <c r="B6" s="30">
        <v>233759</v>
      </c>
      <c r="C6" s="30">
        <v>39068</v>
      </c>
      <c r="D6" s="30">
        <v>57565</v>
      </c>
      <c r="E6" s="30">
        <v>60219</v>
      </c>
      <c r="F6" s="30">
        <v>46841</v>
      </c>
      <c r="G6" s="30">
        <v>16155</v>
      </c>
      <c r="H6" s="30">
        <v>117784</v>
      </c>
      <c r="I6" s="30">
        <v>62996</v>
      </c>
      <c r="J6" s="30">
        <v>115143</v>
      </c>
      <c r="K6" s="30">
        <v>118616</v>
      </c>
      <c r="L6" s="30"/>
      <c r="M6" s="30"/>
      <c r="N6" s="30"/>
      <c r="O6" s="30"/>
      <c r="P6" s="30"/>
      <c r="Q6" s="30"/>
      <c r="R6" s="30"/>
      <c r="S6" s="30"/>
      <c r="T6" s="30"/>
      <c r="U6" s="30"/>
      <c r="V6" s="30"/>
      <c r="W6" s="30"/>
      <c r="X6" s="30"/>
      <c r="Y6" s="30"/>
      <c r="Z6" s="30"/>
      <c r="AA6" s="30"/>
      <c r="AB6" s="30"/>
      <c r="AC6" s="30"/>
      <c r="AD6" s="30"/>
      <c r="AE6" s="30"/>
    </row>
    <row r="7" spans="1:31" x14ac:dyDescent="0.2">
      <c r="A7" s="29">
        <v>2018</v>
      </c>
      <c r="B7" s="30">
        <v>235623</v>
      </c>
      <c r="C7" s="30">
        <v>39599</v>
      </c>
      <c r="D7" s="30">
        <v>58076</v>
      </c>
      <c r="E7" s="30">
        <v>60445</v>
      </c>
      <c r="F7" s="30">
        <v>47228</v>
      </c>
      <c r="G7" s="30">
        <v>16640</v>
      </c>
      <c r="H7" s="30">
        <v>118521</v>
      </c>
      <c r="I7" s="30">
        <v>63868</v>
      </c>
      <c r="J7" s="30">
        <v>116098</v>
      </c>
      <c r="K7" s="30">
        <v>119525</v>
      </c>
      <c r="L7" s="30"/>
      <c r="M7" s="30"/>
      <c r="N7" s="30"/>
      <c r="O7" s="30"/>
      <c r="P7" s="30"/>
      <c r="Q7" s="30"/>
      <c r="R7" s="30"/>
      <c r="S7" s="30"/>
      <c r="T7" s="30"/>
      <c r="U7" s="30"/>
      <c r="V7" s="30"/>
      <c r="W7" s="30"/>
      <c r="X7" s="30"/>
      <c r="Y7" s="30"/>
      <c r="Z7" s="30"/>
      <c r="AA7" s="30"/>
      <c r="AB7" s="30"/>
      <c r="AC7" s="30"/>
      <c r="AD7" s="30"/>
      <c r="AE7" s="30"/>
    </row>
    <row r="8" spans="1:31" x14ac:dyDescent="0.2">
      <c r="A8" s="29">
        <v>2019</v>
      </c>
      <c r="B8" s="30">
        <v>237110</v>
      </c>
      <c r="C8" s="30">
        <v>39895</v>
      </c>
      <c r="D8" s="30">
        <v>58474</v>
      </c>
      <c r="E8" s="30">
        <v>60418</v>
      </c>
      <c r="F8" s="30">
        <v>47723</v>
      </c>
      <c r="G8" s="30">
        <v>17152</v>
      </c>
      <c r="H8" s="30">
        <v>118892</v>
      </c>
      <c r="I8" s="30">
        <v>64875</v>
      </c>
      <c r="J8" s="30">
        <v>116994</v>
      </c>
      <c r="K8" s="30">
        <v>120116</v>
      </c>
      <c r="L8" s="30"/>
      <c r="M8" s="30"/>
      <c r="N8" s="30"/>
      <c r="O8" s="30"/>
      <c r="P8" s="30"/>
      <c r="Q8" s="30"/>
      <c r="R8" s="30"/>
      <c r="S8" s="30"/>
      <c r="T8" s="30"/>
      <c r="U8" s="30"/>
      <c r="V8" s="30"/>
      <c r="W8" s="30"/>
      <c r="X8" s="30"/>
      <c r="Y8" s="30"/>
      <c r="Z8" s="30"/>
      <c r="AA8" s="30"/>
      <c r="AB8" s="30"/>
      <c r="AC8" s="30"/>
      <c r="AD8" s="30"/>
      <c r="AE8" s="30"/>
    </row>
    <row r="9" spans="1:31" x14ac:dyDescent="0.2">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69921875" defaultRowHeight="14.25" x14ac:dyDescent="0.2"/>
  <cols>
    <col min="1" max="1" width="18.8984375" style="29" customWidth="1"/>
    <col min="2" max="2" width="17.296875" style="29" customWidth="1"/>
    <col min="3" max="11" width="8.69921875" style="29"/>
    <col min="12" max="12" width="14.3984375" style="29" customWidth="1"/>
    <col min="13" max="13" width="13.5" style="29" customWidth="1"/>
    <col min="14" max="14" width="13.3984375" style="29" customWidth="1"/>
    <col min="15" max="15" width="8.69921875" style="29"/>
    <col min="16" max="16" width="9.59765625" style="29" customWidth="1"/>
    <col min="17" max="17" width="8.69921875" style="29"/>
    <col min="18" max="18" width="20" style="29" customWidth="1"/>
    <col min="19" max="19" width="21" style="29" customWidth="1"/>
    <col min="20" max="20" width="24" style="29" customWidth="1"/>
    <col min="21" max="21" width="32.796875" style="29" customWidth="1"/>
    <col min="22" max="22" width="32.69921875" style="29" customWidth="1"/>
    <col min="23" max="23" width="32.296875" style="29" customWidth="1"/>
    <col min="24" max="24" width="29.5" style="29" customWidth="1"/>
    <col min="25" max="25" width="25.09765625" style="29" customWidth="1"/>
    <col min="26" max="26" width="13.8984375" style="29" customWidth="1"/>
    <col min="27" max="27" width="21.796875" style="29" customWidth="1"/>
    <col min="28" max="28" width="42" style="29" customWidth="1"/>
    <col min="29" max="29" width="39.5" style="29" customWidth="1"/>
    <col min="30" max="30" width="24.59765625" style="29" customWidth="1"/>
    <col min="31" max="31" width="21.8984375" style="29" customWidth="1"/>
    <col min="32"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2014</v>
      </c>
      <c r="B3" s="30">
        <v>212976</v>
      </c>
      <c r="C3" s="30">
        <v>32665</v>
      </c>
      <c r="D3" s="30">
        <v>53076</v>
      </c>
      <c r="E3" s="30">
        <v>56861</v>
      </c>
      <c r="F3" s="30">
        <v>43367</v>
      </c>
      <c r="G3" s="30">
        <v>14871</v>
      </c>
      <c r="H3" s="30">
        <v>109937</v>
      </c>
      <c r="I3" s="30">
        <v>58238</v>
      </c>
      <c r="J3" s="30">
        <v>104521</v>
      </c>
      <c r="K3" s="30">
        <v>108455</v>
      </c>
      <c r="L3" s="30"/>
      <c r="M3" s="30"/>
      <c r="N3" s="30"/>
      <c r="O3" s="30"/>
      <c r="P3" s="30"/>
      <c r="Q3" s="30"/>
      <c r="R3" s="30"/>
      <c r="S3" s="30"/>
      <c r="T3" s="30"/>
      <c r="U3" s="30"/>
      <c r="V3" s="30"/>
      <c r="W3" s="30"/>
      <c r="X3" s="30"/>
      <c r="Y3" s="30"/>
      <c r="Z3" s="30"/>
      <c r="AA3" s="30"/>
      <c r="AB3" s="30"/>
      <c r="AC3" s="30"/>
      <c r="AD3" s="30"/>
      <c r="AE3" s="30"/>
    </row>
    <row r="4" spans="1:31" x14ac:dyDescent="0.2">
      <c r="A4" s="29">
        <v>2015</v>
      </c>
      <c r="B4" s="30">
        <v>214314</v>
      </c>
      <c r="C4" s="30">
        <v>32992</v>
      </c>
      <c r="D4" s="30">
        <v>53139</v>
      </c>
      <c r="E4" s="30">
        <v>56913</v>
      </c>
      <c r="F4" s="30">
        <v>44083</v>
      </c>
      <c r="G4" s="30">
        <v>14994</v>
      </c>
      <c r="H4" s="30">
        <v>110052</v>
      </c>
      <c r="I4" s="30">
        <v>59077</v>
      </c>
      <c r="J4" s="30">
        <v>105287</v>
      </c>
      <c r="K4" s="30">
        <v>109027</v>
      </c>
      <c r="L4" s="30"/>
      <c r="M4" s="30"/>
      <c r="N4" s="30"/>
      <c r="O4" s="30"/>
      <c r="P4" s="30"/>
      <c r="Q4" s="30"/>
      <c r="R4" s="30"/>
      <c r="S4" s="30"/>
      <c r="T4" s="30"/>
      <c r="U4" s="30"/>
      <c r="V4" s="30"/>
      <c r="W4" s="30"/>
      <c r="X4" s="30"/>
      <c r="Y4" s="30"/>
      <c r="Z4" s="30"/>
      <c r="AA4" s="30"/>
      <c r="AB4" s="30"/>
      <c r="AC4" s="30"/>
      <c r="AD4" s="30"/>
      <c r="AE4" s="30"/>
    </row>
    <row r="5" spans="1:31" x14ac:dyDescent="0.2">
      <c r="A5" s="29">
        <v>2016</v>
      </c>
      <c r="B5" s="30">
        <v>216350</v>
      </c>
      <c r="C5" s="30">
        <v>33454</v>
      </c>
      <c r="D5" s="30">
        <v>53222</v>
      </c>
      <c r="E5" s="30">
        <v>57148</v>
      </c>
      <c r="F5" s="30">
        <v>44873</v>
      </c>
      <c r="G5" s="30">
        <v>15090</v>
      </c>
      <c r="H5" s="30">
        <v>110370</v>
      </c>
      <c r="I5" s="30">
        <v>59963</v>
      </c>
      <c r="J5" s="30">
        <v>106402</v>
      </c>
      <c r="K5" s="30">
        <v>109948</v>
      </c>
      <c r="L5" s="30"/>
      <c r="M5" s="30"/>
      <c r="N5" s="30"/>
      <c r="O5" s="30"/>
      <c r="P5" s="30"/>
      <c r="Q5" s="30"/>
      <c r="R5" s="30"/>
      <c r="S5" s="30"/>
      <c r="T5" s="30"/>
      <c r="U5" s="30"/>
      <c r="V5" s="30"/>
      <c r="W5" s="30"/>
      <c r="X5" s="30"/>
      <c r="Y5" s="30"/>
      <c r="Z5" s="30"/>
      <c r="AA5" s="30"/>
      <c r="AB5" s="30"/>
      <c r="AC5" s="30"/>
      <c r="AD5" s="30"/>
      <c r="AE5" s="30"/>
    </row>
    <row r="6" spans="1:31" x14ac:dyDescent="0.2">
      <c r="A6" s="29">
        <v>2017</v>
      </c>
      <c r="B6" s="30">
        <v>218459</v>
      </c>
      <c r="C6" s="30">
        <v>34301</v>
      </c>
      <c r="D6" s="30">
        <v>53381</v>
      </c>
      <c r="E6" s="30">
        <v>57340</v>
      </c>
      <c r="F6" s="30">
        <v>45565</v>
      </c>
      <c r="G6" s="30">
        <v>15293</v>
      </c>
      <c r="H6" s="30">
        <v>110721</v>
      </c>
      <c r="I6" s="30">
        <v>60858</v>
      </c>
      <c r="J6" s="30">
        <v>107725</v>
      </c>
      <c r="K6" s="30">
        <v>110734</v>
      </c>
      <c r="L6" s="30"/>
      <c r="M6" s="30"/>
      <c r="N6" s="30"/>
      <c r="O6" s="30"/>
      <c r="P6" s="30"/>
      <c r="Q6" s="30"/>
      <c r="R6" s="30"/>
      <c r="S6" s="30"/>
      <c r="T6" s="30"/>
      <c r="U6" s="30"/>
      <c r="V6" s="30"/>
      <c r="W6" s="30"/>
      <c r="X6" s="30"/>
      <c r="Y6" s="30"/>
      <c r="Z6" s="30"/>
      <c r="AA6" s="30"/>
      <c r="AB6" s="30"/>
      <c r="AC6" s="30"/>
      <c r="AD6" s="30"/>
      <c r="AE6" s="30"/>
    </row>
    <row r="7" spans="1:31" x14ac:dyDescent="0.2">
      <c r="A7" s="29">
        <v>2018</v>
      </c>
      <c r="B7" s="30">
        <v>220001</v>
      </c>
      <c r="C7" s="30">
        <v>34901</v>
      </c>
      <c r="D7" s="30">
        <v>53352</v>
      </c>
      <c r="E7" s="30">
        <v>57486</v>
      </c>
      <c r="F7" s="30">
        <v>46200</v>
      </c>
      <c r="G7" s="30">
        <v>15515</v>
      </c>
      <c r="H7" s="30">
        <v>110838</v>
      </c>
      <c r="I7" s="30">
        <v>61715</v>
      </c>
      <c r="J7" s="30">
        <v>108622</v>
      </c>
      <c r="K7" s="30">
        <v>111379</v>
      </c>
      <c r="L7" s="30"/>
      <c r="M7" s="30"/>
      <c r="N7" s="30"/>
      <c r="O7" s="30"/>
      <c r="P7" s="30"/>
      <c r="Q7" s="30"/>
      <c r="R7" s="30"/>
      <c r="S7" s="30"/>
      <c r="T7" s="30"/>
      <c r="U7" s="30"/>
      <c r="V7" s="30"/>
      <c r="W7" s="30"/>
      <c r="X7" s="30"/>
      <c r="Y7" s="30"/>
      <c r="Z7" s="30"/>
      <c r="AA7" s="30"/>
      <c r="AB7" s="30"/>
      <c r="AC7" s="30"/>
      <c r="AD7" s="30"/>
      <c r="AE7" s="30"/>
    </row>
    <row r="8" spans="1:31" x14ac:dyDescent="0.2">
      <c r="A8" s="29">
        <v>2019</v>
      </c>
      <c r="B8" s="30">
        <v>222412</v>
      </c>
      <c r="C8" s="30">
        <v>35578</v>
      </c>
      <c r="D8" s="30">
        <v>53855</v>
      </c>
      <c r="E8" s="30">
        <v>57533</v>
      </c>
      <c r="F8" s="30">
        <v>46966</v>
      </c>
      <c r="G8" s="30">
        <v>15879</v>
      </c>
      <c r="H8" s="30">
        <v>111388</v>
      </c>
      <c r="I8" s="30">
        <v>62845</v>
      </c>
      <c r="J8" s="30">
        <v>109996</v>
      </c>
      <c r="K8" s="30">
        <v>112416</v>
      </c>
      <c r="L8" s="30"/>
      <c r="M8" s="30"/>
      <c r="N8" s="30"/>
      <c r="O8" s="30"/>
      <c r="P8" s="30"/>
      <c r="Q8" s="30"/>
      <c r="R8" s="30"/>
      <c r="S8" s="30"/>
      <c r="T8" s="30"/>
      <c r="U8" s="30"/>
      <c r="V8" s="30"/>
      <c r="W8" s="30"/>
      <c r="X8" s="30"/>
      <c r="Y8" s="30"/>
      <c r="Z8" s="30"/>
      <c r="AA8" s="30"/>
      <c r="AB8" s="30"/>
      <c r="AC8" s="30"/>
      <c r="AD8" s="30"/>
      <c r="AE8" s="30"/>
    </row>
    <row r="9" spans="1:31" x14ac:dyDescent="0.2">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69921875" defaultRowHeight="14.25" x14ac:dyDescent="0.2"/>
  <cols>
    <col min="1" max="1" width="18.8984375" style="29" customWidth="1"/>
    <col min="2" max="2" width="17.296875" style="29" customWidth="1"/>
    <col min="3" max="11" width="8.69921875" style="29"/>
    <col min="12" max="12" width="14.3984375" style="29" customWidth="1"/>
    <col min="13" max="13" width="13.5" style="29" customWidth="1"/>
    <col min="14" max="14" width="13.3984375" style="29" customWidth="1"/>
    <col min="15" max="15" width="8.69921875" style="29"/>
    <col min="16" max="16" width="9.59765625" style="29" customWidth="1"/>
    <col min="17" max="17" width="8.69921875" style="29"/>
    <col min="18" max="18" width="20" style="29" customWidth="1"/>
    <col min="19" max="19" width="21" style="29" customWidth="1"/>
    <col min="20" max="20" width="24" style="29" customWidth="1"/>
    <col min="21" max="21" width="32.796875" style="29" customWidth="1"/>
    <col min="22" max="22" width="32.69921875" style="29" customWidth="1"/>
    <col min="23" max="23" width="32.296875" style="29" customWidth="1"/>
    <col min="24" max="24" width="29.5" style="29" customWidth="1"/>
    <col min="25" max="25" width="25.09765625" style="29" customWidth="1"/>
    <col min="26" max="26" width="13.8984375" style="29" customWidth="1"/>
    <col min="27" max="27" width="21.796875" style="29" customWidth="1"/>
    <col min="28" max="28" width="42" style="29" customWidth="1"/>
    <col min="29" max="29" width="39.5" style="29" customWidth="1"/>
    <col min="30" max="30" width="24.59765625" style="29" customWidth="1"/>
    <col min="31" max="31" width="21.8984375" style="29" customWidth="1"/>
    <col min="32"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2014</v>
      </c>
      <c r="B3" s="30">
        <v>241539</v>
      </c>
      <c r="C3" s="30">
        <v>32885</v>
      </c>
      <c r="D3" s="30">
        <v>72400</v>
      </c>
      <c r="E3" s="30">
        <v>62284</v>
      </c>
      <c r="F3" s="30">
        <v>43197</v>
      </c>
      <c r="G3" s="30">
        <v>16105</v>
      </c>
      <c r="H3" s="30">
        <v>134684</v>
      </c>
      <c r="I3" s="30">
        <v>59302</v>
      </c>
      <c r="J3" s="30">
        <v>121237</v>
      </c>
      <c r="K3" s="30">
        <v>120302</v>
      </c>
      <c r="L3" s="30"/>
      <c r="M3" s="30"/>
      <c r="N3" s="30"/>
      <c r="O3" s="30"/>
      <c r="P3" s="30"/>
      <c r="Q3" s="30"/>
      <c r="R3" s="30"/>
      <c r="S3" s="30"/>
      <c r="T3" s="30"/>
      <c r="U3" s="30"/>
      <c r="V3" s="30"/>
      <c r="W3" s="30"/>
      <c r="X3" s="30"/>
      <c r="Y3" s="30"/>
      <c r="Z3" s="30"/>
      <c r="AA3" s="30"/>
      <c r="AB3" s="30"/>
      <c r="AC3" s="30"/>
      <c r="AD3" s="30"/>
      <c r="AE3" s="30"/>
    </row>
    <row r="4" spans="1:31" x14ac:dyDescent="0.2">
      <c r="A4" s="29">
        <v>2015</v>
      </c>
      <c r="B4" s="30">
        <v>245186</v>
      </c>
      <c r="C4" s="30">
        <v>33593</v>
      </c>
      <c r="D4" s="30">
        <v>73596</v>
      </c>
      <c r="E4" s="30">
        <v>63099</v>
      </c>
      <c r="F4" s="30">
        <v>43833</v>
      </c>
      <c r="G4" s="30">
        <v>16168</v>
      </c>
      <c r="H4" s="30">
        <v>136695</v>
      </c>
      <c r="I4" s="30">
        <v>60001</v>
      </c>
      <c r="J4" s="30">
        <v>123411</v>
      </c>
      <c r="K4" s="30">
        <v>121775</v>
      </c>
      <c r="L4" s="30"/>
      <c r="M4" s="30"/>
      <c r="N4" s="30"/>
      <c r="O4" s="30"/>
      <c r="P4" s="30"/>
      <c r="Q4" s="30"/>
      <c r="R4" s="30"/>
      <c r="S4" s="30"/>
      <c r="T4" s="30"/>
      <c r="U4" s="30"/>
      <c r="V4" s="30"/>
      <c r="W4" s="30"/>
      <c r="X4" s="30"/>
      <c r="Y4" s="30"/>
      <c r="Z4" s="30"/>
      <c r="AA4" s="30"/>
      <c r="AB4" s="30"/>
      <c r="AC4" s="30"/>
      <c r="AD4" s="30"/>
      <c r="AE4" s="30"/>
    </row>
    <row r="5" spans="1:31" x14ac:dyDescent="0.2">
      <c r="A5" s="29">
        <v>2016</v>
      </c>
      <c r="B5" s="30">
        <v>248121</v>
      </c>
      <c r="C5" s="30">
        <v>34582</v>
      </c>
      <c r="D5" s="30">
        <v>73943</v>
      </c>
      <c r="E5" s="30">
        <v>63667</v>
      </c>
      <c r="F5" s="30">
        <v>44622</v>
      </c>
      <c r="G5" s="30">
        <v>16245</v>
      </c>
      <c r="H5" s="30">
        <v>137610</v>
      </c>
      <c r="I5" s="30">
        <v>60867</v>
      </c>
      <c r="J5" s="30">
        <v>125006</v>
      </c>
      <c r="K5" s="30">
        <v>123115</v>
      </c>
      <c r="L5" s="30"/>
      <c r="M5" s="30"/>
      <c r="N5" s="30"/>
      <c r="O5" s="30"/>
      <c r="P5" s="30"/>
      <c r="Q5" s="30"/>
      <c r="R5" s="30"/>
      <c r="S5" s="30"/>
      <c r="T5" s="30"/>
      <c r="U5" s="30"/>
      <c r="V5" s="30"/>
      <c r="W5" s="30"/>
      <c r="X5" s="30"/>
      <c r="Y5" s="30"/>
      <c r="Z5" s="30"/>
      <c r="AA5" s="30"/>
      <c r="AB5" s="30"/>
      <c r="AC5" s="30"/>
      <c r="AD5" s="30"/>
      <c r="AE5" s="30"/>
    </row>
    <row r="6" spans="1:31" x14ac:dyDescent="0.2">
      <c r="A6" s="29">
        <v>2017</v>
      </c>
      <c r="B6" s="30">
        <v>251332</v>
      </c>
      <c r="C6" s="30">
        <v>35365</v>
      </c>
      <c r="D6" s="30">
        <v>75040</v>
      </c>
      <c r="E6" s="30">
        <v>64082</v>
      </c>
      <c r="F6" s="30">
        <v>45398</v>
      </c>
      <c r="G6" s="30">
        <v>16338</v>
      </c>
      <c r="H6" s="30">
        <v>139122</v>
      </c>
      <c r="I6" s="30">
        <v>61736</v>
      </c>
      <c r="J6" s="30">
        <v>126567</v>
      </c>
      <c r="K6" s="30">
        <v>124765</v>
      </c>
      <c r="L6" s="30"/>
      <c r="M6" s="30"/>
      <c r="N6" s="30"/>
      <c r="O6" s="30"/>
      <c r="P6" s="30"/>
      <c r="Q6" s="30"/>
      <c r="R6" s="30"/>
      <c r="S6" s="30"/>
      <c r="T6" s="30"/>
      <c r="U6" s="30"/>
      <c r="V6" s="30"/>
      <c r="W6" s="30"/>
      <c r="X6" s="30"/>
      <c r="Y6" s="30"/>
      <c r="Z6" s="30"/>
      <c r="AA6" s="30"/>
      <c r="AB6" s="30"/>
      <c r="AC6" s="30"/>
      <c r="AD6" s="30"/>
      <c r="AE6" s="30"/>
    </row>
    <row r="7" spans="1:31" x14ac:dyDescent="0.2">
      <c r="A7" s="29">
        <v>2018</v>
      </c>
      <c r="B7" s="30">
        <v>254408</v>
      </c>
      <c r="C7" s="30">
        <v>36372</v>
      </c>
      <c r="D7" s="30">
        <v>75755</v>
      </c>
      <c r="E7" s="30">
        <v>64683</v>
      </c>
      <c r="F7" s="30">
        <v>46034</v>
      </c>
      <c r="G7" s="30">
        <v>16441</v>
      </c>
      <c r="H7" s="30">
        <v>140438</v>
      </c>
      <c r="I7" s="30">
        <v>62475</v>
      </c>
      <c r="J7" s="30">
        <v>128381</v>
      </c>
      <c r="K7" s="30">
        <v>126027</v>
      </c>
      <c r="L7" s="30"/>
      <c r="M7" s="30"/>
      <c r="N7" s="30"/>
      <c r="O7" s="30"/>
      <c r="P7" s="30"/>
      <c r="Q7" s="30"/>
      <c r="R7" s="30"/>
      <c r="S7" s="30"/>
      <c r="T7" s="30"/>
      <c r="U7" s="30"/>
      <c r="V7" s="30"/>
      <c r="W7" s="30"/>
      <c r="X7" s="30"/>
      <c r="Y7" s="30"/>
      <c r="Z7" s="30"/>
      <c r="AA7" s="30"/>
      <c r="AB7" s="30"/>
      <c r="AC7" s="30"/>
      <c r="AD7" s="30"/>
      <c r="AE7" s="30"/>
    </row>
    <row r="8" spans="1:31" x14ac:dyDescent="0.2">
      <c r="A8" s="29">
        <v>2019</v>
      </c>
      <c r="B8" s="30">
        <v>258834</v>
      </c>
      <c r="C8" s="30">
        <v>37315</v>
      </c>
      <c r="D8" s="30">
        <v>77672</v>
      </c>
      <c r="E8" s="30">
        <v>65359</v>
      </c>
      <c r="F8" s="30">
        <v>46717</v>
      </c>
      <c r="G8" s="30">
        <v>16666</v>
      </c>
      <c r="H8" s="30">
        <v>143031</v>
      </c>
      <c r="I8" s="30">
        <v>63383</v>
      </c>
      <c r="J8" s="30">
        <v>130722</v>
      </c>
      <c r="K8" s="30">
        <v>128112</v>
      </c>
      <c r="L8" s="30"/>
      <c r="M8" s="30"/>
      <c r="N8" s="30"/>
      <c r="O8" s="30"/>
      <c r="P8" s="30"/>
      <c r="Q8" s="30"/>
      <c r="R8" s="30"/>
      <c r="S8" s="30"/>
      <c r="T8" s="30"/>
      <c r="U8" s="30"/>
      <c r="V8" s="30"/>
      <c r="W8" s="30"/>
      <c r="X8" s="30"/>
      <c r="Y8" s="30"/>
      <c r="Z8" s="30"/>
      <c r="AA8" s="30"/>
      <c r="AB8" s="30"/>
      <c r="AC8" s="30"/>
      <c r="AD8" s="30"/>
      <c r="AE8" s="30"/>
    </row>
    <row r="9" spans="1:31" x14ac:dyDescent="0.2">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10"/>
  <sheetViews>
    <sheetView workbookViewId="0">
      <selection activeCell="B3" sqref="B3:AE10"/>
    </sheetView>
  </sheetViews>
  <sheetFormatPr defaultColWidth="8.69921875" defaultRowHeight="14.25" x14ac:dyDescent="0.2"/>
  <cols>
    <col min="1" max="1" width="18.8984375" style="29" customWidth="1"/>
    <col min="2" max="2" width="17.296875" style="29" customWidth="1"/>
    <col min="3" max="11" width="8.69921875" style="29"/>
    <col min="12" max="12" width="14.3984375" style="29" customWidth="1"/>
    <col min="13" max="13" width="13.5" style="29" customWidth="1"/>
    <col min="14" max="14" width="13.3984375" style="29" customWidth="1"/>
    <col min="15" max="15" width="8.69921875" style="29"/>
    <col min="16" max="16" width="9.59765625" style="29" customWidth="1"/>
    <col min="17" max="17" width="8.69921875" style="29"/>
    <col min="18" max="18" width="20" style="29" customWidth="1"/>
    <col min="19" max="19" width="21" style="29" customWidth="1"/>
    <col min="20" max="20" width="24" style="29" customWidth="1"/>
    <col min="21" max="21" width="32.796875" style="29" customWidth="1"/>
    <col min="22" max="22" width="32.69921875" style="29" customWidth="1"/>
    <col min="23" max="23" width="32.296875" style="29" customWidth="1"/>
    <col min="24" max="24" width="29.5" style="29" customWidth="1"/>
    <col min="25" max="25" width="25.09765625" style="29" customWidth="1"/>
    <col min="26" max="26" width="13.8984375" style="29" customWidth="1"/>
    <col min="27" max="27" width="21.796875" style="29" customWidth="1"/>
    <col min="28" max="28" width="42" style="29" customWidth="1"/>
    <col min="29" max="29" width="39.5" style="29" customWidth="1"/>
    <col min="30" max="30" width="24.59765625" style="29" customWidth="1"/>
    <col min="31" max="31" width="21.8984375" style="29" customWidth="1"/>
    <col min="32"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2014</v>
      </c>
      <c r="B3" s="30">
        <v>286388</v>
      </c>
      <c r="C3" s="30">
        <v>40059</v>
      </c>
      <c r="D3" s="30">
        <v>61456</v>
      </c>
      <c r="E3" s="30">
        <v>80275</v>
      </c>
      <c r="F3" s="30">
        <v>64071</v>
      </c>
      <c r="G3" s="30">
        <v>26128</v>
      </c>
      <c r="H3" s="30">
        <v>141731</v>
      </c>
      <c r="I3" s="30">
        <v>90199</v>
      </c>
      <c r="J3" s="30">
        <v>140076</v>
      </c>
      <c r="K3" s="30">
        <v>146312</v>
      </c>
      <c r="L3" s="30"/>
      <c r="M3" s="30"/>
      <c r="N3" s="30"/>
      <c r="O3" s="30"/>
      <c r="P3" s="30"/>
      <c r="Q3" s="30"/>
      <c r="R3" s="30"/>
      <c r="S3" s="30"/>
      <c r="T3" s="30"/>
      <c r="U3" s="30"/>
      <c r="V3" s="30"/>
      <c r="W3" s="30"/>
      <c r="X3" s="30"/>
      <c r="Y3" s="30"/>
      <c r="Z3" s="30"/>
      <c r="AA3" s="30"/>
      <c r="AB3" s="30"/>
      <c r="AC3" s="30"/>
      <c r="AD3" s="30"/>
      <c r="AE3" s="30"/>
    </row>
    <row r="4" spans="1:31" x14ac:dyDescent="0.2">
      <c r="A4" s="29">
        <v>2015</v>
      </c>
      <c r="B4" s="30">
        <v>288169</v>
      </c>
      <c r="C4" s="30">
        <v>40457</v>
      </c>
      <c r="D4" s="30">
        <v>61329</v>
      </c>
      <c r="E4" s="30">
        <v>80254</v>
      </c>
      <c r="F4" s="30">
        <v>64920</v>
      </c>
      <c r="G4" s="30">
        <v>26511</v>
      </c>
      <c r="H4" s="30">
        <v>141583</v>
      </c>
      <c r="I4" s="30">
        <v>91431</v>
      </c>
      <c r="J4" s="30">
        <v>141058</v>
      </c>
      <c r="K4" s="30">
        <v>147111</v>
      </c>
      <c r="L4" s="30"/>
      <c r="M4" s="30"/>
      <c r="N4" s="30"/>
      <c r="O4" s="30"/>
      <c r="P4" s="30"/>
      <c r="Q4" s="30"/>
      <c r="R4" s="30"/>
      <c r="S4" s="30"/>
      <c r="T4" s="30"/>
      <c r="U4" s="30"/>
      <c r="V4" s="30"/>
      <c r="W4" s="30"/>
      <c r="X4" s="30"/>
      <c r="Y4" s="30"/>
      <c r="Z4" s="30"/>
      <c r="AA4" s="30"/>
      <c r="AB4" s="30"/>
      <c r="AC4" s="30"/>
      <c r="AD4" s="30"/>
      <c r="AE4" s="30"/>
    </row>
    <row r="5" spans="1:31" x14ac:dyDescent="0.2">
      <c r="A5" s="29">
        <v>2016</v>
      </c>
      <c r="B5" s="30">
        <v>289821</v>
      </c>
      <c r="C5" s="30">
        <v>41041</v>
      </c>
      <c r="D5" s="30">
        <v>61436</v>
      </c>
      <c r="E5" s="30">
        <v>80125</v>
      </c>
      <c r="F5" s="30">
        <v>65858</v>
      </c>
      <c r="G5" s="30">
        <v>26692</v>
      </c>
      <c r="H5" s="30">
        <v>141561</v>
      </c>
      <c r="I5" s="30">
        <v>92550</v>
      </c>
      <c r="J5" s="30">
        <v>141855</v>
      </c>
      <c r="K5" s="30">
        <v>147966</v>
      </c>
      <c r="L5" s="30"/>
      <c r="M5" s="30"/>
      <c r="N5" s="30"/>
      <c r="O5" s="30"/>
      <c r="P5" s="30"/>
      <c r="Q5" s="30"/>
      <c r="R5" s="30"/>
      <c r="S5" s="30"/>
      <c r="T5" s="30"/>
      <c r="U5" s="30"/>
      <c r="V5" s="30"/>
      <c r="W5" s="30"/>
      <c r="X5" s="30"/>
      <c r="Y5" s="30"/>
      <c r="Z5" s="30"/>
      <c r="AA5" s="30"/>
      <c r="AB5" s="30"/>
      <c r="AC5" s="30"/>
      <c r="AD5" s="30"/>
      <c r="AE5" s="30"/>
    </row>
    <row r="6" spans="1:31" x14ac:dyDescent="0.2">
      <c r="A6" s="29">
        <v>2017</v>
      </c>
      <c r="B6" s="30">
        <v>291045</v>
      </c>
      <c r="C6" s="30">
        <v>41578</v>
      </c>
      <c r="D6" s="30">
        <v>61142</v>
      </c>
      <c r="E6" s="30">
        <v>79770</v>
      </c>
      <c r="F6" s="30">
        <v>66776</v>
      </c>
      <c r="G6" s="30">
        <v>27033</v>
      </c>
      <c r="H6" s="30">
        <v>140912</v>
      </c>
      <c r="I6" s="30">
        <v>93809</v>
      </c>
      <c r="J6" s="30">
        <v>142630</v>
      </c>
      <c r="K6" s="30">
        <v>148415</v>
      </c>
      <c r="L6" s="30"/>
      <c r="M6" s="30"/>
      <c r="N6" s="30"/>
      <c r="O6" s="30"/>
      <c r="P6" s="30"/>
      <c r="Q6" s="30"/>
      <c r="R6" s="30"/>
      <c r="S6" s="30"/>
      <c r="T6" s="30"/>
      <c r="U6" s="30"/>
      <c r="V6" s="30"/>
      <c r="W6" s="30"/>
      <c r="X6" s="30"/>
      <c r="Y6" s="30"/>
      <c r="Z6" s="30"/>
      <c r="AA6" s="30"/>
      <c r="AB6" s="30"/>
      <c r="AC6" s="30"/>
      <c r="AD6" s="30"/>
      <c r="AE6" s="30"/>
    </row>
    <row r="7" spans="1:31" x14ac:dyDescent="0.2">
      <c r="A7" s="29">
        <v>2018</v>
      </c>
      <c r="B7" s="30">
        <v>291775</v>
      </c>
      <c r="C7" s="30">
        <v>42294</v>
      </c>
      <c r="D7" s="30">
        <v>60743</v>
      </c>
      <c r="E7" s="30">
        <v>79487</v>
      </c>
      <c r="F7" s="30">
        <v>67366</v>
      </c>
      <c r="G7" s="30">
        <v>27387</v>
      </c>
      <c r="H7" s="30">
        <v>140230</v>
      </c>
      <c r="I7" s="30">
        <v>94753</v>
      </c>
      <c r="J7" s="30">
        <v>142971</v>
      </c>
      <c r="K7" s="30">
        <v>148804</v>
      </c>
      <c r="L7" s="30"/>
      <c r="M7" s="30"/>
      <c r="N7" s="30"/>
      <c r="O7" s="30"/>
      <c r="P7" s="30"/>
      <c r="Q7" s="30"/>
      <c r="R7" s="30"/>
      <c r="S7" s="30"/>
      <c r="T7" s="30"/>
      <c r="U7" s="30"/>
      <c r="V7" s="30"/>
      <c r="W7" s="30"/>
      <c r="X7" s="30"/>
      <c r="Y7" s="30"/>
      <c r="Z7" s="30"/>
      <c r="AA7" s="30"/>
      <c r="AB7" s="30"/>
      <c r="AC7" s="30"/>
      <c r="AD7" s="30"/>
      <c r="AE7" s="30"/>
    </row>
    <row r="8" spans="1:31" x14ac:dyDescent="0.2">
      <c r="A8" s="29">
        <v>2019</v>
      </c>
      <c r="B8" s="30">
        <v>293423</v>
      </c>
      <c r="C8" s="30">
        <v>43126</v>
      </c>
      <c r="D8" s="30">
        <v>61083</v>
      </c>
      <c r="E8" s="30">
        <v>79137</v>
      </c>
      <c r="F8" s="30">
        <v>67989</v>
      </c>
      <c r="G8" s="30">
        <v>27975</v>
      </c>
      <c r="H8" s="30">
        <v>140220</v>
      </c>
      <c r="I8" s="30">
        <v>95964</v>
      </c>
      <c r="J8" s="30">
        <v>143850</v>
      </c>
      <c r="K8" s="30">
        <v>149573</v>
      </c>
      <c r="L8" s="30"/>
      <c r="M8" s="30"/>
      <c r="N8" s="30"/>
      <c r="O8" s="30"/>
      <c r="P8" s="30"/>
      <c r="Q8" s="30"/>
      <c r="R8" s="30"/>
      <c r="S8" s="30"/>
      <c r="T8" s="30"/>
      <c r="U8" s="30"/>
      <c r="V8" s="30"/>
      <c r="W8" s="30"/>
      <c r="X8" s="30"/>
      <c r="Y8" s="30"/>
      <c r="Z8" s="30"/>
      <c r="AA8" s="30"/>
      <c r="AB8" s="30"/>
      <c r="AC8" s="30"/>
      <c r="AD8" s="30"/>
      <c r="AE8" s="30"/>
    </row>
    <row r="9" spans="1:31" x14ac:dyDescent="0.2">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row r="10" spans="1:31" x14ac:dyDescent="0.2">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row>
  </sheetData>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69921875" defaultRowHeight="14.25" x14ac:dyDescent="0.2"/>
  <cols>
    <col min="1" max="1" width="18.8984375" style="29" customWidth="1"/>
    <col min="2" max="2" width="17.296875" style="29" customWidth="1"/>
    <col min="3" max="11" width="8.69921875" style="29"/>
    <col min="12" max="12" width="14.3984375" style="29" customWidth="1"/>
    <col min="13" max="13" width="13.5" style="29" customWidth="1"/>
    <col min="14" max="14" width="13.3984375" style="29" customWidth="1"/>
    <col min="15" max="15" width="8.69921875" style="29"/>
    <col min="16" max="16" width="9.59765625" style="29" customWidth="1"/>
    <col min="17" max="17" width="8.69921875" style="29"/>
    <col min="18" max="18" width="20" style="29" customWidth="1"/>
    <col min="19" max="19" width="21" style="29" customWidth="1"/>
    <col min="20" max="20" width="24" style="29" customWidth="1"/>
    <col min="21" max="21" width="32.796875" style="29" customWidth="1"/>
    <col min="22" max="22" width="32.69921875" style="29" customWidth="1"/>
    <col min="23" max="23" width="32.296875" style="29" customWidth="1"/>
    <col min="24" max="24" width="29.5" style="29" customWidth="1"/>
    <col min="25" max="25" width="25.09765625" style="29" customWidth="1"/>
    <col min="26" max="26" width="13.8984375" style="29" customWidth="1"/>
    <col min="27" max="27" width="21.796875" style="29" customWidth="1"/>
    <col min="28" max="28" width="42" style="29" customWidth="1"/>
    <col min="29" max="29" width="39.5" style="29" customWidth="1"/>
    <col min="30" max="30" width="24.59765625" style="29" customWidth="1"/>
    <col min="31" max="31" width="21.8984375" style="29" customWidth="1"/>
    <col min="32"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2014</v>
      </c>
      <c r="B3" s="30">
        <v>220696</v>
      </c>
      <c r="C3" s="30">
        <v>31069</v>
      </c>
      <c r="D3" s="30">
        <v>52487</v>
      </c>
      <c r="E3" s="30">
        <v>61376</v>
      </c>
      <c r="F3" s="30">
        <v>47360</v>
      </c>
      <c r="G3" s="30">
        <v>16092</v>
      </c>
      <c r="H3" s="30">
        <v>113863</v>
      </c>
      <c r="I3" s="30">
        <v>63452</v>
      </c>
      <c r="J3" s="30">
        <v>108372</v>
      </c>
      <c r="K3" s="30">
        <v>112324</v>
      </c>
      <c r="L3" s="30"/>
      <c r="M3" s="30"/>
      <c r="N3" s="30"/>
      <c r="O3" s="30"/>
      <c r="P3" s="30"/>
      <c r="Q3" s="30"/>
      <c r="R3" s="30"/>
      <c r="S3" s="30"/>
      <c r="T3" s="30"/>
      <c r="U3" s="30"/>
      <c r="V3" s="30"/>
      <c r="W3" s="30"/>
      <c r="X3" s="30"/>
      <c r="Y3" s="30"/>
      <c r="Z3" s="30"/>
      <c r="AA3" s="30"/>
      <c r="AB3" s="30"/>
      <c r="AC3" s="30"/>
      <c r="AD3" s="30"/>
      <c r="AE3" s="30"/>
    </row>
    <row r="4" spans="1:31" x14ac:dyDescent="0.2">
      <c r="A4" s="29">
        <v>2015</v>
      </c>
      <c r="B4" s="30">
        <v>221507</v>
      </c>
      <c r="C4" s="30">
        <v>31553</v>
      </c>
      <c r="D4" s="30">
        <v>52294</v>
      </c>
      <c r="E4" s="30">
        <v>61290</v>
      </c>
      <c r="F4" s="30">
        <v>47924</v>
      </c>
      <c r="G4" s="30">
        <v>16290</v>
      </c>
      <c r="H4" s="30">
        <v>113584</v>
      </c>
      <c r="I4" s="30">
        <v>64214</v>
      </c>
      <c r="J4" s="30">
        <v>108739</v>
      </c>
      <c r="K4" s="30">
        <v>112768</v>
      </c>
      <c r="L4" s="30"/>
      <c r="M4" s="30"/>
      <c r="N4" s="30"/>
      <c r="O4" s="30"/>
      <c r="P4" s="30"/>
      <c r="Q4" s="30"/>
      <c r="R4" s="30"/>
      <c r="S4" s="30"/>
      <c r="T4" s="30"/>
      <c r="U4" s="30"/>
      <c r="V4" s="30"/>
      <c r="W4" s="30"/>
      <c r="X4" s="30"/>
      <c r="Y4" s="30"/>
      <c r="Z4" s="30"/>
      <c r="AA4" s="30"/>
      <c r="AB4" s="30"/>
      <c r="AC4" s="30"/>
      <c r="AD4" s="30"/>
      <c r="AE4" s="30"/>
    </row>
    <row r="5" spans="1:31" x14ac:dyDescent="0.2">
      <c r="A5" s="29">
        <v>2016</v>
      </c>
      <c r="B5" s="30">
        <v>223109</v>
      </c>
      <c r="C5" s="30">
        <v>31971</v>
      </c>
      <c r="D5" s="30">
        <v>52548</v>
      </c>
      <c r="E5" s="30">
        <v>60820</v>
      </c>
      <c r="F5" s="30">
        <v>49064</v>
      </c>
      <c r="G5" s="30">
        <v>16452</v>
      </c>
      <c r="H5" s="30">
        <v>113368</v>
      </c>
      <c r="I5" s="30">
        <v>65516</v>
      </c>
      <c r="J5" s="30">
        <v>109506</v>
      </c>
      <c r="K5" s="30">
        <v>113603</v>
      </c>
      <c r="L5" s="30"/>
      <c r="M5" s="30"/>
      <c r="N5" s="30"/>
      <c r="O5" s="30"/>
      <c r="P5" s="30"/>
      <c r="Q5" s="30"/>
      <c r="R5" s="30"/>
      <c r="S5" s="30"/>
      <c r="T5" s="30"/>
      <c r="U5" s="30"/>
      <c r="V5" s="30"/>
      <c r="W5" s="30"/>
      <c r="X5" s="30"/>
      <c r="Y5" s="30"/>
      <c r="Z5" s="30"/>
      <c r="AA5" s="30"/>
      <c r="AB5" s="30"/>
      <c r="AC5" s="30"/>
      <c r="AD5" s="30"/>
      <c r="AE5" s="30"/>
    </row>
    <row r="6" spans="1:31" x14ac:dyDescent="0.2">
      <c r="A6" s="29">
        <v>2017</v>
      </c>
      <c r="B6" s="30">
        <v>224119</v>
      </c>
      <c r="C6" s="30">
        <v>32497</v>
      </c>
      <c r="D6" s="30">
        <v>52454</v>
      </c>
      <c r="E6" s="30">
        <v>60366</v>
      </c>
      <c r="F6" s="30">
        <v>49866</v>
      </c>
      <c r="G6" s="30">
        <v>16706</v>
      </c>
      <c r="H6" s="30">
        <v>112820</v>
      </c>
      <c r="I6" s="30">
        <v>66572</v>
      </c>
      <c r="J6" s="30">
        <v>110060</v>
      </c>
      <c r="K6" s="30">
        <v>114059</v>
      </c>
      <c r="L6" s="30"/>
      <c r="M6" s="30"/>
      <c r="N6" s="30"/>
      <c r="O6" s="30"/>
      <c r="P6" s="30"/>
      <c r="Q6" s="30"/>
      <c r="R6" s="30"/>
      <c r="S6" s="30"/>
      <c r="T6" s="30"/>
      <c r="U6" s="30"/>
      <c r="V6" s="30"/>
      <c r="W6" s="30"/>
      <c r="X6" s="30"/>
      <c r="Y6" s="30"/>
      <c r="Z6" s="30"/>
      <c r="AA6" s="30"/>
      <c r="AB6" s="30"/>
      <c r="AC6" s="30"/>
      <c r="AD6" s="30"/>
      <c r="AE6" s="30"/>
    </row>
    <row r="7" spans="1:31" x14ac:dyDescent="0.2">
      <c r="A7" s="29">
        <v>2018</v>
      </c>
      <c r="B7" s="30">
        <v>225197</v>
      </c>
      <c r="C7" s="30">
        <v>33278</v>
      </c>
      <c r="D7" s="30">
        <v>52388</v>
      </c>
      <c r="E7" s="30">
        <v>60141</v>
      </c>
      <c r="F7" s="30">
        <v>50363</v>
      </c>
      <c r="G7" s="30">
        <v>17013</v>
      </c>
      <c r="H7" s="30">
        <v>112529</v>
      </c>
      <c r="I7" s="30">
        <v>67376</v>
      </c>
      <c r="J7" s="30">
        <v>110673</v>
      </c>
      <c r="K7" s="30">
        <v>114524</v>
      </c>
      <c r="L7" s="30"/>
      <c r="M7" s="30"/>
      <c r="N7" s="30"/>
      <c r="O7" s="30"/>
      <c r="P7" s="30"/>
      <c r="Q7" s="30"/>
      <c r="R7" s="30"/>
      <c r="S7" s="30"/>
      <c r="T7" s="30"/>
      <c r="U7" s="30"/>
      <c r="V7" s="30"/>
      <c r="W7" s="30"/>
      <c r="X7" s="30"/>
      <c r="Y7" s="30"/>
      <c r="Z7" s="30"/>
      <c r="AA7" s="30"/>
      <c r="AB7" s="30"/>
      <c r="AC7" s="30"/>
      <c r="AD7" s="30"/>
      <c r="AE7" s="30"/>
    </row>
    <row r="8" spans="1:31" x14ac:dyDescent="0.2">
      <c r="A8" s="29">
        <v>2019</v>
      </c>
      <c r="B8" s="30">
        <v>226493</v>
      </c>
      <c r="C8" s="30">
        <v>33786</v>
      </c>
      <c r="D8" s="30">
        <v>52431</v>
      </c>
      <c r="E8" s="30">
        <v>59860</v>
      </c>
      <c r="F8" s="30">
        <v>50976</v>
      </c>
      <c r="G8" s="30">
        <v>17465</v>
      </c>
      <c r="H8" s="30">
        <v>112291</v>
      </c>
      <c r="I8" s="30">
        <v>68441</v>
      </c>
      <c r="J8" s="30">
        <v>111630</v>
      </c>
      <c r="K8" s="30">
        <v>114863</v>
      </c>
      <c r="L8" s="30"/>
      <c r="M8" s="30"/>
      <c r="N8" s="30"/>
      <c r="O8" s="30"/>
      <c r="P8" s="30"/>
      <c r="Q8" s="30"/>
      <c r="R8" s="30"/>
      <c r="S8" s="30"/>
      <c r="T8" s="30"/>
      <c r="U8" s="30"/>
      <c r="V8" s="30"/>
      <c r="W8" s="30"/>
      <c r="X8" s="30"/>
      <c r="Y8" s="30"/>
      <c r="Z8" s="30"/>
      <c r="AA8" s="30"/>
      <c r="AB8" s="30"/>
      <c r="AC8" s="30"/>
      <c r="AD8" s="30"/>
      <c r="AE8" s="30"/>
    </row>
    <row r="9" spans="1:31" x14ac:dyDescent="0.2">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XFD9"/>
    </sheetView>
  </sheetViews>
  <sheetFormatPr defaultColWidth="8.69921875" defaultRowHeight="14.25" x14ac:dyDescent="0.2"/>
  <cols>
    <col min="1" max="1" width="18.8984375" style="29" customWidth="1"/>
    <col min="2" max="2" width="17.296875" style="29" customWidth="1"/>
    <col min="3" max="9" width="8.69921875" style="29"/>
    <col min="10" max="10" width="14.3984375" style="29" customWidth="1"/>
    <col min="11" max="11" width="13.5" style="29" customWidth="1"/>
    <col min="12" max="12" width="13.3984375" style="29" customWidth="1"/>
    <col min="13" max="13" width="8.69921875" style="29"/>
    <col min="14" max="14" width="9.59765625" style="29" customWidth="1"/>
    <col min="15" max="15" width="8.69921875" style="29"/>
    <col min="16" max="16" width="20" style="29" customWidth="1"/>
    <col min="17" max="17" width="21" style="29" customWidth="1"/>
    <col min="18" max="18" width="24" style="29" customWidth="1"/>
    <col min="19" max="19" width="32.796875" style="29" customWidth="1"/>
    <col min="20" max="20" width="32.69921875" style="29" customWidth="1"/>
    <col min="21" max="21" width="32.296875" style="29" customWidth="1"/>
    <col min="22" max="22" width="29.5" style="29" customWidth="1"/>
    <col min="23" max="23" width="25.09765625" style="29" customWidth="1"/>
    <col min="24" max="24" width="13.8984375" style="29" customWidth="1"/>
    <col min="25" max="25" width="21.796875" style="29" customWidth="1"/>
    <col min="26" max="26" width="42" style="29" customWidth="1"/>
    <col min="27" max="27" width="39.5" style="29" customWidth="1"/>
    <col min="28" max="28" width="24.59765625" style="29" customWidth="1"/>
    <col min="29" max="29" width="21.8984375" style="29" customWidth="1"/>
    <col min="30"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s="30" customFormat="1" x14ac:dyDescent="0.2">
      <c r="A3" s="29">
        <v>2014</v>
      </c>
      <c r="B3" s="30">
        <v>232319</v>
      </c>
      <c r="C3" s="30">
        <v>35662</v>
      </c>
      <c r="D3" s="30">
        <v>51011</v>
      </c>
      <c r="E3" s="30">
        <v>68310</v>
      </c>
      <c r="F3" s="30">
        <v>46054</v>
      </c>
      <c r="G3" s="30">
        <v>19054</v>
      </c>
      <c r="H3" s="30">
        <v>119321</v>
      </c>
      <c r="I3" s="30">
        <v>65108</v>
      </c>
      <c r="J3" s="30">
        <v>113934</v>
      </c>
      <c r="K3" s="30">
        <v>118385</v>
      </c>
    </row>
    <row r="4" spans="1:31" s="30" customFormat="1" x14ac:dyDescent="0.2">
      <c r="A4" s="29">
        <v>2015</v>
      </c>
      <c r="B4" s="30">
        <v>232975</v>
      </c>
      <c r="C4" s="30">
        <v>36267</v>
      </c>
      <c r="D4" s="30">
        <v>50230</v>
      </c>
      <c r="E4" s="30">
        <v>68531</v>
      </c>
      <c r="F4" s="30">
        <v>46639</v>
      </c>
      <c r="G4" s="30">
        <v>19172</v>
      </c>
      <c r="H4" s="30">
        <v>118761</v>
      </c>
      <c r="I4" s="30">
        <v>65811</v>
      </c>
      <c r="J4" s="30">
        <v>114130</v>
      </c>
      <c r="K4" s="30">
        <v>118845</v>
      </c>
    </row>
    <row r="5" spans="1:31" s="30" customFormat="1" x14ac:dyDescent="0.2">
      <c r="A5" s="29">
        <v>2016</v>
      </c>
      <c r="B5" s="30">
        <v>234210</v>
      </c>
      <c r="C5" s="30">
        <v>37105</v>
      </c>
      <c r="D5" s="30">
        <v>49319</v>
      </c>
      <c r="E5" s="30">
        <v>68958</v>
      </c>
      <c r="F5" s="30">
        <v>47464</v>
      </c>
      <c r="G5" s="30">
        <v>19235</v>
      </c>
      <c r="H5" s="30">
        <v>118277</v>
      </c>
      <c r="I5" s="30">
        <v>66699</v>
      </c>
      <c r="J5" s="30">
        <v>114613</v>
      </c>
      <c r="K5" s="30">
        <v>119597</v>
      </c>
    </row>
    <row r="6" spans="1:31" s="30" customFormat="1" x14ac:dyDescent="0.2">
      <c r="A6" s="29">
        <v>2017</v>
      </c>
      <c r="B6" s="30">
        <v>235493</v>
      </c>
      <c r="C6" s="30">
        <v>37913</v>
      </c>
      <c r="D6" s="30">
        <v>48895</v>
      </c>
      <c r="E6" s="30">
        <v>68913</v>
      </c>
      <c r="F6" s="30">
        <v>48338</v>
      </c>
      <c r="G6" s="30">
        <v>19299</v>
      </c>
      <c r="H6" s="30">
        <v>117808</v>
      </c>
      <c r="I6" s="30">
        <v>67637</v>
      </c>
      <c r="J6" s="30">
        <v>115217</v>
      </c>
      <c r="K6" s="30">
        <v>120276</v>
      </c>
    </row>
    <row r="7" spans="1:31" s="30" customFormat="1" x14ac:dyDescent="0.2">
      <c r="A7" s="29">
        <v>2018</v>
      </c>
      <c r="B7" s="30">
        <v>236370</v>
      </c>
      <c r="C7" s="30">
        <v>38664</v>
      </c>
      <c r="D7" s="30">
        <v>48424</v>
      </c>
      <c r="E7" s="30">
        <v>68823</v>
      </c>
      <c r="F7" s="30">
        <v>49157</v>
      </c>
      <c r="G7" s="30">
        <v>19481</v>
      </c>
      <c r="H7" s="30">
        <v>117247</v>
      </c>
      <c r="I7" s="30">
        <v>68638</v>
      </c>
      <c r="J7" s="30">
        <v>115579</v>
      </c>
      <c r="K7" s="30">
        <v>120791</v>
      </c>
    </row>
    <row r="8" spans="1:31" s="30" customFormat="1" x14ac:dyDescent="0.2">
      <c r="A8" s="29">
        <v>2019</v>
      </c>
      <c r="B8" s="30">
        <v>237354</v>
      </c>
      <c r="C8" s="30">
        <v>39293</v>
      </c>
      <c r="D8" s="30">
        <v>48290</v>
      </c>
      <c r="E8" s="30">
        <v>68608</v>
      </c>
      <c r="F8" s="30">
        <v>49903</v>
      </c>
      <c r="G8" s="30">
        <v>19881</v>
      </c>
      <c r="H8" s="30">
        <v>116898</v>
      </c>
      <c r="I8" s="30">
        <v>69784</v>
      </c>
      <c r="J8" s="30">
        <v>116078</v>
      </c>
      <c r="K8" s="30">
        <v>121276</v>
      </c>
    </row>
    <row r="9" spans="1:31" s="30" customFormat="1" x14ac:dyDescent="0.2">
      <c r="A9" s="29">
        <v>2020</v>
      </c>
    </row>
  </sheetData>
  <pageMargins left="0.7" right="0.7" top="0.75" bottom="0.75" header="0.3" footer="0.3"/>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12"/>
  <sheetViews>
    <sheetView topLeftCell="E1" workbookViewId="0">
      <selection activeCell="P3" sqref="P3"/>
    </sheetView>
  </sheetViews>
  <sheetFormatPr defaultColWidth="8.69921875" defaultRowHeight="14.25" x14ac:dyDescent="0.2"/>
  <cols>
    <col min="1" max="1" width="18.8984375" style="29" customWidth="1"/>
    <col min="2" max="2" width="17.296875" style="29" customWidth="1"/>
    <col min="3" max="9" width="8.69921875" style="29"/>
    <col min="10" max="10" width="14.3984375" style="29" customWidth="1"/>
    <col min="11" max="11" width="13.5" style="29" customWidth="1"/>
    <col min="12" max="12" width="13.3984375" style="29" customWidth="1"/>
    <col min="13" max="13" width="8.69921875" style="29"/>
    <col min="14" max="14" width="9.59765625" style="29" customWidth="1"/>
    <col min="15" max="15" width="8.69921875" style="29"/>
    <col min="16" max="16" width="20" style="29" customWidth="1"/>
    <col min="17" max="17" width="21" style="29" customWidth="1"/>
    <col min="18" max="18" width="24" style="29" customWidth="1"/>
    <col min="19" max="19" width="32.796875" style="29" customWidth="1"/>
    <col min="20" max="20" width="32.69921875" style="29" customWidth="1"/>
    <col min="21" max="21" width="32.296875" style="29" customWidth="1"/>
    <col min="22" max="22" width="29.5" style="29" customWidth="1"/>
    <col min="23" max="23" width="25.09765625" style="29" customWidth="1"/>
    <col min="24" max="24" width="13.8984375" style="29" customWidth="1"/>
    <col min="25" max="25" width="21.796875" style="29" customWidth="1"/>
    <col min="26" max="26" width="42" style="29" customWidth="1"/>
    <col min="27" max="27" width="39.5" style="29" customWidth="1"/>
    <col min="28" max="28" width="24.59765625" style="29" customWidth="1"/>
    <col min="29" max="29" width="21.8984375" style="29" customWidth="1"/>
    <col min="30" max="16384" width="8.69921875" style="29"/>
  </cols>
  <sheetData>
    <row r="2" spans="1:31" x14ac:dyDescent="0.2">
      <c r="A2" s="29" t="s">
        <v>251</v>
      </c>
      <c r="B2" s="29" t="s">
        <v>164</v>
      </c>
      <c r="C2" s="126" t="s">
        <v>249</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250</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
      <c r="A3" s="29">
        <v>2011</v>
      </c>
      <c r="B3" s="130"/>
      <c r="C3" s="130"/>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row>
    <row r="4" spans="1:31" x14ac:dyDescent="0.2">
      <c r="A4" s="29">
        <v>2014</v>
      </c>
      <c r="B4" s="30">
        <v>321114</v>
      </c>
      <c r="C4" s="30">
        <v>44445</v>
      </c>
      <c r="D4" s="30">
        <v>74339</v>
      </c>
      <c r="E4" s="30">
        <v>90984</v>
      </c>
      <c r="F4" s="30">
        <v>72320</v>
      </c>
      <c r="G4" s="30">
        <v>23285</v>
      </c>
      <c r="H4" s="30">
        <v>165323</v>
      </c>
      <c r="I4" s="30">
        <v>95605</v>
      </c>
      <c r="J4" s="30">
        <v>159642</v>
      </c>
      <c r="K4" s="30">
        <v>161472</v>
      </c>
      <c r="L4" s="30"/>
      <c r="M4" s="30"/>
      <c r="N4" s="30"/>
      <c r="O4" s="30"/>
      <c r="P4" s="30"/>
      <c r="Q4" s="30"/>
      <c r="R4" s="30"/>
      <c r="S4" s="30"/>
      <c r="T4" s="30"/>
      <c r="U4" s="30"/>
      <c r="V4" s="30"/>
      <c r="W4" s="30"/>
      <c r="X4" s="30"/>
      <c r="Y4" s="30"/>
      <c r="Z4" s="30"/>
      <c r="AA4" s="30"/>
      <c r="AB4" s="30"/>
      <c r="AC4" s="30"/>
      <c r="AD4" s="30"/>
      <c r="AE4" s="30"/>
    </row>
    <row r="5" spans="1:31" x14ac:dyDescent="0.2">
      <c r="A5" s="29">
        <v>2015</v>
      </c>
      <c r="B5" s="30">
        <v>322244</v>
      </c>
      <c r="C5" s="30">
        <v>44877</v>
      </c>
      <c r="D5" s="30">
        <v>74154</v>
      </c>
      <c r="E5" s="30">
        <v>90786</v>
      </c>
      <c r="F5" s="30">
        <v>73150</v>
      </c>
      <c r="G5" s="30">
        <v>23881</v>
      </c>
      <c r="H5" s="30">
        <v>164940</v>
      </c>
      <c r="I5" s="30">
        <v>97031</v>
      </c>
      <c r="J5" s="30">
        <v>160369</v>
      </c>
      <c r="K5" s="30">
        <v>161875</v>
      </c>
      <c r="L5" s="30"/>
      <c r="M5" s="30"/>
      <c r="N5" s="30"/>
      <c r="O5" s="30"/>
      <c r="P5" s="30"/>
      <c r="Q5" s="30"/>
      <c r="R5" s="30"/>
      <c r="S5" s="30"/>
      <c r="T5" s="30"/>
      <c r="U5" s="30"/>
      <c r="V5" s="30"/>
      <c r="W5" s="30"/>
      <c r="X5" s="30"/>
      <c r="Y5" s="30"/>
      <c r="Z5" s="30"/>
      <c r="AA5" s="30"/>
      <c r="AB5" s="30"/>
      <c r="AC5" s="30"/>
      <c r="AD5" s="30"/>
      <c r="AE5" s="30"/>
    </row>
    <row r="6" spans="1:31" x14ac:dyDescent="0.2">
      <c r="A6" s="29">
        <v>2016</v>
      </c>
      <c r="B6" s="30">
        <v>323526</v>
      </c>
      <c r="C6" s="30">
        <v>45389</v>
      </c>
      <c r="D6" s="30">
        <v>73753</v>
      </c>
      <c r="E6" s="30">
        <v>90386</v>
      </c>
      <c r="F6" s="30">
        <v>74463</v>
      </c>
      <c r="G6" s="30">
        <v>24358</v>
      </c>
      <c r="H6" s="30">
        <v>164139</v>
      </c>
      <c r="I6" s="30">
        <v>98821</v>
      </c>
      <c r="J6" s="30">
        <v>161301</v>
      </c>
      <c r="K6" s="30">
        <v>162225</v>
      </c>
      <c r="L6" s="30"/>
      <c r="M6" s="30"/>
      <c r="N6" s="30"/>
      <c r="O6" s="30"/>
      <c r="P6" s="30"/>
      <c r="Q6" s="30"/>
      <c r="R6" s="30"/>
      <c r="S6" s="30"/>
      <c r="T6" s="30"/>
      <c r="U6" s="30"/>
      <c r="V6" s="30"/>
      <c r="W6" s="30"/>
      <c r="X6" s="30"/>
      <c r="Y6" s="30"/>
      <c r="Z6" s="30"/>
      <c r="AA6" s="30"/>
      <c r="AB6" s="30"/>
      <c r="AC6" s="30"/>
      <c r="AD6" s="30"/>
      <c r="AE6" s="30"/>
    </row>
    <row r="7" spans="1:31" x14ac:dyDescent="0.2">
      <c r="A7" s="29">
        <v>2017</v>
      </c>
      <c r="B7" s="30">
        <v>324650</v>
      </c>
      <c r="C7" s="30">
        <v>45929</v>
      </c>
      <c r="D7" s="30">
        <v>73309</v>
      </c>
      <c r="E7" s="30">
        <v>89948</v>
      </c>
      <c r="F7" s="30">
        <v>75568</v>
      </c>
      <c r="G7" s="30">
        <v>25012</v>
      </c>
      <c r="H7" s="30">
        <v>163257</v>
      </c>
      <c r="I7" s="30">
        <v>100580</v>
      </c>
      <c r="J7" s="30">
        <v>161968</v>
      </c>
      <c r="K7" s="30">
        <v>162682</v>
      </c>
      <c r="L7" s="30"/>
      <c r="M7" s="30"/>
      <c r="N7" s="30"/>
      <c r="O7" s="30"/>
      <c r="P7" s="30"/>
      <c r="Q7" s="30"/>
      <c r="R7" s="30"/>
      <c r="S7" s="30"/>
      <c r="T7" s="30"/>
      <c r="U7" s="30"/>
      <c r="V7" s="30"/>
      <c r="W7" s="30"/>
      <c r="X7" s="30"/>
      <c r="Y7" s="30"/>
      <c r="Z7" s="30"/>
      <c r="AA7" s="30"/>
      <c r="AB7" s="30"/>
      <c r="AC7" s="30"/>
      <c r="AD7" s="30"/>
      <c r="AE7" s="30"/>
    </row>
    <row r="8" spans="1:31" x14ac:dyDescent="0.2">
      <c r="A8" s="29">
        <v>2018</v>
      </c>
      <c r="B8" s="30">
        <v>326088</v>
      </c>
      <c r="C8" s="30">
        <v>46309</v>
      </c>
      <c r="D8" s="30">
        <v>73064</v>
      </c>
      <c r="E8" s="30">
        <v>89616</v>
      </c>
      <c r="F8" s="30">
        <v>76291</v>
      </c>
      <c r="G8" s="30">
        <v>25874</v>
      </c>
      <c r="H8" s="30">
        <v>162680</v>
      </c>
      <c r="I8" s="30">
        <v>102165</v>
      </c>
      <c r="J8" s="30">
        <v>162617</v>
      </c>
      <c r="K8" s="30">
        <v>163471</v>
      </c>
      <c r="L8" s="30"/>
      <c r="M8" s="30"/>
      <c r="N8" s="30"/>
      <c r="O8" s="30"/>
      <c r="P8" s="30"/>
      <c r="Q8" s="30"/>
      <c r="R8" s="30"/>
      <c r="S8" s="30"/>
      <c r="T8" s="30"/>
      <c r="U8" s="30"/>
      <c r="V8" s="30"/>
      <c r="W8" s="30"/>
      <c r="X8" s="30"/>
      <c r="Y8" s="30"/>
      <c r="Z8" s="30"/>
      <c r="AA8" s="30"/>
      <c r="AB8" s="30"/>
      <c r="AC8" s="30"/>
      <c r="AD8" s="30"/>
      <c r="AE8" s="30"/>
    </row>
    <row r="9" spans="1:31" x14ac:dyDescent="0.2">
      <c r="A9" s="29">
        <v>2019</v>
      </c>
      <c r="B9" s="30">
        <v>328662</v>
      </c>
      <c r="C9" s="30">
        <v>47031</v>
      </c>
      <c r="D9" s="30">
        <v>73157</v>
      </c>
      <c r="E9" s="30">
        <v>89231</v>
      </c>
      <c r="F9" s="30">
        <v>77547</v>
      </c>
      <c r="G9" s="30">
        <v>26965</v>
      </c>
      <c r="H9" s="30">
        <v>162388</v>
      </c>
      <c r="I9" s="30">
        <v>104512</v>
      </c>
      <c r="J9" s="30">
        <v>163978</v>
      </c>
      <c r="K9" s="30">
        <v>164684</v>
      </c>
      <c r="L9" s="30"/>
      <c r="M9" s="30"/>
      <c r="N9" s="30"/>
      <c r="O9" s="30"/>
      <c r="P9" s="30"/>
      <c r="Q9" s="30"/>
      <c r="R9" s="30"/>
      <c r="S9" s="30"/>
      <c r="T9" s="30"/>
      <c r="U9" s="30"/>
      <c r="V9" s="30"/>
      <c r="W9" s="30"/>
      <c r="X9" s="30"/>
      <c r="Y9" s="30"/>
      <c r="Z9" s="30"/>
      <c r="AA9" s="30"/>
      <c r="AB9" s="30"/>
      <c r="AC9" s="30"/>
      <c r="AD9" s="30"/>
      <c r="AE9" s="30"/>
    </row>
    <row r="10" spans="1:31" x14ac:dyDescent="0.2">
      <c r="A10" s="29">
        <v>2020</v>
      </c>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row>
    <row r="12" spans="1:31" x14ac:dyDescent="0.2">
      <c r="A12" s="29" t="s">
        <v>257</v>
      </c>
      <c r="B12" s="29" t="s">
        <v>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845E0E-2972-4108-8D1B-087F152ED5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Description</vt:lpstr>
      <vt:lpstr>Selection</vt:lpstr>
      <vt:lpstr>Targets</vt:lpstr>
      <vt:lpstr>Area Overview</vt:lpstr>
      <vt:lpstr>Bar Graphs Adults</vt:lpstr>
      <vt:lpstr>Line Graphs Adults</vt:lpstr>
      <vt:lpstr>Moving Comparision</vt:lpstr>
      <vt:lpstr>Inequalities</vt:lpstr>
      <vt:lpstr>Inequalities - Time</vt:lpstr>
      <vt:lpstr>Inequalities Gap</vt:lpstr>
      <vt:lpstr>Demographics</vt:lpstr>
      <vt:lpstr>Walking</vt:lpstr>
      <vt:lpstr>Volunteering</vt:lpstr>
      <vt:lpstr>Volunteering Comparision</vt:lpstr>
      <vt:lpstr>Bar Graphs CYP</vt:lpstr>
      <vt:lpstr>Line Graphs CYP</vt:lpstr>
      <vt:lpstr>Inequalities Spare</vt:lpstr>
      <vt:lpstr>Inequalities CYP</vt:lpstr>
      <vt:lpstr>Lists</vt:lpstr>
      <vt:lpstr>Volunteering CYP</vt:lpstr>
      <vt:lpstr>Volunteering CYP Comparision</vt:lpstr>
      <vt:lpstr>Full Adult Active Lives</vt:lpstr>
      <vt:lpstr>Full CYP Active Lives</vt:lpstr>
      <vt:lpstr>England</vt:lpstr>
      <vt:lpstr>GM</vt:lpstr>
      <vt:lpstr>Bolton</vt:lpstr>
      <vt:lpstr>Bury</vt:lpstr>
      <vt:lpstr>Manchester</vt:lpstr>
      <vt:lpstr>Oldham</vt:lpstr>
      <vt:lpstr>Rochdale</vt:lpstr>
      <vt:lpstr>Salford</vt:lpstr>
      <vt:lpstr>Stockport</vt:lpstr>
      <vt:lpstr>Tameside</vt:lpstr>
      <vt:lpstr>Trafford</vt:lpstr>
      <vt:lpstr>Wigan</vt:lpstr>
      <vt:lpstr>Additional Graphs</vt:lpstr>
      <vt:lpstr>England CYP</vt:lpstr>
      <vt:lpstr>GM CYP</vt:lpstr>
      <vt:lpstr>Bolton CYP</vt:lpstr>
      <vt:lpstr>Bury CYP</vt:lpstr>
      <vt:lpstr>Manchester CYP</vt:lpstr>
      <vt:lpstr>Oldham CYP</vt:lpstr>
      <vt:lpstr>Rochdale CYP</vt:lpstr>
      <vt:lpstr>Salford CYP</vt:lpstr>
      <vt:lpstr>Stockport CYP</vt:lpstr>
      <vt:lpstr>Tameside CYP</vt:lpstr>
      <vt:lpstr>Trafford CYP</vt:lpstr>
      <vt:lpstr>Wigan CYP</vt:lpstr>
      <vt:lpstr>England Demographics</vt:lpstr>
      <vt:lpstr>GM Demographics</vt:lpstr>
      <vt:lpstr>Bolton Demographics</vt:lpstr>
      <vt:lpstr>Bury Demographics</vt:lpstr>
      <vt:lpstr>Manchester Demographics</vt:lpstr>
      <vt:lpstr>Oldham Demographics</vt:lpstr>
      <vt:lpstr>Rochdale Demographics</vt:lpstr>
      <vt:lpstr>Salford Demographics</vt:lpstr>
      <vt:lpstr>Stockport Demographics</vt:lpstr>
      <vt:lpstr>Tameside Demographics</vt:lpstr>
      <vt:lpstr>Trafford Demographics</vt:lpstr>
      <vt:lpstr>Wigan Demographics</vt:lpstr>
    </vt:vector>
  </TitlesOfParts>
  <Company>Concise Technologies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Phoebe Fryer</dc:creator>
  <cp:lastModifiedBy>Phoebe Fryer</cp:lastModifiedBy>
  <dcterms:created xsi:type="dcterms:W3CDTF">2020-05-13T09:22:47Z</dcterms:created>
  <dcterms:modified xsi:type="dcterms:W3CDTF">2020-11-26T09:41:11Z</dcterms:modified>
</cp:coreProperties>
</file>