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\3d\2022\2022-10-14-clock1\"/>
    </mc:Choice>
  </mc:AlternateContent>
  <xr:revisionPtr revIDLastSave="0" documentId="13_ncr:1_{D9FF39C8-8A9B-4018-93DE-D8826F9102DA}" xr6:coauthVersionLast="47" xr6:coauthVersionMax="47" xr10:uidLastSave="{00000000-0000-0000-0000-000000000000}"/>
  <bookViews>
    <workbookView xWindow="3810" yWindow="810" windowWidth="20985" windowHeight="14535" xr2:uid="{47272E06-AC6B-4845-A754-AAC9A3072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I22" i="1"/>
  <c r="G22" i="1"/>
  <c r="F22" i="1"/>
  <c r="D22" i="1"/>
  <c r="C22" i="1"/>
  <c r="K44" i="1"/>
  <c r="K28" i="1"/>
  <c r="K17" i="1"/>
  <c r="K18" i="1" s="1"/>
  <c r="K30" i="1" s="1"/>
  <c r="K12" i="1"/>
  <c r="C28" i="1"/>
  <c r="I12" i="1"/>
  <c r="I28" i="1"/>
  <c r="I17" i="1"/>
  <c r="I18" i="1" s="1"/>
  <c r="I30" i="1" s="1"/>
  <c r="G28" i="1"/>
  <c r="G17" i="1"/>
  <c r="G26" i="1" s="1"/>
  <c r="G12" i="1"/>
  <c r="F28" i="1"/>
  <c r="F17" i="1"/>
  <c r="F26" i="1" s="1"/>
  <c r="F12" i="1"/>
  <c r="C3" i="1"/>
  <c r="C7" i="1" s="1"/>
  <c r="C6" i="1"/>
  <c r="D17" i="1"/>
  <c r="D26" i="1" s="1"/>
  <c r="C17" i="1"/>
  <c r="C26" i="1" s="1"/>
  <c r="D28" i="1"/>
  <c r="K21" i="1" l="1"/>
  <c r="K27" i="1" s="1"/>
  <c r="K23" i="1"/>
  <c r="K31" i="1" s="1"/>
  <c r="K42" i="1" s="1"/>
  <c r="K29" i="1"/>
  <c r="K19" i="1"/>
  <c r="K32" i="1" s="1"/>
  <c r="K26" i="1"/>
  <c r="G21" i="1"/>
  <c r="G27" i="1" s="1"/>
  <c r="G40" i="1" s="1"/>
  <c r="F21" i="1"/>
  <c r="F27" i="1" s="1"/>
  <c r="F40" i="1" s="1"/>
  <c r="G29" i="1"/>
  <c r="G41" i="1" s="1"/>
  <c r="I21" i="1"/>
  <c r="I27" i="1" s="1"/>
  <c r="I29" i="1"/>
  <c r="I41" i="1" s="1"/>
  <c r="I23" i="1"/>
  <c r="I31" i="1" s="1"/>
  <c r="I42" i="1" s="1"/>
  <c r="C29" i="1"/>
  <c r="C41" i="1" s="1"/>
  <c r="G23" i="1"/>
  <c r="G31" i="1" s="1"/>
  <c r="C21" i="1"/>
  <c r="C27" i="1" s="1"/>
  <c r="C40" i="1" s="1"/>
  <c r="I19" i="1"/>
  <c r="I32" i="1" s="1"/>
  <c r="I26" i="1"/>
  <c r="G18" i="1"/>
  <c r="G30" i="1" s="1"/>
  <c r="G19" i="1"/>
  <c r="G32" i="1" s="1"/>
  <c r="F19" i="1"/>
  <c r="F32" i="1" s="1"/>
  <c r="F29" i="1"/>
  <c r="F41" i="1" s="1"/>
  <c r="F23" i="1"/>
  <c r="F31" i="1" s="1"/>
  <c r="F18" i="1"/>
  <c r="F30" i="1" s="1"/>
  <c r="C8" i="1"/>
  <c r="K24" i="1" s="1"/>
  <c r="K33" i="1" s="1"/>
  <c r="D21" i="1"/>
  <c r="D27" i="1" s="1"/>
  <c r="D40" i="1" s="1"/>
  <c r="D29" i="1"/>
  <c r="D41" i="1" s="1"/>
  <c r="K41" i="1" l="1"/>
  <c r="K37" i="1"/>
  <c r="K47" i="1" s="1"/>
  <c r="K43" i="1"/>
  <c r="K40" i="1"/>
  <c r="F42" i="1"/>
  <c r="G42" i="1"/>
  <c r="C37" i="1"/>
  <c r="C47" i="1" s="1"/>
  <c r="C45" i="1"/>
  <c r="F24" i="1"/>
  <c r="F33" i="1" s="1"/>
  <c r="F43" i="1" s="1"/>
  <c r="I24" i="1"/>
  <c r="I33" i="1" s="1"/>
  <c r="I37" i="1" s="1"/>
  <c r="G24" i="1"/>
  <c r="G33" i="1" s="1"/>
  <c r="G37" i="1" s="1"/>
  <c r="G47" i="1" s="1"/>
  <c r="I40" i="1"/>
  <c r="D45" i="1"/>
  <c r="D37" i="1"/>
  <c r="K45" i="1" l="1"/>
  <c r="K49" i="1" s="1"/>
  <c r="C49" i="1"/>
  <c r="I47" i="1"/>
  <c r="F45" i="1"/>
  <c r="F37" i="1"/>
  <c r="F47" i="1" s="1"/>
  <c r="I43" i="1"/>
  <c r="I45" i="1" s="1"/>
  <c r="G43" i="1"/>
  <c r="G45" i="1" s="1"/>
  <c r="G49" i="1" s="1"/>
  <c r="D47" i="1"/>
  <c r="D49" i="1" s="1"/>
  <c r="F49" i="1" l="1"/>
  <c r="I49" i="1"/>
</calcChain>
</file>

<file path=xl/sharedStrings.xml><?xml version="1.0" encoding="utf-8"?>
<sst xmlns="http://schemas.openxmlformats.org/spreadsheetml/2006/main" count="64" uniqueCount="64">
  <si>
    <t>shaft inertia</t>
  </si>
  <si>
    <t>shaft length, mm</t>
  </si>
  <si>
    <t>ball diameter, mm</t>
  </si>
  <si>
    <t>shaft mass, grams</t>
  </si>
  <si>
    <t>ball mass, grams</t>
  </si>
  <si>
    <t>ball inertia</t>
  </si>
  <si>
    <t>ball center, mm</t>
  </si>
  <si>
    <t>combined inertia</t>
  </si>
  <si>
    <t>center of mass</t>
  </si>
  <si>
    <t>ball center, meters</t>
  </si>
  <si>
    <t>shaft center, meters</t>
  </si>
  <si>
    <t>ball mass, kg</t>
  </si>
  <si>
    <t>shaft mass, kg</t>
  </si>
  <si>
    <t>period</t>
  </si>
  <si>
    <t>combined mass, kg</t>
  </si>
  <si>
    <t>neodynium magnet</t>
  </si>
  <si>
    <t xml:space="preserve"> density  g/cc</t>
  </si>
  <si>
    <t>6x6x2 mass</t>
  </si>
  <si>
    <t xml:space="preserve">plywood </t>
  </si>
  <si>
    <t>density grams/cc</t>
  </si>
  <si>
    <t>plywood equiv</t>
  </si>
  <si>
    <t>figuring a 20x10 projection at end of pendulum</t>
  </si>
  <si>
    <t>with 2 magnets in bottom half</t>
  </si>
  <si>
    <t>2 magnet mass diff</t>
  </si>
  <si>
    <t>extension center, mm</t>
  </si>
  <si>
    <t>magnet center, mm</t>
  </si>
  <si>
    <t>extension mass, grams</t>
  </si>
  <si>
    <t>magnet mass diff, grams</t>
  </si>
  <si>
    <t>extension center, meters</t>
  </si>
  <si>
    <t>extension mass, kg</t>
  </si>
  <si>
    <t>magnets center, meters</t>
  </si>
  <si>
    <t>extension</t>
  </si>
  <si>
    <t>width</t>
  </si>
  <si>
    <t>height</t>
  </si>
  <si>
    <t>mag offset</t>
  </si>
  <si>
    <t>magnet + 4 on each side</t>
  </si>
  <si>
    <t>about an inch</t>
  </si>
  <si>
    <t>4 at bottom, mag is 3x3</t>
  </si>
  <si>
    <t>magnets mass, kg</t>
  </si>
  <si>
    <t>extension inertia</t>
  </si>
  <si>
    <t>magnets inertia</t>
  </si>
  <si>
    <t>quibbling</t>
  </si>
  <si>
    <t>248.2 is closest with design config</t>
  </si>
  <si>
    <t>or maybe even 254/284</t>
  </si>
  <si>
    <t>adding the pawl will move the cg UP</t>
  </si>
  <si>
    <t>but increase the inertia</t>
  </si>
  <si>
    <t>dunno</t>
  </si>
  <si>
    <t>plus my shaft is not actually 10mm</t>
  </si>
  <si>
    <t>I would have to model the pivot circle, the arm, the rods(s)</t>
  </si>
  <si>
    <t>and the pawl, as well as the variable width shaft</t>
  </si>
  <si>
    <t>pawl mass, kg</t>
  </si>
  <si>
    <t>pawl center, meters</t>
  </si>
  <si>
    <t>pawl inertia</t>
  </si>
  <si>
    <t>the more mass I add, the more it speeds up</t>
  </si>
  <si>
    <t>hmm, guessing 2 grams for the pawl, etc,</t>
  </si>
  <si>
    <t>extra mass around pivot</t>
  </si>
  <si>
    <t>extra mass about center does not change period!</t>
  </si>
  <si>
    <t>as the radius is zero, so there is no inertia ?!?</t>
  </si>
  <si>
    <t>guesses, 27 mm from center, 2 grams or so</t>
  </si>
  <si>
    <t>I guess gravity has no effect on it</t>
  </si>
  <si>
    <t>I think I prefer slower</t>
  </si>
  <si>
    <t>huh? Moving the pawl down SHORTENS the period?</t>
  </si>
  <si>
    <t>shaft width, avg, mm</t>
  </si>
  <si>
    <t>skinny shaft increases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</si>
</sst>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F75-7F35-4E88-B1AF-CDC505C022CE}">
  <sheetPr codeName="Sheet1"/>
  <dimension ref="B2:M49"/>
  <sheetViews>
    <sheetView tabSelected="1" topLeftCell="A23" workbookViewId="0">
      <selection activeCell="K37" sqref="K37"/>
    </sheetView>
  </sheetViews>
  <sheetFormatPr defaultRowHeight="15" x14ac:dyDescent="0.25"/>
  <cols>
    <col min="2" max="2" width="23.85546875" customWidth="1"/>
  </cols>
  <sheetData>
    <row r="2" spans="2:13" x14ac:dyDescent="0.25">
      <c r="B2" t="s">
        <v>18</v>
      </c>
    </row>
    <row r="3" spans="2:13" x14ac:dyDescent="0.25">
      <c r="B3" s="1" t="s">
        <v>19</v>
      </c>
      <c r="C3">
        <f>0.7</f>
        <v>0.7</v>
      </c>
      <c r="E3" t="s">
        <v>21</v>
      </c>
    </row>
    <row r="4" spans="2:13" x14ac:dyDescent="0.25">
      <c r="B4" t="s">
        <v>15</v>
      </c>
      <c r="E4" t="s">
        <v>22</v>
      </c>
    </row>
    <row r="5" spans="2:13" x14ac:dyDescent="0.25">
      <c r="B5" s="1" t="s">
        <v>16</v>
      </c>
      <c r="C5">
        <v>7.3</v>
      </c>
    </row>
    <row r="6" spans="2:13" x14ac:dyDescent="0.25">
      <c r="B6" s="1" t="s">
        <v>17</v>
      </c>
      <c r="C6">
        <f>6*6*2/1000*C5</f>
        <v>0.52559999999999996</v>
      </c>
    </row>
    <row r="7" spans="2:13" x14ac:dyDescent="0.25">
      <c r="B7" s="1" t="s">
        <v>20</v>
      </c>
      <c r="C7">
        <f>6*6*4.8*C3/1000</f>
        <v>0.12095999999999998</v>
      </c>
    </row>
    <row r="8" spans="2:13" x14ac:dyDescent="0.25">
      <c r="B8" s="1" t="s">
        <v>23</v>
      </c>
      <c r="C8">
        <f>2*C6-C7</f>
        <v>0.93023999999999996</v>
      </c>
    </row>
    <row r="9" spans="2:13" x14ac:dyDescent="0.25">
      <c r="B9" s="2" t="s">
        <v>31</v>
      </c>
    </row>
    <row r="10" spans="2:13" x14ac:dyDescent="0.25">
      <c r="B10" s="1" t="s">
        <v>32</v>
      </c>
      <c r="C10" t="s">
        <v>35</v>
      </c>
      <c r="F10">
        <v>14</v>
      </c>
      <c r="G10">
        <v>14</v>
      </c>
      <c r="I10">
        <v>14</v>
      </c>
      <c r="K10">
        <v>14</v>
      </c>
    </row>
    <row r="11" spans="2:13" x14ac:dyDescent="0.25">
      <c r="B11" s="1" t="s">
        <v>33</v>
      </c>
      <c r="C11" t="s">
        <v>36</v>
      </c>
      <c r="F11">
        <v>24</v>
      </c>
      <c r="G11">
        <v>24</v>
      </c>
      <c r="I11">
        <v>24</v>
      </c>
      <c r="K11">
        <v>24</v>
      </c>
    </row>
    <row r="12" spans="2:13" x14ac:dyDescent="0.25">
      <c r="B12" s="1" t="s">
        <v>34</v>
      </c>
      <c r="C12" t="s">
        <v>37</v>
      </c>
      <c r="F12">
        <f>F11-7</f>
        <v>17</v>
      </c>
      <c r="G12">
        <f>G11-7</f>
        <v>17</v>
      </c>
      <c r="I12">
        <f>I11-7</f>
        <v>17</v>
      </c>
      <c r="K12">
        <f>K11-7</f>
        <v>17</v>
      </c>
    </row>
    <row r="14" spans="2:13" x14ac:dyDescent="0.25">
      <c r="B14" t="s">
        <v>1</v>
      </c>
      <c r="C14">
        <v>254.4</v>
      </c>
      <c r="D14">
        <v>270</v>
      </c>
      <c r="F14">
        <v>254.4</v>
      </c>
      <c r="G14">
        <v>250</v>
      </c>
      <c r="I14">
        <v>248.2</v>
      </c>
      <c r="J14" t="s">
        <v>42</v>
      </c>
      <c r="K14">
        <v>250</v>
      </c>
      <c r="M14" t="s">
        <v>41</v>
      </c>
    </row>
    <row r="15" spans="2:13" x14ac:dyDescent="0.25">
      <c r="B15" s="2" t="s">
        <v>62</v>
      </c>
      <c r="C15">
        <v>10</v>
      </c>
      <c r="D15">
        <v>10</v>
      </c>
      <c r="F15">
        <v>10</v>
      </c>
      <c r="G15">
        <v>10</v>
      </c>
      <c r="I15">
        <v>10</v>
      </c>
      <c r="K15">
        <v>10</v>
      </c>
      <c r="M15" t="s">
        <v>63</v>
      </c>
    </row>
    <row r="16" spans="2:13" x14ac:dyDescent="0.25">
      <c r="B16" t="s">
        <v>2</v>
      </c>
      <c r="C16">
        <v>60</v>
      </c>
      <c r="D16">
        <v>60</v>
      </c>
      <c r="F16">
        <v>60</v>
      </c>
      <c r="G16">
        <v>60</v>
      </c>
      <c r="I16">
        <v>60</v>
      </c>
      <c r="K16">
        <v>60</v>
      </c>
    </row>
    <row r="17" spans="2:13" x14ac:dyDescent="0.25">
      <c r="B17" t="s">
        <v>6</v>
      </c>
      <c r="C17">
        <f>C14+C16/2</f>
        <v>284.39999999999998</v>
      </c>
      <c r="D17">
        <f>D14+D16/2</f>
        <v>300</v>
      </c>
      <c r="F17">
        <f>F14+F16/2</f>
        <v>284.39999999999998</v>
      </c>
      <c r="G17">
        <f>G14+G16/2</f>
        <v>280</v>
      </c>
      <c r="I17">
        <f>I14+I16/2</f>
        <v>278.2</v>
      </c>
      <c r="K17">
        <f>K14+K16/2</f>
        <v>280</v>
      </c>
      <c r="M17" t="s">
        <v>60</v>
      </c>
    </row>
    <row r="18" spans="2:13" x14ac:dyDescent="0.25">
      <c r="B18" t="s">
        <v>24</v>
      </c>
      <c r="F18">
        <f>F17+F16/2+F11/2</f>
        <v>326.39999999999998</v>
      </c>
      <c r="G18">
        <f>G17+G16/2+G11/2</f>
        <v>322</v>
      </c>
      <c r="I18">
        <f>I17+I16/2+I11/2</f>
        <v>320.2</v>
      </c>
      <c r="K18">
        <f>K17+K16/2+K11/2</f>
        <v>322</v>
      </c>
      <c r="M18" t="s">
        <v>43</v>
      </c>
    </row>
    <row r="19" spans="2:13" x14ac:dyDescent="0.25">
      <c r="B19" t="s">
        <v>25</v>
      </c>
      <c r="F19">
        <f>F17+F16/2+F12</f>
        <v>331.4</v>
      </c>
      <c r="G19">
        <f>G17+G16/2+G12</f>
        <v>327</v>
      </c>
      <c r="I19">
        <f>I17+I16/2+I12</f>
        <v>325.2</v>
      </c>
      <c r="K19">
        <f>K17+K16/2+K12</f>
        <v>327</v>
      </c>
    </row>
    <row r="20" spans="2:13" x14ac:dyDescent="0.25">
      <c r="M20" t="s">
        <v>44</v>
      </c>
    </row>
    <row r="21" spans="2:13" x14ac:dyDescent="0.25">
      <c r="B21" t="s">
        <v>4</v>
      </c>
      <c r="C21">
        <f>(C16/2)*(C16/2)*PI()*4.8*$C$3/1000</f>
        <v>9.5001761844555332</v>
      </c>
      <c r="D21">
        <f>(D16/2)*(D16/2)*PI()*4.8*$C$3/1000</f>
        <v>9.5001761844555332</v>
      </c>
      <c r="F21">
        <f>(F16/2)*(F16/2)*PI()*4.8*$C$3/1000</f>
        <v>9.5001761844555332</v>
      </c>
      <c r="G21">
        <f>(G16/2)*(G16/2)*PI()*4.8*$C$3/1000</f>
        <v>9.5001761844555332</v>
      </c>
      <c r="I21">
        <f>(I16/2)*(I16/2)*PI()*4.8*$C$3/1000</f>
        <v>9.5001761844555332</v>
      </c>
      <c r="K21">
        <f>(K16/2)*(K16/2)*PI()*4.8*$C$3/1000</f>
        <v>9.5001761844555332</v>
      </c>
      <c r="M21" t="s">
        <v>45</v>
      </c>
    </row>
    <row r="22" spans="2:13" x14ac:dyDescent="0.25">
      <c r="B22" t="s">
        <v>3</v>
      </c>
      <c r="C22">
        <f>C14*C15*4.8*$C$3/1000</f>
        <v>8.547839999999999</v>
      </c>
      <c r="D22">
        <f>D14*D15*4.8*$C$3/1000</f>
        <v>9.0719999999999992</v>
      </c>
      <c r="F22">
        <f t="shared" ref="F22:G22" si="0">F14*F15*4.8*$C$3/1000</f>
        <v>8.547839999999999</v>
      </c>
      <c r="G22">
        <f t="shared" si="0"/>
        <v>8.4</v>
      </c>
      <c r="I22">
        <f>I14*I15*4.8*$C$3/1000</f>
        <v>8.3395200000000003</v>
      </c>
      <c r="K22">
        <f>K14*K15*4.8*$C$3/1000</f>
        <v>8.4</v>
      </c>
      <c r="M22" t="s">
        <v>46</v>
      </c>
    </row>
    <row r="23" spans="2:13" x14ac:dyDescent="0.25">
      <c r="B23" t="s">
        <v>26</v>
      </c>
      <c r="F23">
        <f>F10*F11*4.8*$C$3/1000</f>
        <v>1.1289599999999997</v>
      </c>
      <c r="G23">
        <f>G10*G11*4.8*$C$3/1000</f>
        <v>1.1289599999999997</v>
      </c>
      <c r="I23">
        <f>I10*I11*4.8*$C$3/1000</f>
        <v>1.1289599999999997</v>
      </c>
      <c r="K23">
        <f>K10*K11*4.8*$C$3/1000</f>
        <v>1.1289599999999997</v>
      </c>
    </row>
    <row r="24" spans="2:13" x14ac:dyDescent="0.25">
      <c r="B24" t="s">
        <v>27</v>
      </c>
      <c r="F24">
        <f>$C$8</f>
        <v>0.93023999999999996</v>
      </c>
      <c r="G24">
        <f>$C$8</f>
        <v>0.93023999999999996</v>
      </c>
      <c r="I24">
        <f>$C$8</f>
        <v>0.93023999999999996</v>
      </c>
      <c r="K24">
        <f>$C$8</f>
        <v>0.93023999999999996</v>
      </c>
      <c r="M24" t="s">
        <v>47</v>
      </c>
    </row>
    <row r="26" spans="2:13" x14ac:dyDescent="0.25">
      <c r="B26" t="s">
        <v>9</v>
      </c>
      <c r="C26">
        <f>C17/1000</f>
        <v>0.28439999999999999</v>
      </c>
      <c r="D26">
        <f>D17/1000</f>
        <v>0.3</v>
      </c>
      <c r="F26">
        <f>F17/1000</f>
        <v>0.28439999999999999</v>
      </c>
      <c r="G26">
        <f>G17/1000</f>
        <v>0.28000000000000003</v>
      </c>
      <c r="I26">
        <f>I17/1000</f>
        <v>0.2782</v>
      </c>
      <c r="K26">
        <f>K17/1000</f>
        <v>0.28000000000000003</v>
      </c>
      <c r="M26" t="s">
        <v>48</v>
      </c>
    </row>
    <row r="27" spans="2:13" x14ac:dyDescent="0.25">
      <c r="B27" t="s">
        <v>11</v>
      </c>
      <c r="C27">
        <f>C21/1000</f>
        <v>9.5001761844555332E-3</v>
      </c>
      <c r="D27">
        <f>D21/1000</f>
        <v>9.5001761844555332E-3</v>
      </c>
      <c r="F27">
        <f>F21/1000</f>
        <v>9.5001761844555332E-3</v>
      </c>
      <c r="G27">
        <f>G21/1000</f>
        <v>9.5001761844555332E-3</v>
      </c>
      <c r="I27">
        <f>I21/1000</f>
        <v>9.5001761844555332E-3</v>
      </c>
      <c r="K27">
        <f>K21/1000</f>
        <v>9.5001761844555332E-3</v>
      </c>
      <c r="M27" t="s">
        <v>49</v>
      </c>
    </row>
    <row r="28" spans="2:13" x14ac:dyDescent="0.25">
      <c r="B28" t="s">
        <v>10</v>
      </c>
      <c r="C28">
        <f>C14/2000</f>
        <v>0.12720000000000001</v>
      </c>
      <c r="D28">
        <f>D14/2000</f>
        <v>0.13500000000000001</v>
      </c>
      <c r="F28">
        <f>F14/2000</f>
        <v>0.12720000000000001</v>
      </c>
      <c r="G28">
        <f>G14/2000</f>
        <v>0.125</v>
      </c>
      <c r="I28">
        <f>I14/2000</f>
        <v>0.12409999999999999</v>
      </c>
      <c r="K28">
        <f>K14/2000</f>
        <v>0.125</v>
      </c>
    </row>
    <row r="29" spans="2:13" x14ac:dyDescent="0.25">
      <c r="B29" t="s">
        <v>12</v>
      </c>
      <c r="C29">
        <f>C22/1000</f>
        <v>8.5478399999999993E-3</v>
      </c>
      <c r="D29">
        <f>D22/1000</f>
        <v>9.0719999999999985E-3</v>
      </c>
      <c r="F29">
        <f>F22/1000</f>
        <v>8.5478399999999993E-3</v>
      </c>
      <c r="G29">
        <f>G22/1000</f>
        <v>8.4000000000000012E-3</v>
      </c>
      <c r="I29">
        <f>I22/1000</f>
        <v>8.3395199999999996E-3</v>
      </c>
      <c r="K29">
        <f>K22/1000</f>
        <v>8.4000000000000012E-3</v>
      </c>
    </row>
    <row r="30" spans="2:13" x14ac:dyDescent="0.25">
      <c r="B30" t="s">
        <v>28</v>
      </c>
      <c r="F30">
        <f>F18/1000</f>
        <v>0.32639999999999997</v>
      </c>
      <c r="G30">
        <f>G18/1000</f>
        <v>0.32200000000000001</v>
      </c>
      <c r="I30">
        <f>I18/1000</f>
        <v>0.32019999999999998</v>
      </c>
      <c r="K30">
        <f>K18/1000</f>
        <v>0.32200000000000001</v>
      </c>
    </row>
    <row r="31" spans="2:13" x14ac:dyDescent="0.25">
      <c r="B31" t="s">
        <v>29</v>
      </c>
      <c r="F31">
        <f>F23/1000</f>
        <v>1.1289599999999998E-3</v>
      </c>
      <c r="G31">
        <f>G23/1000</f>
        <v>1.1289599999999998E-3</v>
      </c>
      <c r="I31">
        <f>I23/1000</f>
        <v>1.1289599999999998E-3</v>
      </c>
      <c r="K31">
        <f>K23/1000</f>
        <v>1.1289599999999998E-3</v>
      </c>
    </row>
    <row r="32" spans="2:13" x14ac:dyDescent="0.25">
      <c r="B32" t="s">
        <v>30</v>
      </c>
      <c r="F32">
        <f>F19/1000</f>
        <v>0.33139999999999997</v>
      </c>
      <c r="G32">
        <f>G19/1000</f>
        <v>0.32700000000000001</v>
      </c>
      <c r="I32">
        <f>I19/1000</f>
        <v>0.32519999999999999</v>
      </c>
      <c r="K32">
        <f>K19/1000</f>
        <v>0.32700000000000001</v>
      </c>
    </row>
    <row r="33" spans="2:13" x14ac:dyDescent="0.25">
      <c r="B33" t="s">
        <v>38</v>
      </c>
      <c r="F33">
        <f>F24/1000</f>
        <v>9.3023999999999993E-4</v>
      </c>
      <c r="G33">
        <f>G24/1000</f>
        <v>9.3023999999999993E-4</v>
      </c>
      <c r="I33">
        <f>I24/1000</f>
        <v>9.3023999999999993E-4</v>
      </c>
      <c r="K33">
        <f>K24/1000</f>
        <v>9.3023999999999993E-4</v>
      </c>
    </row>
    <row r="34" spans="2:13" x14ac:dyDescent="0.25">
      <c r="B34" t="s">
        <v>51</v>
      </c>
      <c r="K34" s="5">
        <v>0.27</v>
      </c>
      <c r="M34" t="s">
        <v>58</v>
      </c>
    </row>
    <row r="35" spans="2:13" x14ac:dyDescent="0.25">
      <c r="B35" t="s">
        <v>50</v>
      </c>
      <c r="K35" s="5">
        <v>3.0000000000000001E-3</v>
      </c>
      <c r="M35" t="s">
        <v>53</v>
      </c>
    </row>
    <row r="36" spans="2:13" x14ac:dyDescent="0.25">
      <c r="B36" t="s">
        <v>55</v>
      </c>
      <c r="K36" s="4">
        <v>0</v>
      </c>
      <c r="M36" t="s">
        <v>56</v>
      </c>
    </row>
    <row r="37" spans="2:13" x14ac:dyDescent="0.25">
      <c r="B37" t="s">
        <v>14</v>
      </c>
      <c r="C37">
        <f>C27+C29</f>
        <v>1.8048016184455534E-2</v>
      </c>
      <c r="D37">
        <f>D27+D29</f>
        <v>1.857217618445553E-2</v>
      </c>
      <c r="F37">
        <f>F27+F29+F31+F33</f>
        <v>2.0107216184455531E-2</v>
      </c>
      <c r="G37">
        <f>G27+G29+G31+G33</f>
        <v>1.9959376184455532E-2</v>
      </c>
      <c r="I37">
        <f>I27+I29+I31+I33</f>
        <v>1.989889618445553E-2</v>
      </c>
      <c r="K37">
        <f>K27+K29+K31+K33+K35+K36</f>
        <v>2.2959376184455531E-2</v>
      </c>
      <c r="M37" t="s">
        <v>57</v>
      </c>
    </row>
    <row r="38" spans="2:13" x14ac:dyDescent="0.25">
      <c r="M38" t="s">
        <v>59</v>
      </c>
    </row>
    <row r="40" spans="2:13" x14ac:dyDescent="0.25">
      <c r="B40" t="s">
        <v>5</v>
      </c>
      <c r="C40">
        <f>C27*C26*C26</f>
        <v>7.684061703907432E-4</v>
      </c>
      <c r="D40">
        <f>D27*D26*D26</f>
        <v>8.5501585660099802E-4</v>
      </c>
      <c r="F40">
        <f>F27*F26*F26</f>
        <v>7.684061703907432E-4</v>
      </c>
      <c r="G40">
        <f>G27*G26*G26</f>
        <v>7.4481381286131394E-4</v>
      </c>
      <c r="I40">
        <f>I27*I26*I26</f>
        <v>7.3526841583822027E-4</v>
      </c>
      <c r="K40">
        <f>K27*K26*K26</f>
        <v>7.4481381286131394E-4</v>
      </c>
    </row>
    <row r="41" spans="2:13" x14ac:dyDescent="0.25">
      <c r="B41" t="s">
        <v>0</v>
      </c>
      <c r="C41">
        <f>C29*C28*C28</f>
        <v>1.3830268354560001E-4</v>
      </c>
      <c r="D41">
        <f>D29*D28*D28</f>
        <v>1.6533720000000001E-4</v>
      </c>
      <c r="F41">
        <f>F29*F28*F28</f>
        <v>1.3830268354560001E-4</v>
      </c>
      <c r="G41">
        <f>G29*G28*G28</f>
        <v>1.3125000000000002E-4</v>
      </c>
      <c r="I41">
        <f>I29*I28*I28</f>
        <v>1.2843536301119997E-4</v>
      </c>
      <c r="K41">
        <f>K29*K28*K28</f>
        <v>1.3125000000000002E-4</v>
      </c>
      <c r="M41" t="s">
        <v>61</v>
      </c>
    </row>
    <row r="42" spans="2:13" x14ac:dyDescent="0.25">
      <c r="B42" t="s">
        <v>39</v>
      </c>
      <c r="F42">
        <f>F31*F30*F30</f>
        <v>1.2027596636159995E-4</v>
      </c>
      <c r="G42">
        <f>G31*G30*G30</f>
        <v>1.1705508863999999E-4</v>
      </c>
      <c r="I42">
        <f>I31*I30*I30</f>
        <v>1.1575005603839998E-4</v>
      </c>
      <c r="K42">
        <f>K31*K30*K30</f>
        <v>1.1705508863999999E-4</v>
      </c>
    </row>
    <row r="43" spans="2:13" x14ac:dyDescent="0.25">
      <c r="B43" t="s">
        <v>40</v>
      </c>
      <c r="F43">
        <f>F33*F32*F32</f>
        <v>1.0216450103039998E-4</v>
      </c>
      <c r="G43" s="3">
        <f>G33*G32*G32</f>
        <v>9.9469632959999998E-5</v>
      </c>
      <c r="I43" s="3">
        <f>I33*I32*I32</f>
        <v>9.8377568409599984E-5</v>
      </c>
      <c r="K43" s="3">
        <f>K33*K32*K32</f>
        <v>9.9469632959999998E-5</v>
      </c>
    </row>
    <row r="44" spans="2:13" x14ac:dyDescent="0.25">
      <c r="B44" t="s">
        <v>52</v>
      </c>
      <c r="G44" s="3"/>
      <c r="I44" s="3"/>
      <c r="K44" s="3">
        <f>K35*K34*K34</f>
        <v>2.1870000000000003E-4</v>
      </c>
    </row>
    <row r="45" spans="2:13" x14ac:dyDescent="0.25">
      <c r="B45" t="s">
        <v>7</v>
      </c>
      <c r="C45">
        <f>C40+C41</f>
        <v>9.0670885393634318E-4</v>
      </c>
      <c r="D45">
        <f>D40+D41</f>
        <v>1.0203530566009981E-3</v>
      </c>
      <c r="F45">
        <f>F40+F41+F42+F43</f>
        <v>1.1291493213283431E-3</v>
      </c>
      <c r="G45">
        <f>G40+G41+G42+G43</f>
        <v>1.092588534461314E-3</v>
      </c>
      <c r="I45">
        <f>I40+I41+I42+I43</f>
        <v>1.0778314032974202E-3</v>
      </c>
      <c r="K45" s="3">
        <f>K40+K41+K42+K43+K44</f>
        <v>1.311288534461314E-3</v>
      </c>
    </row>
    <row r="47" spans="2:13" x14ac:dyDescent="0.25">
      <c r="B47" t="s">
        <v>8</v>
      </c>
      <c r="C47">
        <f>((C26*C27) +(C28*C29))/C37</f>
        <v>0.20994747102025954</v>
      </c>
      <c r="D47">
        <f>((D26*D27) +(D28*D29))/D37</f>
        <v>0.21940201379023896</v>
      </c>
      <c r="F47">
        <f>((F26*F27) +(F28*F29)+(F30*F31)+(F32*F33))/F37</f>
        <v>0.2221048102278651</v>
      </c>
      <c r="G47">
        <f>((G26*G27) +(G28*G29)+(G30*G31)+(G32*G33))/G37</f>
        <v>0.21933365507971012</v>
      </c>
      <c r="I47">
        <f>((I26*I27) +(I28*I29)+(I30*I31)+(I32*I33))/I37</f>
        <v>0.21819755459135942</v>
      </c>
      <c r="K47">
        <f>((K26*K27) +(K28*K29)+(K30*K31)+(K32*K33)+(K34*K35))/K37</f>
        <v>0.2259540019715294</v>
      </c>
    </row>
    <row r="49" spans="2:13" x14ac:dyDescent="0.25">
      <c r="B49" t="s">
        <v>13</v>
      </c>
      <c r="C49">
        <f>2*PI()*SQRT(C45/(C37*9.8*C47))</f>
        <v>0.98181734266125398</v>
      </c>
      <c r="D49">
        <f>2*PI()*SQRT(D45/(D37*9.8*D47))</f>
        <v>1.0043622090311288</v>
      </c>
      <c r="F49">
        <f>2*PI()*SQRT(F45/(F37*9.8*F47))</f>
        <v>1.0092239856382992</v>
      </c>
      <c r="G49">
        <f>2*PI()*SQRT(G45/(G37*9.8*G47))</f>
        <v>1.0026954173934639</v>
      </c>
      <c r="I49">
        <f>2*PI()*SQRT(I45/(I37*9.8*I47))</f>
        <v>1.0000064802585185</v>
      </c>
      <c r="K49">
        <f>2*PI()*SQRT(K45/(K37*9.8*K47))</f>
        <v>1.0090807042492773</v>
      </c>
      <c r="M49" t="s">
        <v>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2022-10-24T22:41:05Z</dcterms:created>
  <dcterms:modified xsi:type="dcterms:W3CDTF">2022-11-05T01:26:17Z</dcterms:modified>
</cp:coreProperties>
</file>